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ta\Documents\FSU\Meta GSNWR Project\work\data\Point Count data\"/>
    </mc:Choice>
  </mc:AlternateContent>
  <bookViews>
    <workbookView xWindow="0" yWindow="0" windowWidth="20490" windowHeight="7530"/>
  </bookViews>
  <sheets>
    <sheet name="2015 point count data" sheetId="1" r:id="rId1"/>
    <sheet name="2016 point count data" sheetId="2" r:id="rId2"/>
    <sheet name="2015 point count variables" sheetId="4" r:id="rId3"/>
    <sheet name="2016 point count variables" sheetId="5" r:id="rId4"/>
    <sheet name="2015 habitat covariates" sheetId="6" r:id="rId5"/>
    <sheet name="2016 habitat covariates" sheetId="8" r:id="rId6"/>
    <sheet name="metadata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9" i="6" l="1"/>
  <c r="I49" i="6"/>
  <c r="I44" i="6" l="1"/>
  <c r="H44" i="6"/>
  <c r="O48" i="6" l="1"/>
  <c r="O27" i="6" l="1"/>
  <c r="O78" i="6"/>
  <c r="O72" i="6"/>
  <c r="O71" i="6"/>
  <c r="O70" i="6"/>
  <c r="O61" i="6"/>
  <c r="O65" i="6"/>
  <c r="O64" i="6"/>
  <c r="O59" i="6"/>
  <c r="O63" i="6"/>
  <c r="O69" i="6"/>
  <c r="O56" i="6"/>
  <c r="O60" i="6"/>
  <c r="O52" i="6"/>
  <c r="O62" i="6"/>
  <c r="O58" i="6"/>
  <c r="O57" i="6"/>
  <c r="O53" i="6"/>
  <c r="O54" i="6"/>
  <c r="O55" i="6"/>
  <c r="O49" i="6"/>
  <c r="O47" i="6"/>
  <c r="O67" i="6"/>
  <c r="O68" i="6"/>
  <c r="O73" i="6"/>
  <c r="O74" i="6"/>
  <c r="O75" i="6"/>
  <c r="O76" i="6"/>
  <c r="I7" i="6"/>
  <c r="AR42" i="8" l="1"/>
  <c r="AO42" i="8"/>
  <c r="AL42" i="8"/>
  <c r="AK42" i="8"/>
  <c r="AR41" i="8"/>
  <c r="AQ41" i="8"/>
  <c r="AP41" i="8"/>
  <c r="AO41" i="8"/>
  <c r="AN41" i="8"/>
  <c r="AM41" i="8"/>
  <c r="AL41" i="8"/>
  <c r="AK41" i="8"/>
  <c r="AR40" i="8"/>
  <c r="AQ40" i="8"/>
  <c r="AP40" i="8"/>
  <c r="AO40" i="8"/>
  <c r="AN40" i="8"/>
  <c r="AM40" i="8"/>
  <c r="AL40" i="8"/>
  <c r="AK40" i="8"/>
  <c r="AR39" i="8"/>
  <c r="AQ39" i="8"/>
  <c r="AP39" i="8"/>
  <c r="AO39" i="8"/>
  <c r="AN39" i="8"/>
  <c r="AM39" i="8"/>
  <c r="AL39" i="8"/>
  <c r="AK39" i="8"/>
  <c r="AR38" i="8"/>
  <c r="AQ38" i="8"/>
  <c r="AP38" i="8"/>
  <c r="AO38" i="8"/>
  <c r="AN38" i="8"/>
  <c r="AM38" i="8"/>
  <c r="AL38" i="8"/>
  <c r="AK38" i="8"/>
  <c r="AR37" i="8"/>
  <c r="AP37" i="8"/>
  <c r="AO37" i="8"/>
  <c r="AN37" i="8"/>
  <c r="AM37" i="8"/>
  <c r="AL37" i="8"/>
  <c r="AK37" i="8"/>
  <c r="AR36" i="8"/>
  <c r="AQ36" i="8"/>
  <c r="AP36" i="8"/>
  <c r="AO36" i="8"/>
  <c r="AN36" i="8"/>
  <c r="AM36" i="8"/>
  <c r="AL36" i="8"/>
  <c r="AK36" i="8"/>
  <c r="AR35" i="8"/>
  <c r="AK35" i="8"/>
  <c r="AR34" i="8"/>
  <c r="AQ34" i="8"/>
  <c r="AP34" i="8"/>
  <c r="AO34" i="8"/>
  <c r="AN34" i="8"/>
  <c r="AM34" i="8"/>
  <c r="AL34" i="8"/>
  <c r="AK34" i="8"/>
  <c r="AR33" i="8"/>
  <c r="AQ33" i="8"/>
  <c r="AP33" i="8"/>
  <c r="AO33" i="8"/>
  <c r="AN33" i="8"/>
  <c r="AM33" i="8"/>
  <c r="AL33" i="8"/>
  <c r="AK33" i="8"/>
  <c r="AR32" i="8"/>
  <c r="AQ32" i="8"/>
  <c r="AP32" i="8"/>
  <c r="AO32" i="8"/>
  <c r="AN32" i="8"/>
  <c r="AM32" i="8"/>
  <c r="AL32" i="8"/>
  <c r="AK32" i="8"/>
  <c r="AR31" i="8"/>
  <c r="AQ31" i="8"/>
  <c r="AO31" i="8"/>
  <c r="AN31" i="8"/>
  <c r="AM31" i="8"/>
  <c r="AL31" i="8"/>
  <c r="AK31" i="8"/>
  <c r="AR30" i="8"/>
  <c r="AQ30" i="8"/>
  <c r="AP30" i="8"/>
  <c r="AO30" i="8"/>
  <c r="AN30" i="8"/>
  <c r="AM30" i="8"/>
  <c r="AL30" i="8"/>
  <c r="AK30" i="8"/>
  <c r="AR29" i="8"/>
  <c r="AP29" i="8"/>
  <c r="AO29" i="8"/>
  <c r="AN29" i="8"/>
  <c r="AM29" i="8"/>
  <c r="AL29" i="8"/>
  <c r="AK29" i="8"/>
  <c r="AR28" i="8"/>
  <c r="AP28" i="8"/>
  <c r="AN28" i="8"/>
  <c r="AR27" i="8"/>
  <c r="AQ27" i="8"/>
  <c r="AP27" i="8"/>
  <c r="AO27" i="8"/>
  <c r="AN27" i="8"/>
  <c r="AM27" i="8"/>
  <c r="AL27" i="8"/>
  <c r="AK27" i="8"/>
  <c r="AR26" i="8"/>
  <c r="AQ26" i="8"/>
  <c r="AP26" i="8"/>
  <c r="AO26" i="8"/>
  <c r="AN26" i="8"/>
  <c r="AM26" i="8"/>
  <c r="AL26" i="8"/>
  <c r="AK26" i="8"/>
  <c r="AR25" i="8"/>
  <c r="AQ25" i="8"/>
  <c r="AP25" i="8"/>
  <c r="AN25" i="8"/>
  <c r="AM25" i="8"/>
  <c r="AL25" i="8"/>
  <c r="AK25" i="8"/>
  <c r="AR24" i="8"/>
  <c r="AP24" i="8"/>
  <c r="AO24" i="8"/>
  <c r="AN24" i="8"/>
  <c r="AM24" i="8"/>
  <c r="AL24" i="8"/>
  <c r="AK24" i="8"/>
  <c r="AR23" i="8"/>
  <c r="AQ23" i="8"/>
  <c r="AP23" i="8"/>
  <c r="AO23" i="8"/>
  <c r="AN23" i="8"/>
  <c r="AM23" i="8"/>
  <c r="AL23" i="8"/>
  <c r="AK23" i="8"/>
  <c r="AR22" i="8"/>
  <c r="AQ22" i="8"/>
  <c r="AP22" i="8"/>
  <c r="AO22" i="8"/>
  <c r="AN22" i="8"/>
  <c r="AM22" i="8"/>
  <c r="AL22" i="8"/>
  <c r="AK22" i="8"/>
  <c r="AR21" i="8"/>
  <c r="AQ21" i="8"/>
  <c r="AP21" i="8"/>
  <c r="AO21" i="8"/>
  <c r="AN21" i="8"/>
  <c r="AM21" i="8"/>
  <c r="AL21" i="8"/>
  <c r="AK21" i="8"/>
  <c r="AO20" i="8"/>
  <c r="AK20" i="8"/>
  <c r="AR19" i="8"/>
  <c r="AQ19" i="8"/>
  <c r="AP19" i="8"/>
  <c r="AO19" i="8"/>
  <c r="AN19" i="8"/>
  <c r="AM19" i="8"/>
  <c r="AL19" i="8"/>
  <c r="AK19" i="8"/>
  <c r="AR18" i="8"/>
  <c r="AP18" i="8"/>
  <c r="AN18" i="8"/>
  <c r="AM18" i="8"/>
  <c r="AL18" i="8"/>
  <c r="AK18" i="8"/>
  <c r="AR17" i="8"/>
  <c r="AQ17" i="8"/>
  <c r="AP17" i="8"/>
  <c r="AO17" i="8"/>
  <c r="AN17" i="8"/>
  <c r="AM17" i="8"/>
  <c r="AL17" i="8"/>
  <c r="AK17" i="8"/>
  <c r="AR16" i="8"/>
  <c r="AQ16" i="8"/>
  <c r="AP16" i="8"/>
  <c r="AO16" i="8"/>
  <c r="AN16" i="8"/>
  <c r="AM16" i="8"/>
  <c r="AL16" i="8"/>
  <c r="AK16" i="8"/>
  <c r="AR15" i="8"/>
  <c r="AO15" i="8"/>
  <c r="AM15" i="8"/>
  <c r="AL15" i="8"/>
  <c r="AK15" i="8"/>
  <c r="AR14" i="8"/>
  <c r="AQ14" i="8"/>
  <c r="AP14" i="8"/>
  <c r="AO14" i="8"/>
  <c r="AN14" i="8"/>
  <c r="AM14" i="8"/>
  <c r="AL14" i="8"/>
  <c r="AK14" i="8"/>
  <c r="AR13" i="8"/>
  <c r="AQ13" i="8"/>
  <c r="AP13" i="8"/>
  <c r="AO13" i="8"/>
  <c r="AN13" i="8"/>
  <c r="AM13" i="8"/>
  <c r="AL13" i="8"/>
  <c r="AK13" i="8"/>
  <c r="AR12" i="8"/>
  <c r="AQ12" i="8"/>
  <c r="AP12" i="8"/>
  <c r="AO12" i="8"/>
  <c r="AN12" i="8"/>
  <c r="AM12" i="8"/>
  <c r="AL12" i="8"/>
  <c r="AK12" i="8"/>
  <c r="AR11" i="8"/>
  <c r="AQ11" i="8"/>
  <c r="AP11" i="8"/>
  <c r="AO11" i="8"/>
  <c r="AN11" i="8"/>
  <c r="AM11" i="8"/>
  <c r="AL11" i="8"/>
  <c r="AK11" i="8"/>
  <c r="AR10" i="8"/>
  <c r="AQ10" i="8"/>
  <c r="AP10" i="8"/>
  <c r="AO10" i="8"/>
  <c r="AN10" i="8"/>
  <c r="AM10" i="8"/>
  <c r="AL10" i="8"/>
  <c r="AK10" i="8"/>
  <c r="AR9" i="8"/>
  <c r="AQ9" i="8"/>
  <c r="AP9" i="8"/>
  <c r="AO9" i="8"/>
  <c r="AN9" i="8"/>
  <c r="AM9" i="8"/>
  <c r="AL9" i="8"/>
  <c r="AK9" i="8"/>
  <c r="AR8" i="8"/>
  <c r="AQ8" i="8"/>
  <c r="AP8" i="8"/>
  <c r="AO8" i="8"/>
  <c r="AN8" i="8"/>
  <c r="AM8" i="8"/>
  <c r="AL8" i="8"/>
  <c r="AK8" i="8"/>
  <c r="AQ7" i="8"/>
  <c r="AO7" i="8"/>
  <c r="AN7" i="8"/>
  <c r="AM7" i="8"/>
  <c r="AL7" i="8"/>
  <c r="AK7" i="8"/>
  <c r="AR6" i="8"/>
  <c r="AQ6" i="8"/>
  <c r="AP6" i="8"/>
  <c r="AO6" i="8"/>
  <c r="AN6" i="8"/>
  <c r="AM6" i="8"/>
  <c r="AL6" i="8"/>
  <c r="AK6" i="8"/>
  <c r="AR5" i="8"/>
  <c r="AQ5" i="8"/>
  <c r="AP5" i="8"/>
  <c r="AO5" i="8"/>
  <c r="AN5" i="8"/>
  <c r="AM5" i="8"/>
  <c r="AL5" i="8"/>
  <c r="AK5" i="8"/>
  <c r="AR4" i="8"/>
  <c r="AQ4" i="8"/>
  <c r="AP4" i="8"/>
  <c r="AO4" i="8"/>
  <c r="AN4" i="8"/>
  <c r="AM4" i="8"/>
  <c r="AK4" i="8"/>
  <c r="AR3" i="8"/>
  <c r="AQ3" i="8"/>
  <c r="AP3" i="8"/>
  <c r="AO3" i="8"/>
  <c r="AN3" i="8"/>
  <c r="AM3" i="8"/>
  <c r="AL3" i="8"/>
  <c r="AK3" i="8"/>
  <c r="AR2" i="8"/>
  <c r="AQ2" i="8"/>
  <c r="AP2" i="8"/>
  <c r="AN2" i="8"/>
  <c r="AM2" i="8"/>
  <c r="AL2" i="8"/>
  <c r="AK2" i="8"/>
  <c r="AE78" i="8"/>
  <c r="AC78" i="8"/>
  <c r="AB78" i="8"/>
  <c r="AA78" i="8"/>
  <c r="Z78" i="8"/>
  <c r="Y78" i="8"/>
  <c r="W78" i="8"/>
  <c r="V78" i="8"/>
  <c r="U78" i="8"/>
  <c r="T78" i="8"/>
  <c r="S78" i="8"/>
  <c r="R78" i="8"/>
  <c r="Q78" i="8"/>
  <c r="O78" i="8"/>
  <c r="K78" i="8"/>
  <c r="J78" i="8"/>
  <c r="I78" i="8"/>
  <c r="H78" i="8"/>
  <c r="AE77" i="8"/>
  <c r="AC77" i="8"/>
  <c r="AA77" i="8"/>
  <c r="Z77" i="8"/>
  <c r="Y77" i="8"/>
  <c r="W77" i="8"/>
  <c r="V77" i="8"/>
  <c r="U77" i="8"/>
  <c r="T77" i="8"/>
  <c r="S77" i="8"/>
  <c r="R77" i="8"/>
  <c r="Q77" i="8"/>
  <c r="O77" i="8"/>
  <c r="L77" i="8"/>
  <c r="J77" i="8"/>
  <c r="I77" i="8"/>
  <c r="H77" i="8"/>
  <c r="AE76" i="8"/>
  <c r="AD76" i="8"/>
  <c r="AC76" i="8"/>
  <c r="AB76" i="8"/>
  <c r="AA76" i="8"/>
  <c r="Z76" i="8"/>
  <c r="Y76" i="8"/>
  <c r="W76" i="8"/>
  <c r="V76" i="8"/>
  <c r="U76" i="8"/>
  <c r="T76" i="8"/>
  <c r="S76" i="8"/>
  <c r="R76" i="8"/>
  <c r="Q76" i="8"/>
  <c r="O76" i="8"/>
  <c r="K76" i="8"/>
  <c r="J76" i="8"/>
  <c r="I76" i="8"/>
  <c r="H76" i="8"/>
  <c r="AD75" i="8"/>
  <c r="AC75" i="8"/>
  <c r="AB75" i="8"/>
  <c r="AA75" i="8"/>
  <c r="Z75" i="8"/>
  <c r="Y75" i="8"/>
  <c r="W75" i="8"/>
  <c r="V75" i="8"/>
  <c r="U75" i="8"/>
  <c r="T75" i="8"/>
  <c r="S75" i="8"/>
  <c r="R75" i="8"/>
  <c r="Q75" i="8"/>
  <c r="O75" i="8"/>
  <c r="M75" i="8"/>
  <c r="J75" i="8"/>
  <c r="I75" i="8"/>
  <c r="H75" i="8"/>
  <c r="AE74" i="8"/>
  <c r="AC74" i="8"/>
  <c r="AB74" i="8"/>
  <c r="AA74" i="8"/>
  <c r="Z74" i="8"/>
  <c r="Y74" i="8"/>
  <c r="W74" i="8"/>
  <c r="V74" i="8"/>
  <c r="U74" i="8"/>
  <c r="T74" i="8"/>
  <c r="S74" i="8"/>
  <c r="R74" i="8"/>
  <c r="Q74" i="8"/>
  <c r="O74" i="8"/>
  <c r="M74" i="8"/>
  <c r="K74" i="8"/>
  <c r="J74" i="8"/>
  <c r="I74" i="8"/>
  <c r="H74" i="8"/>
  <c r="AE73" i="8"/>
  <c r="AC73" i="8"/>
  <c r="AA73" i="8"/>
  <c r="Z73" i="8"/>
  <c r="Y73" i="8"/>
  <c r="W73" i="8"/>
  <c r="V73" i="8"/>
  <c r="U73" i="8"/>
  <c r="T73" i="8"/>
  <c r="S73" i="8"/>
  <c r="R73" i="8"/>
  <c r="Q73" i="8"/>
  <c r="O73" i="8"/>
  <c r="N73" i="8"/>
  <c r="M73" i="8"/>
  <c r="K73" i="8"/>
  <c r="J73" i="8"/>
  <c r="I73" i="8"/>
  <c r="H73" i="8"/>
  <c r="AE72" i="8"/>
  <c r="AD72" i="8"/>
  <c r="AC72" i="8"/>
  <c r="AB72" i="8"/>
  <c r="Z72" i="8"/>
  <c r="W72" i="8"/>
  <c r="V72" i="8"/>
  <c r="U72" i="8"/>
  <c r="T72" i="8"/>
  <c r="S72" i="8"/>
  <c r="R72" i="8"/>
  <c r="Q72" i="8"/>
  <c r="O72" i="8"/>
  <c r="M72" i="8"/>
  <c r="J72" i="8"/>
  <c r="I72" i="8"/>
  <c r="H72" i="8"/>
  <c r="AE71" i="8"/>
  <c r="AD71" i="8"/>
  <c r="AC71" i="8"/>
  <c r="AB71" i="8"/>
  <c r="AA71" i="8"/>
  <c r="Z71" i="8"/>
  <c r="Y71" i="8"/>
  <c r="W71" i="8"/>
  <c r="V71" i="8"/>
  <c r="U71" i="8"/>
  <c r="T71" i="8"/>
  <c r="S71" i="8"/>
  <c r="R71" i="8"/>
  <c r="Q71" i="8"/>
  <c r="O71" i="8"/>
  <c r="K71" i="8"/>
  <c r="J71" i="8"/>
  <c r="I71" i="8"/>
  <c r="H71" i="8"/>
  <c r="AE70" i="8"/>
  <c r="AD70" i="8"/>
  <c r="AC70" i="8"/>
  <c r="AB70" i="8"/>
  <c r="AA70" i="8"/>
  <c r="Z70" i="8"/>
  <c r="Y70" i="8"/>
  <c r="W70" i="8"/>
  <c r="V70" i="8"/>
  <c r="U70" i="8"/>
  <c r="T70" i="8"/>
  <c r="S70" i="8"/>
  <c r="R70" i="8"/>
  <c r="Q70" i="8"/>
  <c r="O70" i="8"/>
  <c r="J70" i="8"/>
  <c r="I70" i="8"/>
  <c r="AE69" i="8"/>
  <c r="AC69" i="8"/>
  <c r="AB69" i="8"/>
  <c r="AA69" i="8"/>
  <c r="Z69" i="8"/>
  <c r="Y69" i="8"/>
  <c r="W69" i="8"/>
  <c r="V69" i="8"/>
  <c r="U69" i="8"/>
  <c r="T69" i="8"/>
  <c r="S69" i="8"/>
  <c r="R69" i="8"/>
  <c r="Q69" i="8"/>
  <c r="O69" i="8"/>
  <c r="M69" i="8"/>
  <c r="K69" i="8"/>
  <c r="J69" i="8"/>
  <c r="I69" i="8"/>
  <c r="H69" i="8"/>
  <c r="AD68" i="8"/>
  <c r="AB68" i="8"/>
  <c r="AA68" i="8"/>
  <c r="Z68" i="8"/>
  <c r="W68" i="8"/>
  <c r="V68" i="8"/>
  <c r="U68" i="8"/>
  <c r="T68" i="8"/>
  <c r="S68" i="8"/>
  <c r="R68" i="8"/>
  <c r="Q68" i="8"/>
  <c r="O68" i="8"/>
  <c r="M68" i="8"/>
  <c r="I68" i="8"/>
  <c r="H68" i="8"/>
  <c r="AD67" i="8"/>
  <c r="AA67" i="8"/>
  <c r="Z67" i="8"/>
  <c r="W67" i="8"/>
  <c r="V67" i="8"/>
  <c r="U67" i="8"/>
  <c r="T67" i="8"/>
  <c r="S67" i="8"/>
  <c r="R67" i="8"/>
  <c r="Q67" i="8"/>
  <c r="O67" i="8"/>
  <c r="M67" i="8"/>
  <c r="J67" i="8"/>
  <c r="I67" i="8"/>
  <c r="H67" i="8"/>
  <c r="AE66" i="8"/>
  <c r="AD66" i="8"/>
  <c r="AC66" i="8"/>
  <c r="AB66" i="8"/>
  <c r="AA66" i="8"/>
  <c r="Z66" i="8"/>
  <c r="Y66" i="8"/>
  <c r="W66" i="8"/>
  <c r="V66" i="8"/>
  <c r="U66" i="8"/>
  <c r="T66" i="8"/>
  <c r="S66" i="8"/>
  <c r="R66" i="8"/>
  <c r="Q66" i="8"/>
  <c r="O66" i="8"/>
  <c r="M66" i="8"/>
  <c r="J66" i="8"/>
  <c r="I66" i="8"/>
  <c r="H66" i="8"/>
  <c r="AE65" i="8"/>
  <c r="AD65" i="8"/>
  <c r="AC65" i="8"/>
  <c r="AB65" i="8"/>
  <c r="AA65" i="8"/>
  <c r="Z65" i="8"/>
  <c r="Y65" i="8"/>
  <c r="W65" i="8"/>
  <c r="V65" i="8"/>
  <c r="U65" i="8"/>
  <c r="T65" i="8"/>
  <c r="S65" i="8"/>
  <c r="R65" i="8"/>
  <c r="Q65" i="8"/>
  <c r="O65" i="8"/>
  <c r="M65" i="8"/>
  <c r="K65" i="8"/>
  <c r="J65" i="8"/>
  <c r="I65" i="8"/>
  <c r="H65" i="8"/>
  <c r="G65" i="8"/>
  <c r="AE64" i="8"/>
  <c r="AD64" i="8"/>
  <c r="AC64" i="8"/>
  <c r="AB64" i="8"/>
  <c r="AA64" i="8"/>
  <c r="Z64" i="8"/>
  <c r="Y64" i="8"/>
  <c r="W64" i="8"/>
  <c r="V64" i="8"/>
  <c r="U64" i="8"/>
  <c r="T64" i="8"/>
  <c r="S64" i="8"/>
  <c r="R64" i="8"/>
  <c r="Q64" i="8"/>
  <c r="O64" i="8"/>
  <c r="J64" i="8"/>
  <c r="I64" i="8"/>
  <c r="H64" i="8"/>
  <c r="AE63" i="8"/>
  <c r="AD63" i="8"/>
  <c r="AC63" i="8"/>
  <c r="AB63" i="8"/>
  <c r="AA63" i="8"/>
  <c r="Z63" i="8"/>
  <c r="Y63" i="8"/>
  <c r="W63" i="8"/>
  <c r="V63" i="8"/>
  <c r="U63" i="8"/>
  <c r="T63" i="8"/>
  <c r="S63" i="8"/>
  <c r="R63" i="8"/>
  <c r="Q63" i="8"/>
  <c r="O63" i="8"/>
  <c r="J63" i="8"/>
  <c r="I63" i="8"/>
  <c r="H63" i="8"/>
  <c r="AE62" i="8"/>
  <c r="AD62" i="8"/>
  <c r="AC62" i="8"/>
  <c r="AB62" i="8"/>
  <c r="AA62" i="8"/>
  <c r="Z62" i="8"/>
  <c r="Y62" i="8"/>
  <c r="W62" i="8"/>
  <c r="V62" i="8"/>
  <c r="U62" i="8"/>
  <c r="T62" i="8"/>
  <c r="S62" i="8"/>
  <c r="R62" i="8"/>
  <c r="Q62" i="8"/>
  <c r="O62" i="8"/>
  <c r="I62" i="8"/>
  <c r="H62" i="8"/>
  <c r="AE61" i="8"/>
  <c r="AD61" i="8"/>
  <c r="AC61" i="8"/>
  <c r="AB61" i="8"/>
  <c r="AA61" i="8"/>
  <c r="Z61" i="8"/>
  <c r="Y61" i="8"/>
  <c r="W61" i="8"/>
  <c r="V61" i="8"/>
  <c r="U61" i="8"/>
  <c r="T61" i="8"/>
  <c r="S61" i="8"/>
  <c r="R61" i="8"/>
  <c r="Q61" i="8"/>
  <c r="O61" i="8"/>
  <c r="K61" i="8"/>
  <c r="J61" i="8"/>
  <c r="I61" i="8"/>
  <c r="H61" i="8"/>
  <c r="AE60" i="8"/>
  <c r="AD60" i="8"/>
  <c r="AC60" i="8"/>
  <c r="AB60" i="8"/>
  <c r="AA60" i="8"/>
  <c r="Z60" i="8"/>
  <c r="Y60" i="8"/>
  <c r="W60" i="8"/>
  <c r="V60" i="8"/>
  <c r="U60" i="8"/>
  <c r="T60" i="8"/>
  <c r="S60" i="8"/>
  <c r="R60" i="8"/>
  <c r="Q60" i="8"/>
  <c r="O60" i="8"/>
  <c r="J60" i="8"/>
  <c r="I60" i="8"/>
  <c r="AE59" i="8"/>
  <c r="AD59" i="8"/>
  <c r="AC59" i="8"/>
  <c r="AB59" i="8"/>
  <c r="AA59" i="8"/>
  <c r="Z59" i="8"/>
  <c r="Y59" i="8"/>
  <c r="W59" i="8"/>
  <c r="V59" i="8"/>
  <c r="U59" i="8"/>
  <c r="T59" i="8"/>
  <c r="S59" i="8"/>
  <c r="R59" i="8"/>
  <c r="Q59" i="8"/>
  <c r="O59" i="8"/>
  <c r="J59" i="8"/>
  <c r="I59" i="8"/>
  <c r="H59" i="8"/>
  <c r="AE58" i="8"/>
  <c r="AD58" i="8"/>
  <c r="AC58" i="8"/>
  <c r="AB58" i="8"/>
  <c r="AA58" i="8"/>
  <c r="Z58" i="8"/>
  <c r="Y58" i="8"/>
  <c r="W58" i="8"/>
  <c r="V58" i="8"/>
  <c r="U58" i="8"/>
  <c r="T58" i="8"/>
  <c r="S58" i="8"/>
  <c r="R58" i="8"/>
  <c r="Q58" i="8"/>
  <c r="O58" i="8"/>
  <c r="I58" i="8"/>
  <c r="H58" i="8"/>
  <c r="AE57" i="8"/>
  <c r="AD57" i="8"/>
  <c r="AC57" i="8"/>
  <c r="AB57" i="8"/>
  <c r="AA57" i="8"/>
  <c r="Y57" i="8"/>
  <c r="W57" i="8"/>
  <c r="V57" i="8"/>
  <c r="U57" i="8"/>
  <c r="T57" i="8"/>
  <c r="S57" i="8"/>
  <c r="R57" i="8"/>
  <c r="Q57" i="8"/>
  <c r="O57" i="8"/>
  <c r="J57" i="8"/>
  <c r="I57" i="8"/>
  <c r="H57" i="8"/>
  <c r="W56" i="8"/>
  <c r="V56" i="8"/>
  <c r="U56" i="8"/>
  <c r="T56" i="8"/>
  <c r="S56" i="8"/>
  <c r="R56" i="8"/>
  <c r="Q56" i="8"/>
  <c r="I56" i="8"/>
  <c r="H56" i="8"/>
  <c r="G56" i="8"/>
  <c r="AE55" i="8"/>
  <c r="AD55" i="8"/>
  <c r="AC55" i="8"/>
  <c r="AB55" i="8"/>
  <c r="AA55" i="8"/>
  <c r="Z55" i="8"/>
  <c r="Y55" i="8"/>
  <c r="W55" i="8"/>
  <c r="V55" i="8"/>
  <c r="U55" i="8"/>
  <c r="T55" i="8"/>
  <c r="S55" i="8"/>
  <c r="R55" i="8"/>
  <c r="Q55" i="8"/>
  <c r="O55" i="8"/>
  <c r="J55" i="8"/>
  <c r="I55" i="8"/>
  <c r="H55" i="8"/>
  <c r="G55" i="8"/>
  <c r="AE54" i="8"/>
  <c r="AD54" i="8"/>
  <c r="AC54" i="8"/>
  <c r="AB54" i="8"/>
  <c r="AA54" i="8"/>
  <c r="Z54" i="8"/>
  <c r="Y54" i="8"/>
  <c r="W54" i="8"/>
  <c r="V54" i="8"/>
  <c r="U54" i="8"/>
  <c r="T54" i="8"/>
  <c r="S54" i="8"/>
  <c r="R54" i="8"/>
  <c r="Q54" i="8"/>
  <c r="O54" i="8"/>
  <c r="M54" i="8"/>
  <c r="J54" i="8"/>
  <c r="I54" i="8"/>
  <c r="H54" i="8"/>
  <c r="AE53" i="8"/>
  <c r="AD53" i="8"/>
  <c r="AC53" i="8"/>
  <c r="AB53" i="8"/>
  <c r="AA53" i="8"/>
  <c r="Z53" i="8"/>
  <c r="Y53" i="8"/>
  <c r="W53" i="8"/>
  <c r="V53" i="8"/>
  <c r="U53" i="8"/>
  <c r="T53" i="8"/>
  <c r="S53" i="8"/>
  <c r="R53" i="8"/>
  <c r="Q53" i="8"/>
  <c r="O53" i="8"/>
  <c r="M53" i="8"/>
  <c r="J53" i="8"/>
  <c r="I53" i="8"/>
  <c r="H53" i="8"/>
  <c r="AE52" i="8"/>
  <c r="AD52" i="8"/>
  <c r="AC52" i="8"/>
  <c r="AB52" i="8"/>
  <c r="AA52" i="8"/>
  <c r="Z52" i="8"/>
  <c r="Y52" i="8"/>
  <c r="W52" i="8"/>
  <c r="V52" i="8"/>
  <c r="U52" i="8"/>
  <c r="T52" i="8"/>
  <c r="S52" i="8"/>
  <c r="R52" i="8"/>
  <c r="Q52" i="8"/>
  <c r="O52" i="8"/>
  <c r="J52" i="8"/>
  <c r="I52" i="8"/>
  <c r="H52" i="8"/>
  <c r="AE51" i="8"/>
  <c r="AD51" i="8"/>
  <c r="AC51" i="8"/>
  <c r="AB51" i="8"/>
  <c r="AA51" i="8"/>
  <c r="Z51" i="8"/>
  <c r="Y51" i="8"/>
  <c r="W51" i="8"/>
  <c r="V51" i="8"/>
  <c r="U51" i="8"/>
  <c r="T51" i="8"/>
  <c r="S51" i="8"/>
  <c r="R51" i="8"/>
  <c r="Q51" i="8"/>
  <c r="O51" i="8"/>
  <c r="M51" i="8"/>
  <c r="J51" i="8"/>
  <c r="I51" i="8"/>
  <c r="H51" i="8"/>
  <c r="AE50" i="8"/>
  <c r="AD50" i="8"/>
  <c r="AC50" i="8"/>
  <c r="AB50" i="8"/>
  <c r="AA50" i="8"/>
  <c r="Z50" i="8"/>
  <c r="Y50" i="8"/>
  <c r="W50" i="8"/>
  <c r="V50" i="8"/>
  <c r="U50" i="8"/>
  <c r="T50" i="8"/>
  <c r="S50" i="8"/>
  <c r="R50" i="8"/>
  <c r="Q50" i="8"/>
  <c r="O50" i="8"/>
  <c r="J50" i="8"/>
  <c r="I50" i="8"/>
  <c r="H50" i="8"/>
  <c r="AE49" i="8"/>
  <c r="AD49" i="8"/>
  <c r="AB49" i="8"/>
  <c r="AA49" i="8"/>
  <c r="Z49" i="8"/>
  <c r="W49" i="8"/>
  <c r="V49" i="8"/>
  <c r="U49" i="8"/>
  <c r="T49" i="8"/>
  <c r="S49" i="8"/>
  <c r="R49" i="8"/>
  <c r="Q49" i="8"/>
  <c r="J49" i="8"/>
  <c r="I49" i="8"/>
  <c r="H49" i="8"/>
  <c r="AE48" i="8"/>
  <c r="AD48" i="8"/>
  <c r="AC48" i="8"/>
  <c r="AB48" i="8"/>
  <c r="AA48" i="8"/>
  <c r="Z48" i="8"/>
  <c r="Y48" i="8"/>
  <c r="W48" i="8"/>
  <c r="V48" i="8"/>
  <c r="U48" i="8"/>
  <c r="T48" i="8"/>
  <c r="S48" i="8"/>
  <c r="R48" i="8"/>
  <c r="Q48" i="8"/>
  <c r="O48" i="8"/>
  <c r="J48" i="8"/>
  <c r="I48" i="8"/>
  <c r="H48" i="8"/>
  <c r="AE47" i="8"/>
  <c r="AD47" i="8"/>
  <c r="AC47" i="8"/>
  <c r="AB47" i="8"/>
  <c r="AA47" i="8"/>
  <c r="Z47" i="8"/>
  <c r="Y47" i="8"/>
  <c r="W47" i="8"/>
  <c r="V47" i="8"/>
  <c r="U47" i="8"/>
  <c r="T47" i="8"/>
  <c r="S47" i="8"/>
  <c r="R47" i="8"/>
  <c r="Q47" i="8"/>
  <c r="O47" i="8"/>
  <c r="J47" i="8"/>
  <c r="I47" i="8"/>
  <c r="H47" i="8"/>
  <c r="AE46" i="8"/>
  <c r="AD46" i="8"/>
  <c r="AB46" i="8"/>
  <c r="AA46" i="8"/>
  <c r="Z46" i="8"/>
  <c r="Y46" i="8"/>
  <c r="W46" i="8"/>
  <c r="V46" i="8"/>
  <c r="U46" i="8"/>
  <c r="T46" i="8"/>
  <c r="S46" i="8"/>
  <c r="R46" i="8"/>
  <c r="Q46" i="8"/>
  <c r="P46" i="8"/>
  <c r="J46" i="8"/>
  <c r="I46" i="8"/>
  <c r="H46" i="8"/>
  <c r="AE45" i="8"/>
  <c r="AC45" i="8"/>
  <c r="AA45" i="8"/>
  <c r="Z45" i="8"/>
  <c r="W45" i="8"/>
  <c r="V45" i="8"/>
  <c r="U45" i="8"/>
  <c r="T45" i="8"/>
  <c r="S45" i="8"/>
  <c r="R45" i="8"/>
  <c r="Q45" i="8"/>
  <c r="O45" i="8"/>
  <c r="M45" i="8"/>
  <c r="L45" i="8"/>
  <c r="J45" i="8"/>
  <c r="I45" i="8"/>
  <c r="H45" i="8"/>
  <c r="AE44" i="8"/>
  <c r="AD44" i="8"/>
  <c r="AC44" i="8"/>
  <c r="AB44" i="8"/>
  <c r="AA44" i="8"/>
  <c r="Z44" i="8"/>
  <c r="Y44" i="8"/>
  <c r="W44" i="8"/>
  <c r="V44" i="8"/>
  <c r="U44" i="8"/>
  <c r="T44" i="8"/>
  <c r="S44" i="8"/>
  <c r="R44" i="8"/>
  <c r="Q44" i="8"/>
  <c r="J44" i="8"/>
  <c r="I44" i="8"/>
  <c r="H44" i="8"/>
  <c r="G44" i="8"/>
  <c r="AE43" i="8"/>
  <c r="AC43" i="8"/>
  <c r="AB43" i="8"/>
  <c r="AA43" i="8"/>
  <c r="Z43" i="8"/>
  <c r="Y43" i="8"/>
  <c r="W43" i="8"/>
  <c r="V43" i="8"/>
  <c r="U43" i="8"/>
  <c r="T43" i="8"/>
  <c r="S43" i="8"/>
  <c r="R43" i="8"/>
  <c r="Q43" i="8"/>
  <c r="O43" i="8"/>
  <c r="J43" i="8"/>
  <c r="I43" i="8"/>
  <c r="H43" i="8"/>
  <c r="G43" i="8"/>
  <c r="AE42" i="8"/>
  <c r="AD42" i="8"/>
  <c r="AC42" i="8"/>
  <c r="AB42" i="8"/>
  <c r="AA42" i="8"/>
  <c r="Z42" i="8"/>
  <c r="Y42" i="8"/>
  <c r="W42" i="8"/>
  <c r="V42" i="8"/>
  <c r="U42" i="8"/>
  <c r="T42" i="8"/>
  <c r="S42" i="8"/>
  <c r="R42" i="8"/>
  <c r="Q42" i="8"/>
  <c r="K42" i="8"/>
  <c r="J42" i="8"/>
  <c r="I42" i="8"/>
  <c r="H42" i="8"/>
  <c r="G42" i="8"/>
  <c r="AE41" i="8"/>
  <c r="AD41" i="8"/>
  <c r="AC41" i="8"/>
  <c r="AA41" i="8"/>
  <c r="Z41" i="8"/>
  <c r="Y41" i="8"/>
  <c r="W41" i="8"/>
  <c r="V41" i="8"/>
  <c r="U41" i="8"/>
  <c r="T41" i="8"/>
  <c r="S41" i="8"/>
  <c r="R41" i="8"/>
  <c r="Q41" i="8"/>
  <c r="J41" i="8"/>
  <c r="I41" i="8"/>
  <c r="H41" i="8"/>
  <c r="G41" i="8"/>
  <c r="AE40" i="8"/>
  <c r="AD40" i="8"/>
  <c r="AC40" i="8"/>
  <c r="AB40" i="8"/>
  <c r="AA40" i="8"/>
  <c r="Z40" i="8"/>
  <c r="Y40" i="8"/>
  <c r="W40" i="8"/>
  <c r="V40" i="8"/>
  <c r="U40" i="8"/>
  <c r="T40" i="8"/>
  <c r="S40" i="8"/>
  <c r="R40" i="8"/>
  <c r="Q40" i="8"/>
  <c r="J40" i="8"/>
  <c r="I40" i="8"/>
  <c r="H40" i="8"/>
  <c r="G40" i="8"/>
  <c r="AE39" i="8"/>
  <c r="AD39" i="8"/>
  <c r="AC39" i="8"/>
  <c r="AB39" i="8"/>
  <c r="AA39" i="8"/>
  <c r="Z39" i="8"/>
  <c r="Y39" i="8"/>
  <c r="W39" i="8"/>
  <c r="V39" i="8"/>
  <c r="U39" i="8"/>
  <c r="T39" i="8"/>
  <c r="S39" i="8"/>
  <c r="R39" i="8"/>
  <c r="Q39" i="8"/>
  <c r="I39" i="8"/>
  <c r="H39" i="8"/>
  <c r="G39" i="8"/>
  <c r="AE38" i="8"/>
  <c r="AD38" i="8"/>
  <c r="AB38" i="8"/>
  <c r="AA38" i="8"/>
  <c r="Z38" i="8"/>
  <c r="Y38" i="8"/>
  <c r="W38" i="8"/>
  <c r="V38" i="8"/>
  <c r="U38" i="8"/>
  <c r="T38" i="8"/>
  <c r="S38" i="8"/>
  <c r="R38" i="8"/>
  <c r="Q38" i="8"/>
  <c r="J38" i="8"/>
  <c r="I38" i="8"/>
  <c r="H38" i="8"/>
  <c r="AE37" i="8"/>
  <c r="AD37" i="8"/>
  <c r="AC37" i="8"/>
  <c r="AB37" i="8"/>
  <c r="AA37" i="8"/>
  <c r="Z37" i="8"/>
  <c r="Y37" i="8"/>
  <c r="W37" i="8"/>
  <c r="V37" i="8"/>
  <c r="U37" i="8"/>
  <c r="T37" i="8"/>
  <c r="S37" i="8"/>
  <c r="R37" i="8"/>
  <c r="Q37" i="8"/>
  <c r="I37" i="8"/>
  <c r="H37" i="8"/>
  <c r="AD36" i="8"/>
  <c r="AC36" i="8"/>
  <c r="AB36" i="8"/>
  <c r="AA36" i="8"/>
  <c r="Z36" i="8"/>
  <c r="Y36" i="8"/>
  <c r="W36" i="8"/>
  <c r="V36" i="8"/>
  <c r="U36" i="8"/>
  <c r="T36" i="8"/>
  <c r="S36" i="8"/>
  <c r="R36" i="8"/>
  <c r="Q36" i="8"/>
  <c r="M36" i="8"/>
  <c r="J36" i="8"/>
  <c r="I36" i="8"/>
  <c r="H36" i="8"/>
  <c r="G36" i="8"/>
  <c r="AE35" i="8"/>
  <c r="AD35" i="8"/>
  <c r="AC35" i="8"/>
  <c r="AB35" i="8"/>
  <c r="AA35" i="8"/>
  <c r="Z35" i="8"/>
  <c r="W35" i="8"/>
  <c r="V35" i="8"/>
  <c r="U35" i="8"/>
  <c r="T35" i="8"/>
  <c r="S35" i="8"/>
  <c r="R35" i="8"/>
  <c r="Q35" i="8"/>
  <c r="J35" i="8"/>
  <c r="I35" i="8"/>
  <c r="H35" i="8"/>
  <c r="AE34" i="8"/>
  <c r="AD34" i="8"/>
  <c r="AC34" i="8"/>
  <c r="AB34" i="8"/>
  <c r="AA34" i="8"/>
  <c r="Z34" i="8"/>
  <c r="Y34" i="8"/>
  <c r="W34" i="8"/>
  <c r="V34" i="8"/>
  <c r="U34" i="8"/>
  <c r="T34" i="8"/>
  <c r="S34" i="8"/>
  <c r="R34" i="8"/>
  <c r="Q34" i="8"/>
  <c r="J34" i="8"/>
  <c r="I34" i="8"/>
  <c r="H34" i="8"/>
  <c r="G34" i="8"/>
  <c r="AE33" i="8"/>
  <c r="AD33" i="8"/>
  <c r="AC33" i="8"/>
  <c r="AB33" i="8"/>
  <c r="AA33" i="8"/>
  <c r="Z33" i="8"/>
  <c r="Y33" i="8"/>
  <c r="W33" i="8"/>
  <c r="V33" i="8"/>
  <c r="U33" i="8"/>
  <c r="T33" i="8"/>
  <c r="S33" i="8"/>
  <c r="R33" i="8"/>
  <c r="Q33" i="8"/>
  <c r="J33" i="8"/>
  <c r="I33" i="8"/>
  <c r="H33" i="8"/>
  <c r="AE32" i="8"/>
  <c r="AD32" i="8"/>
  <c r="AC32" i="8"/>
  <c r="AB32" i="8"/>
  <c r="AA32" i="8"/>
  <c r="Z32" i="8"/>
  <c r="Y32" i="8"/>
  <c r="W32" i="8"/>
  <c r="V32" i="8"/>
  <c r="U32" i="8"/>
  <c r="T32" i="8"/>
  <c r="S32" i="8"/>
  <c r="R32" i="8"/>
  <c r="Q32" i="8"/>
  <c r="J32" i="8"/>
  <c r="I32" i="8"/>
  <c r="H32" i="8"/>
  <c r="AE31" i="8"/>
  <c r="AD31" i="8"/>
  <c r="AC31" i="8"/>
  <c r="AB31" i="8"/>
  <c r="AA31" i="8"/>
  <c r="Z31" i="8"/>
  <c r="Y31" i="8"/>
  <c r="W31" i="8"/>
  <c r="V31" i="8"/>
  <c r="U31" i="8"/>
  <c r="T31" i="8"/>
  <c r="S31" i="8"/>
  <c r="R31" i="8"/>
  <c r="Q31" i="8"/>
  <c r="I31" i="8"/>
  <c r="H31" i="8"/>
  <c r="AE30" i="8"/>
  <c r="AD30" i="8"/>
  <c r="AC30" i="8"/>
  <c r="AB30" i="8"/>
  <c r="AA30" i="8"/>
  <c r="Z30" i="8"/>
  <c r="Y30" i="8"/>
  <c r="W30" i="8"/>
  <c r="V30" i="8"/>
  <c r="U30" i="8"/>
  <c r="T30" i="8"/>
  <c r="S30" i="8"/>
  <c r="R30" i="8"/>
  <c r="Q30" i="8"/>
  <c r="J30" i="8"/>
  <c r="I30" i="8"/>
  <c r="H30" i="8"/>
  <c r="AE29" i="8"/>
  <c r="AD29" i="8"/>
  <c r="AC29" i="8"/>
  <c r="AB29" i="8"/>
  <c r="AA29" i="8"/>
  <c r="Z29" i="8"/>
  <c r="Y29" i="8"/>
  <c r="W29" i="8"/>
  <c r="V29" i="8"/>
  <c r="U29" i="8"/>
  <c r="T29" i="8"/>
  <c r="S29" i="8"/>
  <c r="R29" i="8"/>
  <c r="Q29" i="8"/>
  <c r="J29" i="8"/>
  <c r="I29" i="8"/>
  <c r="H29" i="8"/>
  <c r="G29" i="8"/>
  <c r="AE28" i="8"/>
  <c r="AD28" i="8"/>
  <c r="AC28" i="8"/>
  <c r="AB28" i="8"/>
  <c r="AA28" i="8"/>
  <c r="Z28" i="8"/>
  <c r="Y28" i="8"/>
  <c r="W28" i="8"/>
  <c r="V28" i="8"/>
  <c r="U28" i="8"/>
  <c r="T28" i="8"/>
  <c r="S28" i="8"/>
  <c r="R28" i="8"/>
  <c r="Q28" i="8"/>
  <c r="I28" i="8"/>
  <c r="H28" i="8"/>
  <c r="G28" i="8"/>
  <c r="AD27" i="8"/>
  <c r="AC27" i="8"/>
  <c r="AB27" i="8"/>
  <c r="Z27" i="8"/>
  <c r="Y27" i="8"/>
  <c r="W27" i="8"/>
  <c r="V27" i="8"/>
  <c r="U27" i="8"/>
  <c r="T27" i="8"/>
  <c r="S27" i="8"/>
  <c r="R27" i="8"/>
  <c r="Q27" i="8"/>
  <c r="N27" i="8"/>
  <c r="J27" i="8"/>
  <c r="I27" i="8"/>
  <c r="H27" i="8"/>
  <c r="G27" i="8"/>
  <c r="AE26" i="8"/>
  <c r="AD26" i="8"/>
  <c r="AC26" i="8"/>
  <c r="AB26" i="8"/>
  <c r="AA26" i="8"/>
  <c r="Z26" i="8"/>
  <c r="Y26" i="8"/>
  <c r="W26" i="8"/>
  <c r="V26" i="8"/>
  <c r="U26" i="8"/>
  <c r="T26" i="8"/>
  <c r="S26" i="8"/>
  <c r="R26" i="8"/>
  <c r="Q26" i="8"/>
  <c r="J26" i="8"/>
  <c r="I26" i="8"/>
  <c r="H26" i="8"/>
  <c r="AE25" i="8"/>
  <c r="AD25" i="8"/>
  <c r="AC25" i="8"/>
  <c r="AB25" i="8"/>
  <c r="AA25" i="8"/>
  <c r="Z25" i="8"/>
  <c r="Y25" i="8"/>
  <c r="W25" i="8"/>
  <c r="V25" i="8"/>
  <c r="U25" i="8"/>
  <c r="T25" i="8"/>
  <c r="S25" i="8"/>
  <c r="R25" i="8"/>
  <c r="Q25" i="8"/>
  <c r="J25" i="8"/>
  <c r="I25" i="8"/>
  <c r="H25" i="8"/>
  <c r="G25" i="8"/>
  <c r="AE24" i="8"/>
  <c r="AC24" i="8"/>
  <c r="AB24" i="8"/>
  <c r="AA24" i="8"/>
  <c r="Y24" i="8"/>
  <c r="W24" i="8"/>
  <c r="V24" i="8"/>
  <c r="U24" i="8"/>
  <c r="T24" i="8"/>
  <c r="S24" i="8"/>
  <c r="R24" i="8"/>
  <c r="Q24" i="8"/>
  <c r="M24" i="8"/>
  <c r="I24" i="8"/>
  <c r="H24" i="8"/>
  <c r="AE23" i="8"/>
  <c r="AD23" i="8"/>
  <c r="AC23" i="8"/>
  <c r="AA23" i="8"/>
  <c r="Z23" i="8"/>
  <c r="Y23" i="8"/>
  <c r="W23" i="8"/>
  <c r="V23" i="8"/>
  <c r="U23" i="8"/>
  <c r="T23" i="8"/>
  <c r="S23" i="8"/>
  <c r="R23" i="8"/>
  <c r="Q23" i="8"/>
  <c r="M23" i="8"/>
  <c r="J23" i="8"/>
  <c r="I23" i="8"/>
  <c r="H23" i="8"/>
  <c r="AE22" i="8"/>
  <c r="AD22" i="8"/>
  <c r="AB22" i="8"/>
  <c r="AA22" i="8"/>
  <c r="Z22" i="8"/>
  <c r="Y22" i="8"/>
  <c r="W22" i="8"/>
  <c r="V22" i="8"/>
  <c r="U22" i="8"/>
  <c r="T22" i="8"/>
  <c r="S22" i="8"/>
  <c r="R22" i="8"/>
  <c r="Q22" i="8"/>
  <c r="M22" i="8"/>
  <c r="J22" i="8"/>
  <c r="I22" i="8"/>
  <c r="H22" i="8"/>
  <c r="AE21" i="8"/>
  <c r="AD21" i="8"/>
  <c r="AC21" i="8"/>
  <c r="AB21" i="8"/>
  <c r="AA21" i="8"/>
  <c r="Z21" i="8"/>
  <c r="W21" i="8"/>
  <c r="V21" i="8"/>
  <c r="U21" i="8"/>
  <c r="T21" i="8"/>
  <c r="S21" i="8"/>
  <c r="R21" i="8"/>
  <c r="Q21" i="8"/>
  <c r="J21" i="8"/>
  <c r="I21" i="8"/>
  <c r="H21" i="8"/>
  <c r="AE20" i="8"/>
  <c r="AD20" i="8"/>
  <c r="AC20" i="8"/>
  <c r="AB20" i="8"/>
  <c r="AA20" i="8"/>
  <c r="Z20" i="8"/>
  <c r="Y20" i="8"/>
  <c r="W20" i="8"/>
  <c r="V20" i="8"/>
  <c r="U20" i="8"/>
  <c r="T20" i="8"/>
  <c r="S20" i="8"/>
  <c r="R20" i="8"/>
  <c r="Q20" i="8"/>
  <c r="J20" i="8"/>
  <c r="I20" i="8"/>
  <c r="H20" i="8"/>
  <c r="G20" i="8"/>
  <c r="W19" i="8"/>
  <c r="V19" i="8"/>
  <c r="U19" i="8"/>
  <c r="T19" i="8"/>
  <c r="S19" i="8"/>
  <c r="R19" i="8"/>
  <c r="Q19" i="8"/>
  <c r="J19" i="8"/>
  <c r="I19" i="8"/>
  <c r="H19" i="8"/>
  <c r="AE18" i="8"/>
  <c r="AD18" i="8"/>
  <c r="AC18" i="8"/>
  <c r="AB18" i="8"/>
  <c r="AA18" i="8"/>
  <c r="Z18" i="8"/>
  <c r="Y18" i="8"/>
  <c r="W18" i="8"/>
  <c r="V18" i="8"/>
  <c r="U18" i="8"/>
  <c r="T18" i="8"/>
  <c r="S18" i="8"/>
  <c r="R18" i="8"/>
  <c r="Q18" i="8"/>
  <c r="M18" i="8"/>
  <c r="J18" i="8"/>
  <c r="I18" i="8"/>
  <c r="H18" i="8"/>
  <c r="G18" i="8"/>
  <c r="AE17" i="8"/>
  <c r="AD17" i="8"/>
  <c r="AC17" i="8"/>
  <c r="AB17" i="8"/>
  <c r="AA17" i="8"/>
  <c r="Z17" i="8"/>
  <c r="Y17" i="8"/>
  <c r="W17" i="8"/>
  <c r="V17" i="8"/>
  <c r="U17" i="8"/>
  <c r="T17" i="8"/>
  <c r="S17" i="8"/>
  <c r="R17" i="8"/>
  <c r="Q17" i="8"/>
  <c r="J17" i="8"/>
  <c r="I17" i="8"/>
  <c r="H17" i="8"/>
  <c r="AE16" i="8"/>
  <c r="AD16" i="8"/>
  <c r="AC16" i="8"/>
  <c r="AB16" i="8"/>
  <c r="AA16" i="8"/>
  <c r="Z16" i="8"/>
  <c r="Y16" i="8"/>
  <c r="W16" i="8"/>
  <c r="V16" i="8"/>
  <c r="U16" i="8"/>
  <c r="T16" i="8"/>
  <c r="S16" i="8"/>
  <c r="R16" i="8"/>
  <c r="Q16" i="8"/>
  <c r="J16" i="8"/>
  <c r="I16" i="8"/>
  <c r="H16" i="8"/>
  <c r="AE15" i="8"/>
  <c r="AD15" i="8"/>
  <c r="AC15" i="8"/>
  <c r="AB15" i="8"/>
  <c r="AA15" i="8"/>
  <c r="Z15" i="8"/>
  <c r="W15" i="8"/>
  <c r="V15" i="8"/>
  <c r="U15" i="8"/>
  <c r="T15" i="8"/>
  <c r="S15" i="8"/>
  <c r="R15" i="8"/>
  <c r="Q15" i="8"/>
  <c r="I15" i="8"/>
  <c r="H15" i="8"/>
  <c r="AE14" i="8"/>
  <c r="AD14" i="8"/>
  <c r="AC14" i="8"/>
  <c r="AB14" i="8"/>
  <c r="AA14" i="8"/>
  <c r="Z14" i="8"/>
  <c r="Y14" i="8"/>
  <c r="W14" i="8"/>
  <c r="V14" i="8"/>
  <c r="U14" i="8"/>
  <c r="T14" i="8"/>
  <c r="S14" i="8"/>
  <c r="R14" i="8"/>
  <c r="Q14" i="8"/>
  <c r="M14" i="8"/>
  <c r="J14" i="8"/>
  <c r="I14" i="8"/>
  <c r="H14" i="8"/>
  <c r="G14" i="8"/>
  <c r="W13" i="8"/>
  <c r="V13" i="8"/>
  <c r="U13" i="8"/>
  <c r="T13" i="8"/>
  <c r="S13" i="8"/>
  <c r="R13" i="8"/>
  <c r="Q13" i="8"/>
  <c r="M13" i="8"/>
  <c r="J13" i="8"/>
  <c r="I13" i="8"/>
  <c r="H13" i="8"/>
  <c r="AE12" i="8"/>
  <c r="AD12" i="8"/>
  <c r="AC12" i="8"/>
  <c r="AB12" i="8"/>
  <c r="AA12" i="8"/>
  <c r="Z12" i="8"/>
  <c r="Y12" i="8"/>
  <c r="W12" i="8"/>
  <c r="V12" i="8"/>
  <c r="U12" i="8"/>
  <c r="T12" i="8"/>
  <c r="S12" i="8"/>
  <c r="R12" i="8"/>
  <c r="Q12" i="8"/>
  <c r="M12" i="8"/>
  <c r="J12" i="8"/>
  <c r="I12" i="8"/>
  <c r="H12" i="8"/>
  <c r="G12" i="8"/>
  <c r="AE11" i="8"/>
  <c r="AD11" i="8"/>
  <c r="AC11" i="8"/>
  <c r="AB11" i="8"/>
  <c r="AA11" i="8"/>
  <c r="Z11" i="8"/>
  <c r="Y11" i="8"/>
  <c r="W11" i="8"/>
  <c r="V11" i="8"/>
  <c r="U11" i="8"/>
  <c r="T11" i="8"/>
  <c r="S11" i="8"/>
  <c r="R11" i="8"/>
  <c r="Q11" i="8"/>
  <c r="M11" i="8"/>
  <c r="J11" i="8"/>
  <c r="I11" i="8"/>
  <c r="H11" i="8"/>
  <c r="G11" i="8"/>
  <c r="AE10" i="8"/>
  <c r="AD10" i="8"/>
  <c r="AB10" i="8"/>
  <c r="AA10" i="8"/>
  <c r="Z10" i="8"/>
  <c r="Y10" i="8"/>
  <c r="W10" i="8"/>
  <c r="V10" i="8"/>
  <c r="U10" i="8"/>
  <c r="T10" i="8"/>
  <c r="S10" i="8"/>
  <c r="R10" i="8"/>
  <c r="Q10" i="8"/>
  <c r="J10" i="8"/>
  <c r="I10" i="8"/>
  <c r="H10" i="8"/>
  <c r="AE9" i="8"/>
  <c r="AD9" i="8"/>
  <c r="AC9" i="8"/>
  <c r="AB9" i="8"/>
  <c r="AA9" i="8"/>
  <c r="Y9" i="8"/>
  <c r="W9" i="8"/>
  <c r="V9" i="8"/>
  <c r="U9" i="8"/>
  <c r="T9" i="8"/>
  <c r="S9" i="8"/>
  <c r="R9" i="8"/>
  <c r="Q9" i="8"/>
  <c r="J9" i="8"/>
  <c r="I9" i="8"/>
  <c r="H9" i="8"/>
  <c r="AE8" i="8"/>
  <c r="AD8" i="8"/>
  <c r="AC8" i="8"/>
  <c r="AB8" i="8"/>
  <c r="AA8" i="8"/>
  <c r="Z8" i="8"/>
  <c r="Y8" i="8"/>
  <c r="W8" i="8"/>
  <c r="V8" i="8"/>
  <c r="U8" i="8"/>
  <c r="T8" i="8"/>
  <c r="S8" i="8"/>
  <c r="R8" i="8"/>
  <c r="Q8" i="8"/>
  <c r="I8" i="8"/>
  <c r="H8" i="8"/>
  <c r="AE7" i="8"/>
  <c r="AD7" i="8"/>
  <c r="AC7" i="8"/>
  <c r="AB7" i="8"/>
  <c r="AA7" i="8"/>
  <c r="Z7" i="8"/>
  <c r="Y7" i="8"/>
  <c r="W7" i="8"/>
  <c r="V7" i="8"/>
  <c r="U7" i="8"/>
  <c r="T7" i="8"/>
  <c r="S7" i="8"/>
  <c r="R7" i="8"/>
  <c r="Q7" i="8"/>
  <c r="J7" i="8"/>
  <c r="I7" i="8"/>
  <c r="H7" i="8"/>
  <c r="AE6" i="8"/>
  <c r="AD6" i="8"/>
  <c r="AC6" i="8"/>
  <c r="AB6" i="8"/>
  <c r="AA6" i="8"/>
  <c r="Z6" i="8"/>
  <c r="Y6" i="8"/>
  <c r="W6" i="8"/>
  <c r="V6" i="8"/>
  <c r="U6" i="8"/>
  <c r="T6" i="8"/>
  <c r="S6" i="8"/>
  <c r="R6" i="8"/>
  <c r="Q6" i="8"/>
  <c r="M6" i="8"/>
  <c r="I6" i="8"/>
  <c r="H6" i="8"/>
  <c r="G6" i="8"/>
  <c r="AE5" i="8"/>
  <c r="AD5" i="8"/>
  <c r="AC5" i="8"/>
  <c r="AB5" i="8"/>
  <c r="AA5" i="8"/>
  <c r="Z5" i="8"/>
  <c r="Y5" i="8"/>
  <c r="W5" i="8"/>
  <c r="V5" i="8"/>
  <c r="U5" i="8"/>
  <c r="T5" i="8"/>
  <c r="S5" i="8"/>
  <c r="R5" i="8"/>
  <c r="Q5" i="8"/>
  <c r="J5" i="8"/>
  <c r="I5" i="8"/>
  <c r="H5" i="8"/>
  <c r="G5" i="8"/>
  <c r="AE4" i="8"/>
  <c r="AD4" i="8"/>
  <c r="AC4" i="8"/>
  <c r="AB4" i="8"/>
  <c r="AA4" i="8"/>
  <c r="Z4" i="8"/>
  <c r="Y4" i="8"/>
  <c r="W4" i="8"/>
  <c r="V4" i="8"/>
  <c r="U4" i="8"/>
  <c r="T4" i="8"/>
  <c r="S4" i="8"/>
  <c r="R4" i="8"/>
  <c r="Q4" i="8"/>
  <c r="N4" i="8"/>
  <c r="J4" i="8"/>
  <c r="I4" i="8"/>
  <c r="H4" i="8"/>
  <c r="G4" i="8"/>
  <c r="AE3" i="8"/>
  <c r="AD3" i="8"/>
  <c r="AB3" i="8"/>
  <c r="AA3" i="8"/>
  <c r="Z3" i="8"/>
  <c r="Y3" i="8"/>
  <c r="W3" i="8"/>
  <c r="V3" i="8"/>
  <c r="U3" i="8"/>
  <c r="T3" i="8"/>
  <c r="S3" i="8"/>
  <c r="R3" i="8"/>
  <c r="Q3" i="8"/>
  <c r="M3" i="8"/>
  <c r="J3" i="8"/>
  <c r="I3" i="8"/>
  <c r="H3" i="8"/>
  <c r="G3" i="8"/>
  <c r="AD2" i="8"/>
  <c r="AC2" i="8"/>
  <c r="AB2" i="8"/>
  <c r="AA2" i="8"/>
  <c r="Z2" i="8"/>
  <c r="W2" i="8"/>
  <c r="V2" i="8"/>
  <c r="U2" i="8"/>
  <c r="T2" i="8"/>
  <c r="S2" i="8"/>
  <c r="R2" i="8"/>
  <c r="Q2" i="8"/>
  <c r="M2" i="8"/>
  <c r="J2" i="8"/>
  <c r="I2" i="8"/>
  <c r="H2" i="8"/>
  <c r="AR42" i="6" l="1"/>
  <c r="AQ42" i="6"/>
  <c r="AP42" i="6"/>
  <c r="AO42" i="6"/>
  <c r="AN42" i="6"/>
  <c r="AM42" i="6"/>
  <c r="AL42" i="6"/>
  <c r="AK42" i="6"/>
  <c r="AR41" i="6"/>
  <c r="AQ41" i="6"/>
  <c r="AP41" i="6"/>
  <c r="AO41" i="6"/>
  <c r="AN41" i="6"/>
  <c r="AM41" i="6"/>
  <c r="AL41" i="6"/>
  <c r="AK41" i="6"/>
  <c r="AR40" i="6"/>
  <c r="AQ40" i="6"/>
  <c r="AP40" i="6"/>
  <c r="AO40" i="6"/>
  <c r="AN40" i="6"/>
  <c r="AM40" i="6"/>
  <c r="AL40" i="6"/>
  <c r="AK40" i="6"/>
  <c r="AR39" i="6"/>
  <c r="AQ39" i="6"/>
  <c r="AN39" i="6"/>
  <c r="AM39" i="6"/>
  <c r="AL39" i="6"/>
  <c r="AR38" i="6"/>
  <c r="AQ38" i="6"/>
  <c r="AP38" i="6"/>
  <c r="AO38" i="6"/>
  <c r="AN38" i="6"/>
  <c r="AM38" i="6"/>
  <c r="AL38" i="6"/>
  <c r="AK38" i="6"/>
  <c r="AR37" i="6"/>
  <c r="AQ37" i="6"/>
  <c r="AP37" i="6"/>
  <c r="AO37" i="6"/>
  <c r="AN37" i="6"/>
  <c r="AM37" i="6"/>
  <c r="AL37" i="6"/>
  <c r="AK37" i="6"/>
  <c r="AR36" i="6"/>
  <c r="AQ36" i="6"/>
  <c r="AP36" i="6"/>
  <c r="AO36" i="6"/>
  <c r="AN36" i="6"/>
  <c r="AM36" i="6"/>
  <c r="AK36" i="6"/>
  <c r="AR35" i="6"/>
  <c r="AQ35" i="6"/>
  <c r="AP35" i="6"/>
  <c r="AO35" i="6"/>
  <c r="AN35" i="6"/>
  <c r="AM35" i="6"/>
  <c r="AL35" i="6"/>
  <c r="AK35" i="6"/>
  <c r="AR34" i="6"/>
  <c r="AQ34" i="6"/>
  <c r="AP34" i="6"/>
  <c r="AO34" i="6"/>
  <c r="AN34" i="6"/>
  <c r="AM34" i="6"/>
  <c r="AL34" i="6"/>
  <c r="AK34" i="6"/>
  <c r="AR33" i="6"/>
  <c r="AQ33" i="6"/>
  <c r="AP33" i="6"/>
  <c r="AO33" i="6"/>
  <c r="AN33" i="6"/>
  <c r="AM33" i="6"/>
  <c r="AL33" i="6"/>
  <c r="AK33" i="6"/>
  <c r="AR32" i="6"/>
  <c r="AQ32" i="6"/>
  <c r="AP32" i="6"/>
  <c r="AO32" i="6"/>
  <c r="AN32" i="6"/>
  <c r="AM32" i="6"/>
  <c r="AL32" i="6"/>
  <c r="AK32" i="6"/>
  <c r="AQ31" i="6"/>
  <c r="AO31" i="6"/>
  <c r="AN31" i="6"/>
  <c r="AM31" i="6"/>
  <c r="AL31" i="6"/>
  <c r="AR30" i="6"/>
  <c r="AQ30" i="6"/>
  <c r="AP30" i="6"/>
  <c r="AO30" i="6"/>
  <c r="AN30" i="6"/>
  <c r="AM30" i="6"/>
  <c r="AL30" i="6"/>
  <c r="AK30" i="6"/>
  <c r="AR29" i="6"/>
  <c r="AQ29" i="6"/>
  <c r="AP29" i="6"/>
  <c r="AO29" i="6"/>
  <c r="AN29" i="6"/>
  <c r="AM29" i="6"/>
  <c r="AL29" i="6"/>
  <c r="AK29" i="6"/>
  <c r="AQ28" i="6"/>
  <c r="AP28" i="6"/>
  <c r="AO28" i="6"/>
  <c r="AN28" i="6"/>
  <c r="AM28" i="6"/>
  <c r="AL28" i="6"/>
  <c r="AK28" i="6"/>
  <c r="AR27" i="6"/>
  <c r="AQ27" i="6"/>
  <c r="AP27" i="6"/>
  <c r="AO27" i="6"/>
  <c r="AN27" i="6"/>
  <c r="AM27" i="6"/>
  <c r="AL27" i="6"/>
  <c r="AK27" i="6"/>
  <c r="AR26" i="6"/>
  <c r="AQ26" i="6"/>
  <c r="AP26" i="6"/>
  <c r="AO26" i="6"/>
  <c r="AN26" i="6"/>
  <c r="AM26" i="6"/>
  <c r="AL26" i="6"/>
  <c r="AK26" i="6"/>
  <c r="AR25" i="6"/>
  <c r="AQ25" i="6"/>
  <c r="AP25" i="6"/>
  <c r="AO25" i="6"/>
  <c r="AN25" i="6"/>
  <c r="AM25" i="6"/>
  <c r="AL25" i="6"/>
  <c r="AK25" i="6"/>
  <c r="AR24" i="6"/>
  <c r="AQ24" i="6"/>
  <c r="AP24" i="6"/>
  <c r="AO24" i="6"/>
  <c r="AN24" i="6"/>
  <c r="AM24" i="6"/>
  <c r="AL24" i="6"/>
  <c r="AK24" i="6"/>
  <c r="AR23" i="6"/>
  <c r="AQ23" i="6"/>
  <c r="AP23" i="6"/>
  <c r="AO23" i="6"/>
  <c r="AN23" i="6"/>
  <c r="AM23" i="6"/>
  <c r="AL23" i="6"/>
  <c r="AK23" i="6"/>
  <c r="AR22" i="6"/>
  <c r="AQ22" i="6"/>
  <c r="AP22" i="6"/>
  <c r="AO22" i="6"/>
  <c r="AN22" i="6"/>
  <c r="AM22" i="6"/>
  <c r="AL22" i="6"/>
  <c r="AK22" i="6"/>
  <c r="AR21" i="6"/>
  <c r="AQ21" i="6"/>
  <c r="AP21" i="6"/>
  <c r="AO21" i="6"/>
  <c r="AN21" i="6"/>
  <c r="AM21" i="6"/>
  <c r="AL21" i="6"/>
  <c r="AK21" i="6"/>
  <c r="AR20" i="6"/>
  <c r="AQ20" i="6"/>
  <c r="AP20" i="6"/>
  <c r="AO20" i="6"/>
  <c r="AN20" i="6"/>
  <c r="AM20" i="6"/>
  <c r="AL20" i="6"/>
  <c r="AK20" i="6"/>
  <c r="AR19" i="6"/>
  <c r="AQ19" i="6"/>
  <c r="AP19" i="6"/>
  <c r="AO19" i="6"/>
  <c r="AN19" i="6"/>
  <c r="AM19" i="6"/>
  <c r="AL19" i="6"/>
  <c r="AK19" i="6"/>
  <c r="AR18" i="6"/>
  <c r="AQ18" i="6"/>
  <c r="AP18" i="6"/>
  <c r="AO18" i="6"/>
  <c r="AN18" i="6"/>
  <c r="AM18" i="6"/>
  <c r="AL18" i="6"/>
  <c r="AK18" i="6"/>
  <c r="AR17" i="6"/>
  <c r="AQ17" i="6"/>
  <c r="AP17" i="6"/>
  <c r="AO17" i="6"/>
  <c r="AN17" i="6"/>
  <c r="AM17" i="6"/>
  <c r="AL17" i="6"/>
  <c r="AK17" i="6"/>
  <c r="AR16" i="6"/>
  <c r="AQ16" i="6"/>
  <c r="AP16" i="6"/>
  <c r="AO16" i="6"/>
  <c r="AN16" i="6"/>
  <c r="AM16" i="6"/>
  <c r="AK16" i="6"/>
  <c r="AR15" i="6"/>
  <c r="AQ15" i="6"/>
  <c r="AP15" i="6"/>
  <c r="AO15" i="6"/>
  <c r="AN15" i="6"/>
  <c r="AM15" i="6"/>
  <c r="AL15" i="6"/>
  <c r="AK15" i="6"/>
  <c r="AR14" i="6"/>
  <c r="AQ14" i="6"/>
  <c r="AP14" i="6"/>
  <c r="AO14" i="6"/>
  <c r="AN14" i="6"/>
  <c r="AM14" i="6"/>
  <c r="AL14" i="6"/>
  <c r="AK14" i="6"/>
  <c r="AR13" i="6"/>
  <c r="AQ13" i="6"/>
  <c r="AO13" i="6"/>
  <c r="AN13" i="6"/>
  <c r="AM13" i="6"/>
  <c r="AL13" i="6"/>
  <c r="AK13" i="6"/>
  <c r="AR12" i="6"/>
  <c r="AP12" i="6"/>
  <c r="AO12" i="6"/>
  <c r="AN12" i="6"/>
  <c r="AM12" i="6"/>
  <c r="AL12" i="6"/>
  <c r="AK12" i="6"/>
  <c r="AR11" i="6"/>
  <c r="AQ11" i="6"/>
  <c r="AP11" i="6"/>
  <c r="AO11" i="6"/>
  <c r="AN11" i="6"/>
  <c r="AM11" i="6"/>
  <c r="AL11" i="6"/>
  <c r="AK11" i="6"/>
  <c r="AR10" i="6"/>
  <c r="AQ10" i="6"/>
  <c r="AP10" i="6"/>
  <c r="AO10" i="6"/>
  <c r="AN10" i="6"/>
  <c r="AM10" i="6"/>
  <c r="AL10" i="6"/>
  <c r="AK10" i="6"/>
  <c r="AR9" i="6"/>
  <c r="AQ9" i="6"/>
  <c r="AP9" i="6"/>
  <c r="AO9" i="6"/>
  <c r="AN9" i="6"/>
  <c r="AM9" i="6"/>
  <c r="AL9" i="6"/>
  <c r="AK9" i="6"/>
  <c r="AR8" i="6"/>
  <c r="AQ8" i="6"/>
  <c r="AP8" i="6"/>
  <c r="AO8" i="6"/>
  <c r="AN8" i="6"/>
  <c r="AM8" i="6"/>
  <c r="AL8" i="6"/>
  <c r="AK8" i="6"/>
  <c r="AR7" i="6"/>
  <c r="AQ7" i="6"/>
  <c r="AP7" i="6"/>
  <c r="AO7" i="6"/>
  <c r="AN7" i="6"/>
  <c r="AM7" i="6"/>
  <c r="AL7" i="6"/>
  <c r="AK7" i="6"/>
  <c r="AR6" i="6"/>
  <c r="AQ6" i="6"/>
  <c r="AP6" i="6"/>
  <c r="AO6" i="6"/>
  <c r="AN6" i="6"/>
  <c r="AM6" i="6"/>
  <c r="AL6" i="6"/>
  <c r="AK6" i="6"/>
  <c r="AR5" i="6"/>
  <c r="AQ5" i="6"/>
  <c r="AP5" i="6"/>
  <c r="AO5" i="6"/>
  <c r="AN5" i="6"/>
  <c r="AM5" i="6"/>
  <c r="AL5" i="6"/>
  <c r="AK5" i="6"/>
  <c r="AR4" i="6"/>
  <c r="AQ4" i="6"/>
  <c r="AP4" i="6"/>
  <c r="AO4" i="6"/>
  <c r="AN4" i="6"/>
  <c r="AM4" i="6"/>
  <c r="AL4" i="6"/>
  <c r="AK4" i="6"/>
  <c r="AR3" i="6"/>
  <c r="AO3" i="6"/>
  <c r="AN3" i="6"/>
  <c r="AM3" i="6"/>
  <c r="AL3" i="6"/>
  <c r="AK3" i="6"/>
  <c r="AR2" i="6"/>
  <c r="AQ2" i="6"/>
  <c r="AP2" i="6"/>
  <c r="AO2" i="6"/>
  <c r="AN2" i="6"/>
  <c r="AM2" i="6"/>
  <c r="AL2" i="6"/>
  <c r="AK2" i="6"/>
  <c r="AE78" i="6"/>
  <c r="AD78" i="6"/>
  <c r="AC78" i="6"/>
  <c r="AB78" i="6"/>
  <c r="AA78" i="6"/>
  <c r="Z78" i="6"/>
  <c r="Y78" i="6"/>
  <c r="W78" i="6"/>
  <c r="V78" i="6"/>
  <c r="U78" i="6"/>
  <c r="T78" i="6"/>
  <c r="S78" i="6"/>
  <c r="R78" i="6"/>
  <c r="Q78" i="6"/>
  <c r="J78" i="6"/>
  <c r="I78" i="6"/>
  <c r="H78" i="6"/>
  <c r="AE77" i="6"/>
  <c r="AD77" i="6"/>
  <c r="AC77" i="6"/>
  <c r="AB77" i="6"/>
  <c r="AA77" i="6"/>
  <c r="Z77" i="6"/>
  <c r="Y77" i="6"/>
  <c r="W77" i="6"/>
  <c r="V77" i="6"/>
  <c r="U77" i="6"/>
  <c r="T77" i="6"/>
  <c r="S77" i="6"/>
  <c r="R77" i="6"/>
  <c r="Q77" i="6"/>
  <c r="L77" i="6"/>
  <c r="J77" i="6"/>
  <c r="I77" i="6"/>
  <c r="H77" i="6"/>
  <c r="AE76" i="6"/>
  <c r="AD76" i="6"/>
  <c r="AC76" i="6"/>
  <c r="AB76" i="6"/>
  <c r="AA76" i="6"/>
  <c r="Z76" i="6"/>
  <c r="Y76" i="6"/>
  <c r="X76" i="6"/>
  <c r="W76" i="6"/>
  <c r="V76" i="6"/>
  <c r="U76" i="6"/>
  <c r="T76" i="6"/>
  <c r="S76" i="6"/>
  <c r="R76" i="6"/>
  <c r="Q76" i="6"/>
  <c r="P76" i="6"/>
  <c r="M76" i="6"/>
  <c r="J76" i="6"/>
  <c r="I76" i="6"/>
  <c r="H76" i="6"/>
  <c r="AD75" i="6"/>
  <c r="AC75" i="6"/>
  <c r="AB75" i="6"/>
  <c r="AA75" i="6"/>
  <c r="Z75" i="6"/>
  <c r="Y75" i="6"/>
  <c r="W75" i="6"/>
  <c r="V75" i="6"/>
  <c r="U75" i="6"/>
  <c r="T75" i="6"/>
  <c r="S75" i="6"/>
  <c r="R75" i="6"/>
  <c r="Q75" i="6"/>
  <c r="P75" i="6"/>
  <c r="M75" i="6"/>
  <c r="J75" i="6"/>
  <c r="I75" i="6"/>
  <c r="H75" i="6"/>
  <c r="AE74" i="6"/>
  <c r="AD74" i="6"/>
  <c r="AC74" i="6"/>
  <c r="AB74" i="6"/>
  <c r="AA74" i="6"/>
  <c r="Z74" i="6"/>
  <c r="Y74" i="6"/>
  <c r="X74" i="6"/>
  <c r="W74" i="6"/>
  <c r="V74" i="6"/>
  <c r="U74" i="6"/>
  <c r="T74" i="6"/>
  <c r="S74" i="6"/>
  <c r="R74" i="6"/>
  <c r="Q74" i="6"/>
  <c r="P74" i="6"/>
  <c r="M74" i="6"/>
  <c r="J74" i="6"/>
  <c r="I74" i="6"/>
  <c r="H74" i="6"/>
  <c r="AE73" i="6"/>
  <c r="AD73" i="6"/>
  <c r="AC73" i="6"/>
  <c r="AB73" i="6"/>
  <c r="AA73" i="6"/>
  <c r="Z73" i="6"/>
  <c r="Y73" i="6"/>
  <c r="W73" i="6"/>
  <c r="V73" i="6"/>
  <c r="U73" i="6"/>
  <c r="T73" i="6"/>
  <c r="S73" i="6"/>
  <c r="R73" i="6"/>
  <c r="Q73" i="6"/>
  <c r="M73" i="6"/>
  <c r="K73" i="6"/>
  <c r="J73" i="6"/>
  <c r="I73" i="6"/>
  <c r="H73" i="6"/>
  <c r="AE72" i="6"/>
  <c r="AD72" i="6"/>
  <c r="AC72" i="6"/>
  <c r="AB72" i="6"/>
  <c r="AA72" i="6"/>
  <c r="Z72" i="6"/>
  <c r="Y72" i="6"/>
  <c r="V72" i="6"/>
  <c r="U72" i="6"/>
  <c r="T72" i="6"/>
  <c r="S72" i="6"/>
  <c r="R72" i="6"/>
  <c r="Q72" i="6"/>
  <c r="M72" i="6"/>
  <c r="J72" i="6"/>
  <c r="I72" i="6"/>
  <c r="H72" i="6"/>
  <c r="AG71" i="6"/>
  <c r="AE71" i="6"/>
  <c r="AD71" i="6"/>
  <c r="AC71" i="6"/>
  <c r="AB71" i="6"/>
  <c r="AA71" i="6"/>
  <c r="Z71" i="6"/>
  <c r="Y71" i="6"/>
  <c r="W71" i="6"/>
  <c r="V71" i="6"/>
  <c r="U71" i="6"/>
  <c r="T71" i="6"/>
  <c r="S71" i="6"/>
  <c r="R71" i="6"/>
  <c r="Q71" i="6"/>
  <c r="J71" i="6"/>
  <c r="I71" i="6"/>
  <c r="H71" i="6"/>
  <c r="AE70" i="6"/>
  <c r="AD70" i="6"/>
  <c r="AC70" i="6"/>
  <c r="AB70" i="6"/>
  <c r="AA70" i="6"/>
  <c r="Z70" i="6"/>
  <c r="Y70" i="6"/>
  <c r="W70" i="6"/>
  <c r="V70" i="6"/>
  <c r="U70" i="6"/>
  <c r="T70" i="6"/>
  <c r="S70" i="6"/>
  <c r="R70" i="6"/>
  <c r="Q70" i="6"/>
  <c r="K70" i="6"/>
  <c r="J70" i="6"/>
  <c r="I70" i="6"/>
  <c r="H70" i="6"/>
  <c r="AE69" i="6"/>
  <c r="AD69" i="6"/>
  <c r="AC69" i="6"/>
  <c r="AB69" i="6"/>
  <c r="AA69" i="6"/>
  <c r="Z69" i="6"/>
  <c r="Y69" i="6"/>
  <c r="W69" i="6"/>
  <c r="V69" i="6"/>
  <c r="U69" i="6"/>
  <c r="T69" i="6"/>
  <c r="S69" i="6"/>
  <c r="R69" i="6"/>
  <c r="Q69" i="6"/>
  <c r="J69" i="6"/>
  <c r="I69" i="6"/>
  <c r="H69" i="6"/>
  <c r="AE68" i="6"/>
  <c r="AD68" i="6"/>
  <c r="AC68" i="6"/>
  <c r="AB68" i="6"/>
  <c r="AA68" i="6"/>
  <c r="Z68" i="6"/>
  <c r="Y68" i="6"/>
  <c r="X68" i="6"/>
  <c r="W68" i="6"/>
  <c r="V68" i="6"/>
  <c r="U68" i="6"/>
  <c r="T68" i="6"/>
  <c r="S68" i="6"/>
  <c r="R68" i="6"/>
  <c r="Q68" i="6"/>
  <c r="P68" i="6"/>
  <c r="M68" i="6"/>
  <c r="J68" i="6"/>
  <c r="I68" i="6"/>
  <c r="H68" i="6"/>
  <c r="AE67" i="6"/>
  <c r="AD67" i="6"/>
  <c r="AC67" i="6"/>
  <c r="AB67" i="6"/>
  <c r="AA67" i="6"/>
  <c r="Z67" i="6"/>
  <c r="Y67" i="6"/>
  <c r="W67" i="6"/>
  <c r="V67" i="6"/>
  <c r="U67" i="6"/>
  <c r="T67" i="6"/>
  <c r="S67" i="6"/>
  <c r="R67" i="6"/>
  <c r="Q67" i="6"/>
  <c r="P67" i="6"/>
  <c r="N67" i="6"/>
  <c r="M67" i="6"/>
  <c r="J67" i="6"/>
  <c r="I67" i="6"/>
  <c r="H67" i="6"/>
  <c r="AE66" i="6"/>
  <c r="AD66" i="6"/>
  <c r="AC66" i="6"/>
  <c r="AB66" i="6"/>
  <c r="AA66" i="6"/>
  <c r="Z66" i="6"/>
  <c r="Y66" i="6"/>
  <c r="W66" i="6"/>
  <c r="V66" i="6"/>
  <c r="U66" i="6"/>
  <c r="T66" i="6"/>
  <c r="S66" i="6"/>
  <c r="R66" i="6"/>
  <c r="Q66" i="6"/>
  <c r="J66" i="6"/>
  <c r="I66" i="6"/>
  <c r="H66" i="6"/>
  <c r="AE65" i="6"/>
  <c r="AD65" i="6"/>
  <c r="AC65" i="6"/>
  <c r="AB65" i="6"/>
  <c r="AA65" i="6"/>
  <c r="Z65" i="6"/>
  <c r="Y65" i="6"/>
  <c r="W65" i="6"/>
  <c r="V65" i="6"/>
  <c r="U65" i="6"/>
  <c r="T65" i="6"/>
  <c r="S65" i="6"/>
  <c r="R65" i="6"/>
  <c r="Q65" i="6"/>
  <c r="K65" i="6"/>
  <c r="J65" i="6"/>
  <c r="I65" i="6"/>
  <c r="H65" i="6"/>
  <c r="G65" i="6"/>
  <c r="AE64" i="6"/>
  <c r="AD64" i="6"/>
  <c r="AC64" i="6"/>
  <c r="AB64" i="6"/>
  <c r="AA64" i="6"/>
  <c r="Z64" i="6"/>
  <c r="Y64" i="6"/>
  <c r="W64" i="6"/>
  <c r="V64" i="6"/>
  <c r="U64" i="6"/>
  <c r="T64" i="6"/>
  <c r="S64" i="6"/>
  <c r="R64" i="6"/>
  <c r="Q64" i="6"/>
  <c r="K64" i="6"/>
  <c r="J64" i="6"/>
  <c r="I64" i="6"/>
  <c r="H64" i="6"/>
  <c r="AE63" i="6"/>
  <c r="AD63" i="6"/>
  <c r="AC63" i="6"/>
  <c r="AB63" i="6"/>
  <c r="AA63" i="6"/>
  <c r="Z63" i="6"/>
  <c r="Y63" i="6"/>
  <c r="W63" i="6"/>
  <c r="V63" i="6"/>
  <c r="U63" i="6"/>
  <c r="T63" i="6"/>
  <c r="S63" i="6"/>
  <c r="R63" i="6"/>
  <c r="Q63" i="6"/>
  <c r="I63" i="6"/>
  <c r="H63" i="6"/>
  <c r="G63" i="6"/>
  <c r="AE62" i="6"/>
  <c r="AD62" i="6"/>
  <c r="AC62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K62" i="6"/>
  <c r="J62" i="6"/>
  <c r="I62" i="6"/>
  <c r="H62" i="6"/>
  <c r="AE61" i="6"/>
  <c r="AD61" i="6"/>
  <c r="AC61" i="6"/>
  <c r="AB61" i="6"/>
  <c r="AA61" i="6"/>
  <c r="Z61" i="6"/>
  <c r="Y61" i="6"/>
  <c r="W61" i="6"/>
  <c r="V61" i="6"/>
  <c r="U61" i="6"/>
  <c r="T61" i="6"/>
  <c r="S61" i="6"/>
  <c r="R61" i="6"/>
  <c r="Q61" i="6"/>
  <c r="I61" i="6"/>
  <c r="H61" i="6"/>
  <c r="AE60" i="6"/>
  <c r="AD60" i="6"/>
  <c r="AC60" i="6"/>
  <c r="AB60" i="6"/>
  <c r="AA60" i="6"/>
  <c r="Z60" i="6"/>
  <c r="Y60" i="6"/>
  <c r="X60" i="6"/>
  <c r="W60" i="6"/>
  <c r="V60" i="6"/>
  <c r="U60" i="6"/>
  <c r="T60" i="6"/>
  <c r="S60" i="6"/>
  <c r="R60" i="6"/>
  <c r="Q60" i="6"/>
  <c r="P60" i="6"/>
  <c r="I60" i="6"/>
  <c r="H60" i="6"/>
  <c r="G60" i="6"/>
  <c r="AE59" i="6"/>
  <c r="AD59" i="6"/>
  <c r="AC59" i="6"/>
  <c r="AB59" i="6"/>
  <c r="AA59" i="6"/>
  <c r="Z59" i="6"/>
  <c r="Y59" i="6"/>
  <c r="W59" i="6"/>
  <c r="V59" i="6"/>
  <c r="U59" i="6"/>
  <c r="T59" i="6"/>
  <c r="S59" i="6"/>
  <c r="R59" i="6"/>
  <c r="Q59" i="6"/>
  <c r="I59" i="6"/>
  <c r="H59" i="6"/>
  <c r="G59" i="6"/>
  <c r="AE58" i="6"/>
  <c r="AD58" i="6"/>
  <c r="AC58" i="6"/>
  <c r="AB58" i="6"/>
  <c r="AA58" i="6"/>
  <c r="Z58" i="6"/>
  <c r="Y58" i="6"/>
  <c r="X58" i="6"/>
  <c r="W58" i="6"/>
  <c r="V58" i="6"/>
  <c r="U58" i="6"/>
  <c r="T58" i="6"/>
  <c r="S58" i="6"/>
  <c r="R58" i="6"/>
  <c r="Q58" i="6"/>
  <c r="P58" i="6"/>
  <c r="M58" i="6"/>
  <c r="J58" i="6"/>
  <c r="I58" i="6"/>
  <c r="H58" i="6"/>
  <c r="AE57" i="6"/>
  <c r="AD57" i="6"/>
  <c r="AC57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J57" i="6"/>
  <c r="I57" i="6"/>
  <c r="H57" i="6"/>
  <c r="AE56" i="6"/>
  <c r="AD56" i="6"/>
  <c r="AC56" i="6"/>
  <c r="AB56" i="6"/>
  <c r="AA56" i="6"/>
  <c r="Z56" i="6"/>
  <c r="Y56" i="6"/>
  <c r="W56" i="6"/>
  <c r="V56" i="6"/>
  <c r="U56" i="6"/>
  <c r="T56" i="6"/>
  <c r="S56" i="6"/>
  <c r="R56" i="6"/>
  <c r="Q56" i="6"/>
  <c r="N56" i="6"/>
  <c r="K56" i="6"/>
  <c r="I56" i="6"/>
  <c r="H56" i="6"/>
  <c r="G56" i="6"/>
  <c r="AE55" i="6"/>
  <c r="AD55" i="6"/>
  <c r="AC55" i="6"/>
  <c r="AB55" i="6"/>
  <c r="AA55" i="6"/>
  <c r="Z55" i="6"/>
  <c r="Y55" i="6"/>
  <c r="W55" i="6"/>
  <c r="V55" i="6"/>
  <c r="U55" i="6"/>
  <c r="T55" i="6"/>
  <c r="S55" i="6"/>
  <c r="R55" i="6"/>
  <c r="Q55" i="6"/>
  <c r="P55" i="6"/>
  <c r="I55" i="6"/>
  <c r="H55" i="6"/>
  <c r="G55" i="6"/>
  <c r="AE54" i="6"/>
  <c r="AD54" i="6"/>
  <c r="AC54" i="6"/>
  <c r="AB54" i="6"/>
  <c r="AA54" i="6"/>
  <c r="Z54" i="6"/>
  <c r="Y54" i="6"/>
  <c r="X54" i="6"/>
  <c r="W54" i="6"/>
  <c r="V54" i="6"/>
  <c r="U54" i="6"/>
  <c r="T54" i="6"/>
  <c r="S54" i="6"/>
  <c r="R54" i="6"/>
  <c r="Q54" i="6"/>
  <c r="P54" i="6"/>
  <c r="N54" i="6"/>
  <c r="M54" i="6"/>
  <c r="J54" i="6"/>
  <c r="I54" i="6"/>
  <c r="H54" i="6"/>
  <c r="G54" i="6"/>
  <c r="AE53" i="6"/>
  <c r="AD53" i="6"/>
  <c r="AC53" i="6"/>
  <c r="AB53" i="6"/>
  <c r="AA53" i="6"/>
  <c r="Z53" i="6"/>
  <c r="Y53" i="6"/>
  <c r="X53" i="6"/>
  <c r="W53" i="6"/>
  <c r="V53" i="6"/>
  <c r="U53" i="6"/>
  <c r="T53" i="6"/>
  <c r="S53" i="6"/>
  <c r="R53" i="6"/>
  <c r="Q53" i="6"/>
  <c r="P53" i="6"/>
  <c r="J53" i="6"/>
  <c r="I53" i="6"/>
  <c r="H53" i="6"/>
  <c r="G53" i="6"/>
  <c r="AE52" i="6"/>
  <c r="AD52" i="6"/>
  <c r="AC52" i="6"/>
  <c r="AB52" i="6"/>
  <c r="AA52" i="6"/>
  <c r="Z52" i="6"/>
  <c r="Y52" i="6"/>
  <c r="X52" i="6"/>
  <c r="W52" i="6"/>
  <c r="V52" i="6"/>
  <c r="U52" i="6"/>
  <c r="T52" i="6"/>
  <c r="S52" i="6"/>
  <c r="R52" i="6"/>
  <c r="Q52" i="6"/>
  <c r="P52" i="6"/>
  <c r="J52" i="6"/>
  <c r="I52" i="6"/>
  <c r="H52" i="6"/>
  <c r="AE51" i="6"/>
  <c r="AD51" i="6"/>
  <c r="AC51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J51" i="6"/>
  <c r="I51" i="6"/>
  <c r="H51" i="6"/>
  <c r="AE50" i="6"/>
  <c r="AD50" i="6"/>
  <c r="AC50" i="6"/>
  <c r="AB50" i="6"/>
  <c r="AA50" i="6"/>
  <c r="Z50" i="6"/>
  <c r="Y50" i="6"/>
  <c r="W50" i="6"/>
  <c r="V50" i="6"/>
  <c r="U50" i="6"/>
  <c r="T50" i="6"/>
  <c r="S50" i="6"/>
  <c r="R50" i="6"/>
  <c r="Q50" i="6"/>
  <c r="K50" i="6"/>
  <c r="J50" i="6"/>
  <c r="I50" i="6"/>
  <c r="H50" i="6"/>
  <c r="G50" i="6"/>
  <c r="AE49" i="6"/>
  <c r="AD49" i="6"/>
  <c r="AC49" i="6"/>
  <c r="AB49" i="6"/>
  <c r="AA49" i="6"/>
  <c r="Z49" i="6"/>
  <c r="Y49" i="6"/>
  <c r="W49" i="6"/>
  <c r="V49" i="6"/>
  <c r="U49" i="6"/>
  <c r="T49" i="6"/>
  <c r="S49" i="6"/>
  <c r="R49" i="6"/>
  <c r="Q49" i="6"/>
  <c r="H49" i="6"/>
  <c r="AE48" i="6"/>
  <c r="AD48" i="6"/>
  <c r="AC48" i="6"/>
  <c r="AB48" i="6"/>
  <c r="AA48" i="6"/>
  <c r="Z48" i="6"/>
  <c r="Y48" i="6"/>
  <c r="W48" i="6"/>
  <c r="V48" i="6"/>
  <c r="U48" i="6"/>
  <c r="T48" i="6"/>
  <c r="S48" i="6"/>
  <c r="R48" i="6"/>
  <c r="Q48" i="6"/>
  <c r="L48" i="6"/>
  <c r="J48" i="6"/>
  <c r="I48" i="6"/>
  <c r="H48" i="6"/>
  <c r="AE47" i="6"/>
  <c r="AD47" i="6"/>
  <c r="AC47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M47" i="6"/>
  <c r="L47" i="6"/>
  <c r="K47" i="6"/>
  <c r="J47" i="6"/>
  <c r="I47" i="6"/>
  <c r="H47" i="6"/>
  <c r="AE46" i="6"/>
  <c r="AD46" i="6"/>
  <c r="AC46" i="6"/>
  <c r="AB46" i="6"/>
  <c r="AA46" i="6"/>
  <c r="Z46" i="6"/>
  <c r="Y46" i="6"/>
  <c r="W46" i="6"/>
  <c r="V46" i="6"/>
  <c r="U46" i="6"/>
  <c r="T46" i="6"/>
  <c r="S46" i="6"/>
  <c r="R46" i="6"/>
  <c r="Q46" i="6"/>
  <c r="M46" i="6"/>
  <c r="J46" i="6"/>
  <c r="I46" i="6"/>
  <c r="H46" i="6"/>
  <c r="AE45" i="6"/>
  <c r="AC45" i="6"/>
  <c r="AA45" i="6"/>
  <c r="Z45" i="6"/>
  <c r="W45" i="6"/>
  <c r="V45" i="6"/>
  <c r="U45" i="6"/>
  <c r="T45" i="6"/>
  <c r="S45" i="6"/>
  <c r="R45" i="6"/>
  <c r="Q45" i="6"/>
  <c r="P45" i="6"/>
  <c r="M45" i="6"/>
  <c r="L45" i="6"/>
  <c r="J45" i="6"/>
  <c r="I45" i="6"/>
  <c r="H45" i="6"/>
  <c r="AE44" i="6"/>
  <c r="AD44" i="6"/>
  <c r="AC44" i="6"/>
  <c r="AB44" i="6"/>
  <c r="AA44" i="6"/>
  <c r="Z44" i="6"/>
  <c r="Y44" i="6"/>
  <c r="W44" i="6"/>
  <c r="V44" i="6"/>
  <c r="U44" i="6"/>
  <c r="T44" i="6"/>
  <c r="S44" i="6"/>
  <c r="R44" i="6"/>
  <c r="Q44" i="6"/>
  <c r="J44" i="6"/>
  <c r="G44" i="6"/>
  <c r="AE43" i="6"/>
  <c r="AD43" i="6"/>
  <c r="AC43" i="6"/>
  <c r="AB43" i="6"/>
  <c r="AA43" i="6"/>
  <c r="Z43" i="6"/>
  <c r="Y43" i="6"/>
  <c r="W43" i="6"/>
  <c r="V43" i="6"/>
  <c r="U43" i="6"/>
  <c r="T43" i="6"/>
  <c r="S43" i="6"/>
  <c r="R43" i="6"/>
  <c r="Q43" i="6"/>
  <c r="N43" i="6"/>
  <c r="K43" i="6"/>
  <c r="J43" i="6"/>
  <c r="I43" i="6"/>
  <c r="H43" i="6"/>
  <c r="G43" i="6"/>
  <c r="AE42" i="6"/>
  <c r="AD42" i="6"/>
  <c r="AC42" i="6"/>
  <c r="AB42" i="6"/>
  <c r="AA42" i="6"/>
  <c r="Z42" i="6"/>
  <c r="Y42" i="6"/>
  <c r="W42" i="6"/>
  <c r="V42" i="6"/>
  <c r="U42" i="6"/>
  <c r="T42" i="6"/>
  <c r="S42" i="6"/>
  <c r="R42" i="6"/>
  <c r="Q42" i="6"/>
  <c r="N42" i="6"/>
  <c r="J42" i="6"/>
  <c r="I42" i="6"/>
  <c r="H42" i="6"/>
  <c r="G42" i="6"/>
  <c r="AE41" i="6"/>
  <c r="AD41" i="6"/>
  <c r="AC41" i="6"/>
  <c r="AB41" i="6"/>
  <c r="AA41" i="6"/>
  <c r="Z41" i="6"/>
  <c r="Y41" i="6"/>
  <c r="W41" i="6"/>
  <c r="V41" i="6"/>
  <c r="U41" i="6"/>
  <c r="T41" i="6"/>
  <c r="S41" i="6"/>
  <c r="R41" i="6"/>
  <c r="Q41" i="6"/>
  <c r="N41" i="6"/>
  <c r="J41" i="6"/>
  <c r="I41" i="6"/>
  <c r="H41" i="6"/>
  <c r="AE40" i="6"/>
  <c r="AD40" i="6"/>
  <c r="AC40" i="6"/>
  <c r="AB40" i="6"/>
  <c r="AA40" i="6"/>
  <c r="Z40" i="6"/>
  <c r="Y40" i="6"/>
  <c r="W40" i="6"/>
  <c r="V40" i="6"/>
  <c r="U40" i="6"/>
  <c r="T40" i="6"/>
  <c r="S40" i="6"/>
  <c r="R40" i="6"/>
  <c r="Q40" i="6"/>
  <c r="J40" i="6"/>
  <c r="I40" i="6"/>
  <c r="H40" i="6"/>
  <c r="G40" i="6"/>
  <c r="AE39" i="6"/>
  <c r="AD39" i="6"/>
  <c r="AC39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I39" i="6"/>
  <c r="H39" i="6"/>
  <c r="G39" i="6"/>
  <c r="AE38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N38" i="6"/>
  <c r="J38" i="6"/>
  <c r="I38" i="6"/>
  <c r="H38" i="6"/>
  <c r="G38" i="6"/>
  <c r="AE37" i="6"/>
  <c r="AD37" i="6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J37" i="6"/>
  <c r="I37" i="6"/>
  <c r="H37" i="6"/>
  <c r="AE36" i="6"/>
  <c r="AD36" i="6"/>
  <c r="AC36" i="6"/>
  <c r="AB36" i="6"/>
  <c r="AA36" i="6"/>
  <c r="Z36" i="6"/>
  <c r="Y36" i="6"/>
  <c r="W36" i="6"/>
  <c r="V36" i="6"/>
  <c r="U36" i="6"/>
  <c r="T36" i="6"/>
  <c r="S36" i="6"/>
  <c r="R36" i="6"/>
  <c r="Q36" i="6"/>
  <c r="P36" i="6"/>
  <c r="N36" i="6"/>
  <c r="M36" i="6"/>
  <c r="J36" i="6"/>
  <c r="I36" i="6"/>
  <c r="H36" i="6"/>
  <c r="G36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I35" i="6"/>
  <c r="H35" i="6"/>
  <c r="G35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J34" i="6"/>
  <c r="I34" i="6"/>
  <c r="H34" i="6"/>
  <c r="G34" i="6"/>
  <c r="AE33" i="6"/>
  <c r="AD33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M33" i="6"/>
  <c r="K33" i="6"/>
  <c r="J33" i="6"/>
  <c r="I33" i="6"/>
  <c r="H33" i="6"/>
  <c r="G33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M32" i="6"/>
  <c r="J32" i="6"/>
  <c r="I32" i="6"/>
  <c r="H32" i="6"/>
  <c r="G32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J31" i="6"/>
  <c r="I31" i="6"/>
  <c r="H31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J30" i="6"/>
  <c r="I30" i="6"/>
  <c r="H30" i="6"/>
  <c r="AE29" i="6"/>
  <c r="AD29" i="6"/>
  <c r="AC29" i="6"/>
  <c r="AB29" i="6"/>
  <c r="AA29" i="6"/>
  <c r="Z29" i="6"/>
  <c r="Y29" i="6"/>
  <c r="W29" i="6"/>
  <c r="V29" i="6"/>
  <c r="U29" i="6"/>
  <c r="T29" i="6"/>
  <c r="S29" i="6"/>
  <c r="R29" i="6"/>
  <c r="Q29" i="6"/>
  <c r="J29" i="6"/>
  <c r="I29" i="6"/>
  <c r="H29" i="6"/>
  <c r="G29" i="6"/>
  <c r="AE28" i="6"/>
  <c r="AD28" i="6"/>
  <c r="AC28" i="6"/>
  <c r="AB28" i="6"/>
  <c r="AA28" i="6"/>
  <c r="Z28" i="6"/>
  <c r="Y28" i="6"/>
  <c r="W28" i="6"/>
  <c r="V28" i="6"/>
  <c r="U28" i="6"/>
  <c r="T28" i="6"/>
  <c r="S28" i="6"/>
  <c r="R28" i="6"/>
  <c r="Q28" i="6"/>
  <c r="J28" i="6"/>
  <c r="I28" i="6"/>
  <c r="H28" i="6"/>
  <c r="G28" i="6"/>
  <c r="AE27" i="6"/>
  <c r="AC27" i="6"/>
  <c r="AB27" i="6"/>
  <c r="AA27" i="6"/>
  <c r="Z27" i="6"/>
  <c r="W27" i="6"/>
  <c r="V27" i="6"/>
  <c r="U27" i="6"/>
  <c r="T27" i="6"/>
  <c r="S27" i="6"/>
  <c r="R27" i="6"/>
  <c r="Q27" i="6"/>
  <c r="N27" i="6"/>
  <c r="J27" i="6"/>
  <c r="I27" i="6"/>
  <c r="H27" i="6"/>
  <c r="G27" i="6"/>
  <c r="AE26" i="6"/>
  <c r="AD26" i="6"/>
  <c r="AC26" i="6"/>
  <c r="AB26" i="6"/>
  <c r="AA26" i="6"/>
  <c r="Z26" i="6"/>
  <c r="Y26" i="6"/>
  <c r="W26" i="6"/>
  <c r="V26" i="6"/>
  <c r="U26" i="6"/>
  <c r="T26" i="6"/>
  <c r="S26" i="6"/>
  <c r="R26" i="6"/>
  <c r="Q26" i="6"/>
  <c r="N26" i="6"/>
  <c r="J26" i="6"/>
  <c r="I26" i="6"/>
  <c r="H26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J25" i="6"/>
  <c r="I25" i="6"/>
  <c r="H25" i="6"/>
  <c r="G25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N24" i="6"/>
  <c r="M24" i="6"/>
  <c r="J24" i="6"/>
  <c r="I24" i="6"/>
  <c r="H24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N23" i="6"/>
  <c r="M23" i="6"/>
  <c r="J23" i="6"/>
  <c r="I23" i="6"/>
  <c r="H23" i="6"/>
  <c r="AE22" i="6"/>
  <c r="AD22" i="6"/>
  <c r="AC22" i="6"/>
  <c r="AB22" i="6"/>
  <c r="AA22" i="6"/>
  <c r="Z22" i="6"/>
  <c r="Y22" i="6"/>
  <c r="W22" i="6"/>
  <c r="V22" i="6"/>
  <c r="U22" i="6"/>
  <c r="T22" i="6"/>
  <c r="S22" i="6"/>
  <c r="R22" i="6"/>
  <c r="Q22" i="6"/>
  <c r="J22" i="6"/>
  <c r="I22" i="6"/>
  <c r="H22" i="6"/>
  <c r="AE21" i="6"/>
  <c r="AD21" i="6"/>
  <c r="AC21" i="6"/>
  <c r="AB21" i="6"/>
  <c r="AA21" i="6"/>
  <c r="Z21" i="6"/>
  <c r="Y21" i="6"/>
  <c r="W21" i="6"/>
  <c r="V21" i="6"/>
  <c r="U21" i="6"/>
  <c r="T21" i="6"/>
  <c r="S21" i="6"/>
  <c r="R21" i="6"/>
  <c r="Q21" i="6"/>
  <c r="N21" i="6"/>
  <c r="J21" i="6"/>
  <c r="I21" i="6"/>
  <c r="H21" i="6"/>
  <c r="G21" i="6"/>
  <c r="AE20" i="6"/>
  <c r="AD20" i="6"/>
  <c r="AC20" i="6"/>
  <c r="AB20" i="6"/>
  <c r="AA20" i="6"/>
  <c r="Z20" i="6"/>
  <c r="Y20" i="6"/>
  <c r="W20" i="6"/>
  <c r="V20" i="6"/>
  <c r="U20" i="6"/>
  <c r="T20" i="6"/>
  <c r="S20" i="6"/>
  <c r="R20" i="6"/>
  <c r="Q20" i="6"/>
  <c r="J20" i="6"/>
  <c r="I20" i="6"/>
  <c r="H20" i="6"/>
  <c r="G20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I19" i="6"/>
  <c r="H19" i="6"/>
  <c r="AE18" i="6"/>
  <c r="AD18" i="6"/>
  <c r="AC18" i="6"/>
  <c r="AB18" i="6"/>
  <c r="AA18" i="6"/>
  <c r="Z18" i="6"/>
  <c r="Y18" i="6"/>
  <c r="W18" i="6"/>
  <c r="V18" i="6"/>
  <c r="U18" i="6"/>
  <c r="T18" i="6"/>
  <c r="S18" i="6"/>
  <c r="R18" i="6"/>
  <c r="Q18" i="6"/>
  <c r="P18" i="6"/>
  <c r="M18" i="6"/>
  <c r="J18" i="6"/>
  <c r="I18" i="6"/>
  <c r="H18" i="6"/>
  <c r="G18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J17" i="6"/>
  <c r="I17" i="6"/>
  <c r="H17" i="6"/>
  <c r="G17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M16" i="6"/>
  <c r="J16" i="6"/>
  <c r="I16" i="6"/>
  <c r="H16" i="6"/>
  <c r="AE15" i="6"/>
  <c r="AD15" i="6"/>
  <c r="AB15" i="6"/>
  <c r="AA15" i="6"/>
  <c r="Z15" i="6"/>
  <c r="W15" i="6"/>
  <c r="V15" i="6"/>
  <c r="U15" i="6"/>
  <c r="T15" i="6"/>
  <c r="S15" i="6"/>
  <c r="R15" i="6"/>
  <c r="Q15" i="6"/>
  <c r="P15" i="6"/>
  <c r="J15" i="6"/>
  <c r="I15" i="6"/>
  <c r="H15" i="6"/>
  <c r="G15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M14" i="6"/>
  <c r="J14" i="6"/>
  <c r="I14" i="6"/>
  <c r="H14" i="6"/>
  <c r="G14" i="6"/>
  <c r="AE13" i="6"/>
  <c r="AC13" i="6"/>
  <c r="AB13" i="6"/>
  <c r="AA13" i="6"/>
  <c r="Z13" i="6"/>
  <c r="Y13" i="6"/>
  <c r="W13" i="6"/>
  <c r="V13" i="6"/>
  <c r="U13" i="6"/>
  <c r="T13" i="6"/>
  <c r="S13" i="6"/>
  <c r="R13" i="6"/>
  <c r="Q13" i="6"/>
  <c r="M13" i="6"/>
  <c r="J13" i="6"/>
  <c r="I13" i="6"/>
  <c r="H13" i="6"/>
  <c r="AE12" i="6"/>
  <c r="AD12" i="6"/>
  <c r="AC12" i="6"/>
  <c r="AB12" i="6"/>
  <c r="AA12" i="6"/>
  <c r="Z12" i="6"/>
  <c r="Y12" i="6"/>
  <c r="W12" i="6"/>
  <c r="V12" i="6"/>
  <c r="U12" i="6"/>
  <c r="T12" i="6"/>
  <c r="S12" i="6"/>
  <c r="R12" i="6"/>
  <c r="Q12" i="6"/>
  <c r="J12" i="6"/>
  <c r="I12" i="6"/>
  <c r="H12" i="6"/>
  <c r="G12" i="6"/>
  <c r="AE11" i="6"/>
  <c r="AD11" i="6"/>
  <c r="AC11" i="6"/>
  <c r="AB11" i="6"/>
  <c r="AA11" i="6"/>
  <c r="Z11" i="6"/>
  <c r="Y11" i="6"/>
  <c r="W11" i="6"/>
  <c r="V11" i="6"/>
  <c r="U11" i="6"/>
  <c r="T11" i="6"/>
  <c r="S11" i="6"/>
  <c r="R11" i="6"/>
  <c r="Q11" i="6"/>
  <c r="J11" i="6"/>
  <c r="I11" i="6"/>
  <c r="H11" i="6"/>
  <c r="AE10" i="6"/>
  <c r="AD10" i="6"/>
  <c r="AC10" i="6"/>
  <c r="AB10" i="6"/>
  <c r="AA10" i="6"/>
  <c r="Z10" i="6"/>
  <c r="Y10" i="6"/>
  <c r="W10" i="6"/>
  <c r="V10" i="6"/>
  <c r="U10" i="6"/>
  <c r="T10" i="6"/>
  <c r="S10" i="6"/>
  <c r="R10" i="6"/>
  <c r="Q10" i="6"/>
  <c r="N10" i="6"/>
  <c r="J10" i="6"/>
  <c r="I10" i="6"/>
  <c r="H10" i="6"/>
  <c r="AE9" i="6"/>
  <c r="AD9" i="6"/>
  <c r="AC9" i="6"/>
  <c r="AB9" i="6"/>
  <c r="AA9" i="6"/>
  <c r="Z9" i="6"/>
  <c r="Y9" i="6"/>
  <c r="W9" i="6"/>
  <c r="V9" i="6"/>
  <c r="U9" i="6"/>
  <c r="T9" i="6"/>
  <c r="S9" i="6"/>
  <c r="R9" i="6"/>
  <c r="Q9" i="6"/>
  <c r="I9" i="6"/>
  <c r="H9" i="6"/>
  <c r="AE8" i="6"/>
  <c r="AD8" i="6"/>
  <c r="AC8" i="6"/>
  <c r="AB8" i="6"/>
  <c r="AA8" i="6"/>
  <c r="Z8" i="6"/>
  <c r="Y8" i="6"/>
  <c r="W8" i="6"/>
  <c r="V8" i="6"/>
  <c r="U8" i="6"/>
  <c r="T8" i="6"/>
  <c r="S8" i="6"/>
  <c r="R8" i="6"/>
  <c r="Q8" i="6"/>
  <c r="I8" i="6"/>
  <c r="H8" i="6"/>
  <c r="G8" i="6"/>
  <c r="AE7" i="6"/>
  <c r="AD7" i="6"/>
  <c r="AC7" i="6"/>
  <c r="AB7" i="6"/>
  <c r="AA7" i="6"/>
  <c r="Z7" i="6"/>
  <c r="Y7" i="6"/>
  <c r="W7" i="6"/>
  <c r="V7" i="6"/>
  <c r="U7" i="6"/>
  <c r="T7" i="6"/>
  <c r="S7" i="6"/>
  <c r="R7" i="6"/>
  <c r="Q7" i="6"/>
  <c r="H7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J6" i="6"/>
  <c r="I6" i="6"/>
  <c r="H6" i="6"/>
  <c r="G6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I5" i="6"/>
  <c r="H5" i="6"/>
  <c r="G5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J4" i="6"/>
  <c r="I4" i="6"/>
  <c r="H4" i="6"/>
  <c r="G4" i="6"/>
  <c r="AE3" i="6"/>
  <c r="AD3" i="6"/>
  <c r="AC3" i="6"/>
  <c r="AB3" i="6"/>
  <c r="AA3" i="6"/>
  <c r="Z3" i="6"/>
  <c r="Y3" i="6"/>
  <c r="W3" i="6"/>
  <c r="V3" i="6"/>
  <c r="U3" i="6"/>
  <c r="T3" i="6"/>
  <c r="S3" i="6"/>
  <c r="R3" i="6"/>
  <c r="Q3" i="6"/>
  <c r="N3" i="6"/>
  <c r="J3" i="6"/>
  <c r="I3" i="6"/>
  <c r="H3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N2" i="6"/>
  <c r="M2" i="6"/>
  <c r="J2" i="6"/>
  <c r="I2" i="6"/>
  <c r="H2" i="6"/>
  <c r="G2" i="6"/>
</calcChain>
</file>

<file path=xl/sharedStrings.xml><?xml version="1.0" encoding="utf-8"?>
<sst xmlns="http://schemas.openxmlformats.org/spreadsheetml/2006/main" count="4244" uniqueCount="259">
  <si>
    <t>Point</t>
  </si>
  <si>
    <t>ID</t>
  </si>
  <si>
    <t>Visit</t>
  </si>
  <si>
    <t>GMU</t>
  </si>
  <si>
    <t>BMU</t>
  </si>
  <si>
    <t>Time_bin</t>
  </si>
  <si>
    <t>Dist_bin</t>
  </si>
  <si>
    <t>AMCR</t>
  </si>
  <si>
    <t>AMGO</t>
  </si>
  <si>
    <t>AMKE</t>
  </si>
  <si>
    <t>AMRE</t>
  </si>
  <si>
    <t>AMRO</t>
  </si>
  <si>
    <t>BAOR</t>
  </si>
  <si>
    <t>BARS</t>
  </si>
  <si>
    <t>BAWW</t>
  </si>
  <si>
    <t>BCCH</t>
  </si>
  <si>
    <t>BGGN</t>
  </si>
  <si>
    <t>BHCO</t>
  </si>
  <si>
    <t>BLJA</t>
  </si>
  <si>
    <t>BRTH</t>
  </si>
  <si>
    <t>BWWA</t>
  </si>
  <si>
    <t>CAGO</t>
  </si>
  <si>
    <t>CARW</t>
  </si>
  <si>
    <t>CEDW</t>
  </si>
  <si>
    <t>CHSP</t>
  </si>
  <si>
    <t>COGR</t>
  </si>
  <si>
    <t>COHA</t>
  </si>
  <si>
    <t>COYE</t>
  </si>
  <si>
    <t>DOWO</t>
  </si>
  <si>
    <t>EABL</t>
  </si>
  <si>
    <t>EAKI</t>
  </si>
  <si>
    <t>EAPH</t>
  </si>
  <si>
    <t>EATO</t>
  </si>
  <si>
    <t>EAWP</t>
  </si>
  <si>
    <t>EUST</t>
  </si>
  <si>
    <t>FISP</t>
  </si>
  <si>
    <t>GCFL</t>
  </si>
  <si>
    <t>GRCA</t>
  </si>
  <si>
    <t>HAWO</t>
  </si>
  <si>
    <t>HOWR</t>
  </si>
  <si>
    <t>INBU</t>
  </si>
  <si>
    <t>KILL</t>
  </si>
  <si>
    <t>LEYE</t>
  </si>
  <si>
    <t>MALL</t>
  </si>
  <si>
    <t>MAWR</t>
  </si>
  <si>
    <t>MODO</t>
  </si>
  <si>
    <t>MUSW</t>
  </si>
  <si>
    <t>NOCA</t>
  </si>
  <si>
    <t>NOFL</t>
  </si>
  <si>
    <t>OROR</t>
  </si>
  <si>
    <t>OVEN</t>
  </si>
  <si>
    <t>PRAW</t>
  </si>
  <si>
    <t>PUMA</t>
  </si>
  <si>
    <t>RBGR</t>
  </si>
  <si>
    <t>RBWO</t>
  </si>
  <si>
    <t>REVI</t>
  </si>
  <si>
    <t>RSHA</t>
  </si>
  <si>
    <t>RTHA</t>
  </si>
  <si>
    <t>RTHU</t>
  </si>
  <si>
    <t>RWBL</t>
  </si>
  <si>
    <t>SCTA</t>
  </si>
  <si>
    <t>SOSP</t>
  </si>
  <si>
    <t>SWSP</t>
  </si>
  <si>
    <t>TRES</t>
  </si>
  <si>
    <t>TUTI</t>
  </si>
  <si>
    <t>VEER</t>
  </si>
  <si>
    <t>WAVI</t>
  </si>
  <si>
    <t>WEVI</t>
  </si>
  <si>
    <t>WBNU</t>
  </si>
  <si>
    <t>WIFL</t>
  </si>
  <si>
    <t>WITU</t>
  </si>
  <si>
    <t>WOTH</t>
  </si>
  <si>
    <t>YBCU</t>
  </si>
  <si>
    <t>YEWA</t>
  </si>
  <si>
    <t>YTVI</t>
  </si>
  <si>
    <t>1-1</t>
  </si>
  <si>
    <t>2a-1</t>
  </si>
  <si>
    <t>2b-1</t>
  </si>
  <si>
    <t>2c-1</t>
  </si>
  <si>
    <t>2d-1</t>
  </si>
  <si>
    <t>3-1</t>
  </si>
  <si>
    <t>3-2</t>
  </si>
  <si>
    <t>4-1</t>
  </si>
  <si>
    <t>5-1</t>
  </si>
  <si>
    <t>6-1</t>
  </si>
  <si>
    <t>6-2</t>
  </si>
  <si>
    <t>6-3</t>
  </si>
  <si>
    <t>7-1</t>
  </si>
  <si>
    <t>8-1</t>
  </si>
  <si>
    <t>8-2</t>
  </si>
  <si>
    <t>8-3</t>
  </si>
  <si>
    <t>9-1</t>
  </si>
  <si>
    <t>10-1</t>
  </si>
  <si>
    <t>11-1</t>
  </si>
  <si>
    <t>11-2</t>
  </si>
  <si>
    <t>11-3</t>
  </si>
  <si>
    <t>12-1</t>
  </si>
  <si>
    <t>12-2</t>
  </si>
  <si>
    <t>13-1</t>
  </si>
  <si>
    <t>14-1</t>
  </si>
  <si>
    <t>15-1</t>
  </si>
  <si>
    <t>16-1</t>
  </si>
  <si>
    <t>16-2</t>
  </si>
  <si>
    <t>22-1</t>
  </si>
  <si>
    <t>23-1</t>
  </si>
  <si>
    <t>23-2</t>
  </si>
  <si>
    <t>24-1</t>
  </si>
  <si>
    <t>25-1</t>
  </si>
  <si>
    <t>26-1</t>
  </si>
  <si>
    <t>28-1</t>
  </si>
  <si>
    <t>29-1</t>
  </si>
  <si>
    <t>30-1</t>
  </si>
  <si>
    <t>32-1</t>
  </si>
  <si>
    <t>34-1</t>
  </si>
  <si>
    <t>35-1</t>
  </si>
  <si>
    <t>36-1</t>
  </si>
  <si>
    <t>68-1</t>
  </si>
  <si>
    <t>44-1</t>
  </si>
  <si>
    <t>43-1</t>
  </si>
  <si>
    <t>41-1</t>
  </si>
  <si>
    <t>42b-1</t>
  </si>
  <si>
    <t>42a-1</t>
  </si>
  <si>
    <t>72-1</t>
  </si>
  <si>
    <t>73-1</t>
  </si>
  <si>
    <t>48-1</t>
  </si>
  <si>
    <t>65-1</t>
  </si>
  <si>
    <t>71-1</t>
  </si>
  <si>
    <t>70-1</t>
  </si>
  <si>
    <t>55-1</t>
  </si>
  <si>
    <t>51-1</t>
  </si>
  <si>
    <t>49-1</t>
  </si>
  <si>
    <t>49-2</t>
  </si>
  <si>
    <t>59-2</t>
  </si>
  <si>
    <t>59-1</t>
  </si>
  <si>
    <t>60-1</t>
  </si>
  <si>
    <t>61-1</t>
  </si>
  <si>
    <t>66b-1</t>
  </si>
  <si>
    <t>66a-1</t>
  </si>
  <si>
    <t>66a-2</t>
  </si>
  <si>
    <t>50a-1</t>
  </si>
  <si>
    <t>74-1</t>
  </si>
  <si>
    <t>74-2</t>
  </si>
  <si>
    <t>64b-1</t>
  </si>
  <si>
    <t>64a-1</t>
  </si>
  <si>
    <t>63-1</t>
  </si>
  <si>
    <t>62ab-1</t>
  </si>
  <si>
    <t>47e-1</t>
  </si>
  <si>
    <t>47d-1</t>
  </si>
  <si>
    <t>47c-1</t>
  </si>
  <si>
    <t>47a-1</t>
  </si>
  <si>
    <t>52-1</t>
  </si>
  <si>
    <t>52-2</t>
  </si>
  <si>
    <t>Time</t>
  </si>
  <si>
    <t>Wind</t>
  </si>
  <si>
    <t>Date</t>
  </si>
  <si>
    <t>CAWR</t>
  </si>
  <si>
    <t>CHSW</t>
  </si>
  <si>
    <t>LOWA</t>
  </si>
  <si>
    <t>NOMO</t>
  </si>
  <si>
    <t>PIWO</t>
  </si>
  <si>
    <t>WODU</t>
  </si>
  <si>
    <t>47-a</t>
  </si>
  <si>
    <t>53-1</t>
  </si>
  <si>
    <t>50a</t>
  </si>
  <si>
    <t>Weather</t>
  </si>
  <si>
    <t>Management unit - point number</t>
  </si>
  <si>
    <t>point ID #</t>
  </si>
  <si>
    <t>denotes first or second round of point counts</t>
  </si>
  <si>
    <t>1= grassland management unit</t>
  </si>
  <si>
    <t>1= brushland management unit</t>
  </si>
  <si>
    <t>1= 0-2 min 59 sec; 2= 3 min - 4 min 59 sec; 3= 5 min - 10 min</t>
  </si>
  <si>
    <t>Rotation</t>
  </si>
  <si>
    <t>NA</t>
  </si>
  <si>
    <t>yrs_cut2015</t>
  </si>
  <si>
    <t>yrs_cut2016</t>
  </si>
  <si>
    <t>years between mowing GMU (rotation schedule)</t>
  </si>
  <si>
    <t>years since cut as of 2015</t>
  </si>
  <si>
    <t>years since cut as of 2016</t>
  </si>
  <si>
    <t>GCVR_Grass</t>
  </si>
  <si>
    <t>GCVR_Forb</t>
  </si>
  <si>
    <t>GCVR_ShrubTree</t>
  </si>
  <si>
    <t>GCVR_Litter</t>
  </si>
  <si>
    <t>GCVR_Wood</t>
  </si>
  <si>
    <t>GCVR_BareRock</t>
  </si>
  <si>
    <t>GCVR_Moss</t>
  </si>
  <si>
    <t>GCVR_Water</t>
  </si>
  <si>
    <t>VegHgt_Center</t>
  </si>
  <si>
    <t>VegHgt_1m</t>
  </si>
  <si>
    <t>VegHgt_3m</t>
  </si>
  <si>
    <t>VegHgt_5m</t>
  </si>
  <si>
    <t>VegHgt_North</t>
  </si>
  <si>
    <t>VegHgt_East</t>
  </si>
  <si>
    <t>VegHgt_South</t>
  </si>
  <si>
    <t>VegHgt_West</t>
  </si>
  <si>
    <t xml:space="preserve">LD_Center </t>
  </si>
  <si>
    <t>LD_1m</t>
  </si>
  <si>
    <t>LD_3m</t>
  </si>
  <si>
    <t>LD_5m</t>
  </si>
  <si>
    <t>LD_North</t>
  </si>
  <si>
    <t>LD_East</t>
  </si>
  <si>
    <t>LD_South</t>
  </si>
  <si>
    <t>LD_West</t>
  </si>
  <si>
    <t>%N_CVR</t>
  </si>
  <si>
    <t>%E_CVR</t>
  </si>
  <si>
    <t>%S_CVR</t>
  </si>
  <si>
    <t>%W_CRV</t>
  </si>
  <si>
    <t>%Center_CVR</t>
  </si>
  <si>
    <t>R_Center</t>
  </si>
  <si>
    <t>R_1m</t>
  </si>
  <si>
    <t>R_3m</t>
  </si>
  <si>
    <t>R_5m</t>
  </si>
  <si>
    <t>R_North</t>
  </si>
  <si>
    <t>R_East</t>
  </si>
  <si>
    <t>R_South</t>
  </si>
  <si>
    <t>R_West</t>
  </si>
  <si>
    <t>Shrub_stm_total</t>
  </si>
  <si>
    <t>Tree_stm_total</t>
  </si>
  <si>
    <t>%overhead_cvr</t>
  </si>
  <si>
    <t>percent grass ground cover</t>
  </si>
  <si>
    <t>percent litter ground cover</t>
  </si>
  <si>
    <t>percent wood ground cover</t>
  </si>
  <si>
    <t>percent moss ground cover</t>
  </si>
  <si>
    <t>percent water ground cover</t>
  </si>
  <si>
    <t>percent forb/herbaceous ground cover</t>
  </si>
  <si>
    <t>percent shrub and tree ground cover</t>
  </si>
  <si>
    <t>percent bare and rock ground cover</t>
  </si>
  <si>
    <t xml:space="preserve">percent overhead vegetation </t>
  </si>
  <si>
    <t>vegetation height at the center of suvrey plot (cm)</t>
  </si>
  <si>
    <t>average vegetation height at 1m from center of survey plot (cm)</t>
  </si>
  <si>
    <t>average vegetation height at 3m from center of survey plot (cm)</t>
  </si>
  <si>
    <t>average vegetation height at 5m from center of survey plot (cm)</t>
  </si>
  <si>
    <t>average vegetation height along north transect of survey plot (cm)</t>
  </si>
  <si>
    <t>average vegetation height along west transect of survey plot (cm)</t>
  </si>
  <si>
    <t>average vegeation height along east transect of survey plot (cm)</t>
  </si>
  <si>
    <t>average vegetation height along south transect of survy plot (cm)</t>
  </si>
  <si>
    <t>litter depth at the center of survey plot (cm)</t>
  </si>
  <si>
    <t>average litter depth at 1m from center of survey plot (cm)</t>
  </si>
  <si>
    <t>average litter depth at 3m from center of survey plot (cm)</t>
  </si>
  <si>
    <t>average litter depth at 5m from center of survey plot (cm)</t>
  </si>
  <si>
    <t>average litter depth along north transcect of survey plot (cm)</t>
  </si>
  <si>
    <t>average litter depth along east transect of survey plot (cm)</t>
  </si>
  <si>
    <t>average litter depth along south transect of survey plot (cm)</t>
  </si>
  <si>
    <t>average littler depth along west transect of survey plot (cm)</t>
  </si>
  <si>
    <t xml:space="preserve">percent canopy cover 11.3m north from suvrvey plot center </t>
  </si>
  <si>
    <t xml:space="preserve">percent canopy cover 11.3m east from suvrvey plot center </t>
  </si>
  <si>
    <t xml:space="preserve">percent canopy cover 11.3m south from suvrvey plot center </t>
  </si>
  <si>
    <t xml:space="preserve">percent canopy cover 11.3m west from suvrvey plot center </t>
  </si>
  <si>
    <t>percent canopy cover at the center of survey plot</t>
  </si>
  <si>
    <t>average Robel pole reading at the center of the survey plot, index of biomass</t>
  </si>
  <si>
    <t>average Robel pole reading 1m from the center of the survey plot, index of biomass</t>
  </si>
  <si>
    <t>average Robel pole reading 3m from the center of the survey plot, index of biomass</t>
  </si>
  <si>
    <t>average Robel pole reading 5m from the center of the survey plot, index of biomass</t>
  </si>
  <si>
    <t>average Robel pole reading along the north transect of the survey plot, index of biomass</t>
  </si>
  <si>
    <t>average Robel pole reading along the east transect of the survey plot, index of biomass</t>
  </si>
  <si>
    <t>average Robel pole reading along the south transect of the survey plot, index of biomass</t>
  </si>
  <si>
    <t xml:space="preserve">average Robel pole reading along the west transect of the survey plot, index of biomass </t>
  </si>
  <si>
    <t>total number of shrub stems within 5m radius of survey plot center for the three most dominant species</t>
  </si>
  <si>
    <t>total number of tree stems within 5m radius of survey plot center for the three most dominant species</t>
  </si>
  <si>
    <t>1= &lt;50m; 2= 50m to 100m; 3= &gt;100m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</si>
</sst>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NumberFormat="1" applyFont="1" applyAlignment="1">
      <alignment horizontal="right"/>
    </xf>
    <xf numFmtId="49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3" fillId="0" borderId="0" xfId="0" applyFont="1"/>
    <xf numFmtId="0" fontId="0" fillId="0" borderId="0" xfId="0" applyNumberFormat="1" applyFill="1" applyBorder="1"/>
    <xf numFmtId="20" fontId="0" fillId="0" borderId="0" xfId="0" applyNumberFormat="1"/>
    <xf numFmtId="14" fontId="0" fillId="0" borderId="0" xfId="0" applyNumberFormat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 applyFill="1" applyBorder="1"/>
    <xf numFmtId="164" fontId="1" fillId="0" borderId="0" xfId="0" applyNumberFormat="1" applyFont="1" applyBorder="1"/>
    <xf numFmtId="2" fontId="0" fillId="0" borderId="0" xfId="0" applyNumberFormat="1" applyBorder="1"/>
    <xf numFmtId="1" fontId="0" fillId="0" borderId="0" xfId="0" applyNumberFormat="1" applyFill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0" borderId="0" xfId="0" applyNumberFormat="1" applyBorder="1"/>
    <xf numFmtId="0" fontId="3" fillId="0" borderId="1" xfId="0" applyFont="1" applyFill="1" applyBorder="1"/>
    <xf numFmtId="164" fontId="0" fillId="0" borderId="0" xfId="0" applyNumberFormat="1"/>
    <xf numFmtId="0" fontId="0" fillId="0" borderId="0" xfId="0" applyFill="1" applyBorder="1"/>
    <xf numFmtId="0" fontId="1" fillId="0" borderId="0" xfId="0" applyFont="1" applyFill="1"/>
    <xf numFmtId="1" fontId="0" fillId="0" borderId="0" xfId="0" applyNumberFormat="1"/>
    <xf numFmtId="1" fontId="0" fillId="0" borderId="0" xfId="0" applyNumberFormat="1" applyFill="1" applyBorder="1"/>
    <xf numFmtId="1" fontId="0" fillId="0" borderId="0" xfId="0" applyNumberFormat="1" applyFill="1"/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38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6384" width="9" style="1"/>
  </cols>
  <sheetData>
    <row r="1" spans="1:73" s="5" customFormat="1" x14ac:dyDescent="0.25">
      <c r="A1" s="5" t="s">
        <v>0</v>
      </c>
      <c r="B1" s="5" t="s">
        <v>1</v>
      </c>
      <c r="C1" s="5" t="s">
        <v>2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33</v>
      </c>
      <c r="AG1" s="5" t="s">
        <v>34</v>
      </c>
      <c r="AH1" s="5" t="s">
        <v>35</v>
      </c>
      <c r="AI1" s="5" t="s">
        <v>36</v>
      </c>
      <c r="AJ1" s="5" t="s">
        <v>37</v>
      </c>
      <c r="AK1" s="5" t="s">
        <v>38</v>
      </c>
      <c r="AL1" s="5" t="s">
        <v>39</v>
      </c>
      <c r="AM1" s="5" t="s">
        <v>40</v>
      </c>
      <c r="AN1" s="5" t="s">
        <v>41</v>
      </c>
      <c r="AO1" s="5" t="s">
        <v>42</v>
      </c>
      <c r="AP1" s="5" t="s">
        <v>43</v>
      </c>
      <c r="AQ1" s="5" t="s">
        <v>44</v>
      </c>
      <c r="AR1" s="5" t="s">
        <v>45</v>
      </c>
      <c r="AS1" s="5" t="s">
        <v>46</v>
      </c>
      <c r="AT1" s="5" t="s">
        <v>47</v>
      </c>
      <c r="AU1" s="5" t="s">
        <v>48</v>
      </c>
      <c r="AV1" s="5" t="s">
        <v>49</v>
      </c>
      <c r="AW1" s="5" t="s">
        <v>50</v>
      </c>
      <c r="AX1" s="5" t="s">
        <v>51</v>
      </c>
      <c r="AY1" s="5" t="s">
        <v>52</v>
      </c>
      <c r="AZ1" s="5" t="s">
        <v>53</v>
      </c>
      <c r="BA1" s="5" t="s">
        <v>54</v>
      </c>
      <c r="BB1" s="5" t="s">
        <v>55</v>
      </c>
      <c r="BC1" s="5" t="s">
        <v>56</v>
      </c>
      <c r="BD1" s="5" t="s">
        <v>57</v>
      </c>
      <c r="BE1" s="5" t="s">
        <v>58</v>
      </c>
      <c r="BF1" s="5" t="s">
        <v>59</v>
      </c>
      <c r="BG1" s="5" t="s">
        <v>60</v>
      </c>
      <c r="BH1" s="5" t="s">
        <v>61</v>
      </c>
      <c r="BI1" s="5" t="s">
        <v>62</v>
      </c>
      <c r="BJ1" s="5" t="s">
        <v>63</v>
      </c>
      <c r="BK1" s="5" t="s">
        <v>64</v>
      </c>
      <c r="BL1" s="5" t="s">
        <v>65</v>
      </c>
      <c r="BM1" s="5" t="s">
        <v>66</v>
      </c>
      <c r="BN1" s="5" t="s">
        <v>67</v>
      </c>
      <c r="BO1" s="5" t="s">
        <v>68</v>
      </c>
      <c r="BP1" s="5" t="s">
        <v>69</v>
      </c>
      <c r="BQ1" s="5" t="s">
        <v>70</v>
      </c>
      <c r="BR1" s="5" t="s">
        <v>71</v>
      </c>
      <c r="BS1" s="5" t="s">
        <v>72</v>
      </c>
      <c r="BT1" s="5" t="s">
        <v>73</v>
      </c>
      <c r="BU1" s="5" t="s">
        <v>74</v>
      </c>
    </row>
    <row r="2" spans="1:73" x14ac:dyDescent="0.25">
      <c r="A2" s="2" t="s">
        <v>75</v>
      </c>
      <c r="B2" s="4">
        <v>1</v>
      </c>
      <c r="C2" s="4">
        <v>1</v>
      </c>
      <c r="D2" s="4">
        <v>1</v>
      </c>
      <c r="E2" s="4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1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</row>
    <row r="3" spans="1:73" x14ac:dyDescent="0.25">
      <c r="A3" s="2" t="s">
        <v>75</v>
      </c>
      <c r="B3" s="4">
        <v>1</v>
      </c>
      <c r="C3" s="4">
        <v>1</v>
      </c>
      <c r="D3" s="4">
        <v>1</v>
      </c>
      <c r="E3" s="4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1</v>
      </c>
      <c r="AA3" s="3">
        <v>0</v>
      </c>
      <c r="AB3" s="3">
        <v>0</v>
      </c>
      <c r="AC3" s="3">
        <v>0</v>
      </c>
      <c r="AD3" s="3">
        <v>0</v>
      </c>
      <c r="AE3" s="3">
        <v>1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2</v>
      </c>
      <c r="BU3" s="3">
        <v>0</v>
      </c>
    </row>
    <row r="4" spans="1:73" x14ac:dyDescent="0.25">
      <c r="A4" s="2" t="s">
        <v>75</v>
      </c>
      <c r="B4" s="4">
        <v>1</v>
      </c>
      <c r="C4" s="4">
        <v>1</v>
      </c>
      <c r="D4" s="4">
        <v>1</v>
      </c>
      <c r="E4" s="4">
        <v>3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1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2</v>
      </c>
      <c r="BG4" s="3">
        <v>0</v>
      </c>
      <c r="BH4" s="3">
        <v>1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2</v>
      </c>
      <c r="BU4" s="3">
        <v>0</v>
      </c>
    </row>
    <row r="5" spans="1:73" x14ac:dyDescent="0.25">
      <c r="A5" s="2" t="s">
        <v>75</v>
      </c>
      <c r="B5" s="4">
        <v>1</v>
      </c>
      <c r="C5" s="4">
        <v>1</v>
      </c>
      <c r="D5" s="4">
        <v>2</v>
      </c>
      <c r="E5" s="4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</row>
    <row r="6" spans="1:73" x14ac:dyDescent="0.25">
      <c r="A6" s="2" t="s">
        <v>75</v>
      </c>
      <c r="B6" s="4">
        <v>1</v>
      </c>
      <c r="C6" s="4">
        <v>1</v>
      </c>
      <c r="D6" s="4">
        <v>2</v>
      </c>
      <c r="E6" s="4">
        <v>2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</row>
    <row r="7" spans="1:73" x14ac:dyDescent="0.25">
      <c r="A7" s="2" t="s">
        <v>75</v>
      </c>
      <c r="B7" s="4">
        <v>1</v>
      </c>
      <c r="C7" s="4">
        <v>1</v>
      </c>
      <c r="D7" s="4">
        <v>2</v>
      </c>
      <c r="E7" s="4">
        <v>3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2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1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1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1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</row>
    <row r="8" spans="1:73" x14ac:dyDescent="0.25">
      <c r="A8" s="2" t="s">
        <v>75</v>
      </c>
      <c r="B8" s="4">
        <v>1</v>
      </c>
      <c r="C8" s="4">
        <v>1</v>
      </c>
      <c r="D8" s="4">
        <v>3</v>
      </c>
      <c r="E8" s="4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</row>
    <row r="9" spans="1:73" x14ac:dyDescent="0.25">
      <c r="A9" s="2" t="s">
        <v>75</v>
      </c>
      <c r="B9" s="4">
        <v>1</v>
      </c>
      <c r="C9" s="4">
        <v>1</v>
      </c>
      <c r="D9" s="4">
        <v>3</v>
      </c>
      <c r="E9" s="4">
        <v>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1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</row>
    <row r="10" spans="1:73" x14ac:dyDescent="0.25">
      <c r="A10" s="2" t="s">
        <v>75</v>
      </c>
      <c r="B10" s="4">
        <v>1</v>
      </c>
      <c r="C10" s="4">
        <v>1</v>
      </c>
      <c r="D10" s="4">
        <v>3</v>
      </c>
      <c r="E10" s="4">
        <v>3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</row>
    <row r="11" spans="1:73" x14ac:dyDescent="0.25">
      <c r="A11" s="2" t="s">
        <v>75</v>
      </c>
      <c r="B11" s="4">
        <v>1</v>
      </c>
      <c r="C11" s="4">
        <v>2</v>
      </c>
      <c r="D11" s="4">
        <v>1</v>
      </c>
      <c r="E11" s="4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1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</row>
    <row r="12" spans="1:73" x14ac:dyDescent="0.25">
      <c r="A12" s="2" t="s">
        <v>75</v>
      </c>
      <c r="B12" s="4">
        <v>1</v>
      </c>
      <c r="C12" s="4">
        <v>2</v>
      </c>
      <c r="D12" s="4">
        <v>1</v>
      </c>
      <c r="E12" s="4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5</v>
      </c>
      <c r="BG12" s="3">
        <v>0</v>
      </c>
      <c r="BH12" s="3">
        <v>0</v>
      </c>
      <c r="BI12" s="3">
        <v>2</v>
      </c>
      <c r="BJ12" s="3">
        <v>2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1</v>
      </c>
      <c r="BU12" s="3">
        <v>0</v>
      </c>
    </row>
    <row r="13" spans="1:73" x14ac:dyDescent="0.25">
      <c r="A13" s="2" t="s">
        <v>75</v>
      </c>
      <c r="B13" s="4">
        <v>1</v>
      </c>
      <c r="C13" s="4">
        <v>2</v>
      </c>
      <c r="D13" s="4">
        <v>1</v>
      </c>
      <c r="E13" s="4">
        <v>3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2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1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</row>
    <row r="14" spans="1:73" x14ac:dyDescent="0.25">
      <c r="A14" s="2" t="s">
        <v>75</v>
      </c>
      <c r="B14" s="4">
        <v>1</v>
      </c>
      <c r="C14" s="4">
        <v>2</v>
      </c>
      <c r="D14" s="4">
        <v>2</v>
      </c>
      <c r="E14" s="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</row>
    <row r="15" spans="1:73" x14ac:dyDescent="0.25">
      <c r="A15" s="2" t="s">
        <v>75</v>
      </c>
      <c r="B15" s="4">
        <v>1</v>
      </c>
      <c r="C15" s="4">
        <v>2</v>
      </c>
      <c r="D15" s="4">
        <v>2</v>
      </c>
      <c r="E15" s="4">
        <v>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1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</row>
    <row r="16" spans="1:73" x14ac:dyDescent="0.25">
      <c r="A16" s="2" t="s">
        <v>75</v>
      </c>
      <c r="B16" s="4">
        <v>1</v>
      </c>
      <c r="C16" s="4">
        <v>2</v>
      </c>
      <c r="D16" s="4">
        <v>2</v>
      </c>
      <c r="E16" s="4">
        <v>3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</row>
    <row r="17" spans="1:73" x14ac:dyDescent="0.25">
      <c r="A17" s="2" t="s">
        <v>75</v>
      </c>
      <c r="B17" s="4">
        <v>1</v>
      </c>
      <c r="C17" s="4">
        <v>2</v>
      </c>
      <c r="D17" s="4">
        <v>3</v>
      </c>
      <c r="E17" s="4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</row>
    <row r="18" spans="1:73" x14ac:dyDescent="0.25">
      <c r="A18" s="2" t="s">
        <v>75</v>
      </c>
      <c r="B18" s="4">
        <v>1</v>
      </c>
      <c r="C18" s="4">
        <v>2</v>
      </c>
      <c r="D18" s="4">
        <v>3</v>
      </c>
      <c r="E18" s="4">
        <v>2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1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1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</row>
    <row r="19" spans="1:73" x14ac:dyDescent="0.25">
      <c r="A19" s="2" t="s">
        <v>75</v>
      </c>
      <c r="B19" s="4">
        <v>1</v>
      </c>
      <c r="C19" s="4">
        <v>2</v>
      </c>
      <c r="D19" s="4">
        <v>3</v>
      </c>
      <c r="E19" s="4">
        <v>3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1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</row>
    <row r="20" spans="1:73" x14ac:dyDescent="0.25">
      <c r="A20" s="2" t="s">
        <v>76</v>
      </c>
      <c r="B20" s="4">
        <v>2</v>
      </c>
      <c r="C20" s="4">
        <v>1</v>
      </c>
      <c r="D20" s="4">
        <v>1</v>
      </c>
      <c r="E20" s="4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</row>
    <row r="21" spans="1:73" x14ac:dyDescent="0.25">
      <c r="A21" s="2" t="s">
        <v>76</v>
      </c>
      <c r="B21" s="4">
        <v>2</v>
      </c>
      <c r="C21" s="4">
        <v>1</v>
      </c>
      <c r="D21" s="4">
        <v>1</v>
      </c>
      <c r="E21" s="4">
        <v>2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2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</row>
    <row r="22" spans="1:73" x14ac:dyDescent="0.25">
      <c r="A22" s="2" t="s">
        <v>76</v>
      </c>
      <c r="B22" s="4">
        <v>2</v>
      </c>
      <c r="C22" s="4">
        <v>1</v>
      </c>
      <c r="D22" s="4">
        <v>1</v>
      </c>
      <c r="E22" s="4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1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4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1</v>
      </c>
      <c r="BU22" s="3">
        <v>0</v>
      </c>
    </row>
    <row r="23" spans="1:73" x14ac:dyDescent="0.25">
      <c r="A23" s="2" t="s">
        <v>76</v>
      </c>
      <c r="B23" s="4">
        <v>2</v>
      </c>
      <c r="C23" s="4">
        <v>1</v>
      </c>
      <c r="D23" s="4">
        <v>2</v>
      </c>
      <c r="E23" s="4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</row>
    <row r="24" spans="1:73" x14ac:dyDescent="0.25">
      <c r="A24" s="2" t="s">
        <v>76</v>
      </c>
      <c r="B24" s="4">
        <v>2</v>
      </c>
      <c r="C24" s="4">
        <v>1</v>
      </c>
      <c r="D24" s="4">
        <v>2</v>
      </c>
      <c r="E24" s="4">
        <v>2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</row>
    <row r="25" spans="1:73" x14ac:dyDescent="0.25">
      <c r="A25" s="2" t="s">
        <v>76</v>
      </c>
      <c r="B25" s="4">
        <v>2</v>
      </c>
      <c r="C25" s="4">
        <v>1</v>
      </c>
      <c r="D25" s="4">
        <v>2</v>
      </c>
      <c r="E25" s="4">
        <v>3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5</v>
      </c>
      <c r="Y25" s="3">
        <v>0</v>
      </c>
      <c r="Z25" s="3">
        <v>1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1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</row>
    <row r="26" spans="1:73" x14ac:dyDescent="0.25">
      <c r="A26" s="2" t="s">
        <v>76</v>
      </c>
      <c r="B26" s="4">
        <v>2</v>
      </c>
      <c r="C26" s="4">
        <v>1</v>
      </c>
      <c r="D26" s="4">
        <v>3</v>
      </c>
      <c r="E26" s="4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1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</row>
    <row r="27" spans="1:73" x14ac:dyDescent="0.25">
      <c r="A27" s="2" t="s">
        <v>76</v>
      </c>
      <c r="B27" s="4">
        <v>2</v>
      </c>
      <c r="C27" s="4">
        <v>1</v>
      </c>
      <c r="D27" s="4">
        <v>3</v>
      </c>
      <c r="E27" s="4">
        <v>2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1</v>
      </c>
      <c r="BU27" s="3">
        <v>0</v>
      </c>
    </row>
    <row r="28" spans="1:73" x14ac:dyDescent="0.25">
      <c r="A28" s="2" t="s">
        <v>76</v>
      </c>
      <c r="B28" s="4">
        <v>2</v>
      </c>
      <c r="C28" s="4">
        <v>1</v>
      </c>
      <c r="D28" s="4">
        <v>3</v>
      </c>
      <c r="E28" s="4">
        <v>3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1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</row>
    <row r="29" spans="1:73" x14ac:dyDescent="0.25">
      <c r="A29" s="2" t="s">
        <v>76</v>
      </c>
      <c r="B29" s="4">
        <v>2</v>
      </c>
      <c r="C29" s="4">
        <v>2</v>
      </c>
      <c r="D29" s="4">
        <v>1</v>
      </c>
      <c r="E29" s="4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4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</row>
    <row r="30" spans="1:73" x14ac:dyDescent="0.25">
      <c r="A30" s="2" t="s">
        <v>76</v>
      </c>
      <c r="B30" s="4">
        <v>2</v>
      </c>
      <c r="C30" s="4">
        <v>2</v>
      </c>
      <c r="D30" s="4">
        <v>1</v>
      </c>
      <c r="E30" s="4">
        <v>2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1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1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</row>
    <row r="31" spans="1:73" x14ac:dyDescent="0.25">
      <c r="A31" s="2" t="s">
        <v>76</v>
      </c>
      <c r="B31" s="4">
        <v>2</v>
      </c>
      <c r="C31" s="4">
        <v>2</v>
      </c>
      <c r="D31" s="4">
        <v>1</v>
      </c>
      <c r="E31" s="4">
        <v>3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1</v>
      </c>
      <c r="AA31" s="3">
        <v>0</v>
      </c>
      <c r="AB31" s="3">
        <v>1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1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</row>
    <row r="32" spans="1:73" x14ac:dyDescent="0.25">
      <c r="A32" s="2" t="s">
        <v>76</v>
      </c>
      <c r="B32" s="4">
        <v>2</v>
      </c>
      <c r="C32" s="4">
        <v>2</v>
      </c>
      <c r="D32" s="4">
        <v>2</v>
      </c>
      <c r="E32" s="4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</row>
    <row r="33" spans="1:73" x14ac:dyDescent="0.25">
      <c r="A33" s="2" t="s">
        <v>76</v>
      </c>
      <c r="B33" s="4">
        <v>2</v>
      </c>
      <c r="C33" s="4">
        <v>2</v>
      </c>
      <c r="D33" s="4">
        <v>2</v>
      </c>
      <c r="E33" s="4">
        <v>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</row>
    <row r="34" spans="1:73" x14ac:dyDescent="0.25">
      <c r="A34" s="2" t="s">
        <v>76</v>
      </c>
      <c r="B34" s="4">
        <v>2</v>
      </c>
      <c r="C34" s="4">
        <v>2</v>
      </c>
      <c r="D34" s="4">
        <v>2</v>
      </c>
      <c r="E34" s="4">
        <v>3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1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</row>
    <row r="35" spans="1:73" x14ac:dyDescent="0.25">
      <c r="A35" s="2" t="s">
        <v>76</v>
      </c>
      <c r="B35" s="4">
        <v>2</v>
      </c>
      <c r="C35" s="4">
        <v>2</v>
      </c>
      <c r="D35" s="4">
        <v>3</v>
      </c>
      <c r="E35" s="4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1</v>
      </c>
      <c r="BG35" s="3">
        <v>0</v>
      </c>
      <c r="BH35" s="3">
        <v>0</v>
      </c>
      <c r="BI35" s="3">
        <v>0</v>
      </c>
      <c r="BJ35" s="3">
        <v>1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</row>
    <row r="36" spans="1:73" x14ac:dyDescent="0.25">
      <c r="A36" s="2" t="s">
        <v>76</v>
      </c>
      <c r="B36" s="4">
        <v>2</v>
      </c>
      <c r="C36" s="4">
        <v>2</v>
      </c>
      <c r="D36" s="4">
        <v>3</v>
      </c>
      <c r="E36" s="4">
        <v>2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</row>
    <row r="37" spans="1:73" x14ac:dyDescent="0.25">
      <c r="A37" s="2" t="s">
        <v>76</v>
      </c>
      <c r="B37" s="4">
        <v>2</v>
      </c>
      <c r="C37" s="4">
        <v>2</v>
      </c>
      <c r="D37" s="4">
        <v>3</v>
      </c>
      <c r="E37" s="4">
        <v>3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1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</row>
    <row r="38" spans="1:73" x14ac:dyDescent="0.25">
      <c r="A38" s="2" t="s">
        <v>77</v>
      </c>
      <c r="B38" s="4">
        <v>3</v>
      </c>
      <c r="C38" s="4">
        <v>1</v>
      </c>
      <c r="D38" s="4">
        <v>1</v>
      </c>
      <c r="E38" s="4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1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1</v>
      </c>
      <c r="BK38" s="3">
        <v>0</v>
      </c>
      <c r="BL38" s="3">
        <v>0</v>
      </c>
      <c r="BM38" s="3">
        <v>1</v>
      </c>
      <c r="BN38" s="3">
        <v>0</v>
      </c>
      <c r="BO38" s="3">
        <v>0</v>
      </c>
      <c r="BP38" s="3">
        <v>1</v>
      </c>
      <c r="BQ38" s="3">
        <v>0</v>
      </c>
      <c r="BR38" s="3">
        <v>0</v>
      </c>
      <c r="BS38" s="3">
        <v>0</v>
      </c>
      <c r="BT38" s="3">
        <v>1</v>
      </c>
      <c r="BU38" s="3">
        <v>0</v>
      </c>
    </row>
    <row r="39" spans="1:73" x14ac:dyDescent="0.25">
      <c r="A39" s="2" t="s">
        <v>77</v>
      </c>
      <c r="B39" s="4">
        <v>3</v>
      </c>
      <c r="C39" s="4">
        <v>1</v>
      </c>
      <c r="D39" s="4">
        <v>1</v>
      </c>
      <c r="E39" s="4">
        <v>2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0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1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</row>
    <row r="40" spans="1:73" x14ac:dyDescent="0.25">
      <c r="A40" s="2" t="s">
        <v>77</v>
      </c>
      <c r="B40" s="4">
        <v>3</v>
      </c>
      <c r="C40" s="4">
        <v>1</v>
      </c>
      <c r="D40" s="4">
        <v>1</v>
      </c>
      <c r="E40" s="4">
        <v>3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1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</row>
    <row r="41" spans="1:73" x14ac:dyDescent="0.25">
      <c r="A41" s="2" t="s">
        <v>77</v>
      </c>
      <c r="B41" s="4">
        <v>3</v>
      </c>
      <c r="C41" s="4">
        <v>1</v>
      </c>
      <c r="D41" s="4">
        <v>2</v>
      </c>
      <c r="E41" s="4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1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</row>
    <row r="42" spans="1:73" x14ac:dyDescent="0.25">
      <c r="A42" s="2" t="s">
        <v>77</v>
      </c>
      <c r="B42" s="4">
        <v>3</v>
      </c>
      <c r="C42" s="4">
        <v>1</v>
      </c>
      <c r="D42" s="4">
        <v>2</v>
      </c>
      <c r="E42" s="4">
        <v>2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</row>
    <row r="43" spans="1:73" x14ac:dyDescent="0.25">
      <c r="A43" s="2" t="s">
        <v>77</v>
      </c>
      <c r="B43" s="4">
        <v>3</v>
      </c>
      <c r="C43" s="4">
        <v>1</v>
      </c>
      <c r="D43" s="4">
        <v>2</v>
      </c>
      <c r="E43" s="4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1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</row>
    <row r="44" spans="1:73" x14ac:dyDescent="0.25">
      <c r="A44" s="2" t="s">
        <v>77</v>
      </c>
      <c r="B44" s="4">
        <v>3</v>
      </c>
      <c r="C44" s="4">
        <v>1</v>
      </c>
      <c r="D44" s="4">
        <v>3</v>
      </c>
      <c r="E44" s="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3</v>
      </c>
      <c r="BG44" s="3">
        <v>0</v>
      </c>
      <c r="BH44" s="3">
        <v>1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1</v>
      </c>
      <c r="BU44" s="3">
        <v>0</v>
      </c>
    </row>
    <row r="45" spans="1:73" x14ac:dyDescent="0.25">
      <c r="A45" s="2" t="s">
        <v>77</v>
      </c>
      <c r="B45" s="4">
        <v>3</v>
      </c>
      <c r="C45" s="4">
        <v>1</v>
      </c>
      <c r="D45" s="4">
        <v>3</v>
      </c>
      <c r="E45" s="4">
        <v>2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</row>
    <row r="46" spans="1:73" x14ac:dyDescent="0.25">
      <c r="A46" s="2" t="s">
        <v>77</v>
      </c>
      <c r="B46" s="4">
        <v>3</v>
      </c>
      <c r="C46" s="4">
        <v>1</v>
      </c>
      <c r="D46" s="4">
        <v>3</v>
      </c>
      <c r="E46" s="4">
        <v>3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1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1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1</v>
      </c>
      <c r="BR46" s="3">
        <v>0</v>
      </c>
      <c r="BS46" s="3">
        <v>0</v>
      </c>
      <c r="BT46" s="3">
        <v>0</v>
      </c>
      <c r="BU46" s="3">
        <v>0</v>
      </c>
    </row>
    <row r="47" spans="1:73" x14ac:dyDescent="0.25">
      <c r="A47" s="2" t="s">
        <v>77</v>
      </c>
      <c r="B47" s="4">
        <v>3</v>
      </c>
      <c r="C47" s="4">
        <v>2</v>
      </c>
      <c r="D47" s="4">
        <v>1</v>
      </c>
      <c r="E47" s="4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2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1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</row>
    <row r="48" spans="1:73" x14ac:dyDescent="0.25">
      <c r="A48" s="2" t="s">
        <v>77</v>
      </c>
      <c r="B48" s="4">
        <v>3</v>
      </c>
      <c r="C48" s="4">
        <v>2</v>
      </c>
      <c r="D48" s="4">
        <v>1</v>
      </c>
      <c r="E48" s="4">
        <v>2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1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1</v>
      </c>
      <c r="BG48" s="3">
        <v>0</v>
      </c>
      <c r="BH48" s="3">
        <v>0</v>
      </c>
      <c r="BI48" s="3">
        <v>1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1</v>
      </c>
      <c r="BU48" s="3">
        <v>0</v>
      </c>
    </row>
    <row r="49" spans="1:73" x14ac:dyDescent="0.25">
      <c r="A49" s="2" t="s">
        <v>77</v>
      </c>
      <c r="B49" s="4">
        <v>3</v>
      </c>
      <c r="C49" s="4">
        <v>2</v>
      </c>
      <c r="D49" s="4">
        <v>1</v>
      </c>
      <c r="E49" s="4">
        <v>3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2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</row>
    <row r="50" spans="1:73" x14ac:dyDescent="0.25">
      <c r="A50" s="2" t="s">
        <v>77</v>
      </c>
      <c r="B50" s="4">
        <v>3</v>
      </c>
      <c r="C50" s="4">
        <v>2</v>
      </c>
      <c r="D50" s="4">
        <v>2</v>
      </c>
      <c r="E50" s="4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</row>
    <row r="51" spans="1:73" x14ac:dyDescent="0.25">
      <c r="A51" s="2" t="s">
        <v>77</v>
      </c>
      <c r="B51" s="4">
        <v>3</v>
      </c>
      <c r="C51" s="4">
        <v>2</v>
      </c>
      <c r="D51" s="4">
        <v>2</v>
      </c>
      <c r="E51" s="4">
        <v>2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2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</row>
    <row r="52" spans="1:73" x14ac:dyDescent="0.25">
      <c r="A52" s="2" t="s">
        <v>77</v>
      </c>
      <c r="B52" s="4">
        <v>3</v>
      </c>
      <c r="C52" s="4">
        <v>2</v>
      </c>
      <c r="D52" s="4">
        <v>2</v>
      </c>
      <c r="E52" s="4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1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1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</row>
    <row r="53" spans="1:73" x14ac:dyDescent="0.25">
      <c r="A53" s="2" t="s">
        <v>77</v>
      </c>
      <c r="B53" s="4">
        <v>3</v>
      </c>
      <c r="C53" s="4">
        <v>2</v>
      </c>
      <c r="D53" s="4">
        <v>3</v>
      </c>
      <c r="E53" s="4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1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</row>
    <row r="54" spans="1:73" x14ac:dyDescent="0.25">
      <c r="A54" s="2" t="s">
        <v>77</v>
      </c>
      <c r="B54" s="4">
        <v>3</v>
      </c>
      <c r="C54" s="4">
        <v>2</v>
      </c>
      <c r="D54" s="4">
        <v>3</v>
      </c>
      <c r="E54" s="4">
        <v>2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1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</row>
    <row r="55" spans="1:73" x14ac:dyDescent="0.25">
      <c r="A55" s="2" t="s">
        <v>77</v>
      </c>
      <c r="B55" s="4">
        <v>3</v>
      </c>
      <c r="C55" s="4">
        <v>2</v>
      </c>
      <c r="D55" s="4">
        <v>3</v>
      </c>
      <c r="E55" s="4">
        <v>3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</row>
    <row r="56" spans="1:73" x14ac:dyDescent="0.25">
      <c r="A56" s="2" t="s">
        <v>78</v>
      </c>
      <c r="B56" s="4">
        <v>4</v>
      </c>
      <c r="C56" s="4">
        <v>1</v>
      </c>
      <c r="D56" s="4">
        <v>1</v>
      </c>
      <c r="E56" s="4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</row>
    <row r="57" spans="1:73" x14ac:dyDescent="0.25">
      <c r="A57" s="2" t="s">
        <v>78</v>
      </c>
      <c r="B57" s="4">
        <v>4</v>
      </c>
      <c r="C57" s="4">
        <v>1</v>
      </c>
      <c r="D57" s="4">
        <v>1</v>
      </c>
      <c r="E57" s="4">
        <v>2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</v>
      </c>
      <c r="P57" s="3">
        <v>0</v>
      </c>
      <c r="Q57" s="3">
        <v>0</v>
      </c>
      <c r="R57" s="3">
        <v>0</v>
      </c>
      <c r="S57" s="3">
        <v>1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1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1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</row>
    <row r="58" spans="1:73" x14ac:dyDescent="0.25">
      <c r="A58" s="2" t="s">
        <v>78</v>
      </c>
      <c r="B58" s="4">
        <v>4</v>
      </c>
      <c r="C58" s="4">
        <v>1</v>
      </c>
      <c r="D58" s="4">
        <v>1</v>
      </c>
      <c r="E58" s="4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</v>
      </c>
      <c r="Q58" s="3">
        <v>0</v>
      </c>
      <c r="R58" s="3">
        <v>0</v>
      </c>
      <c r="S58" s="3">
        <v>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</row>
    <row r="59" spans="1:73" x14ac:dyDescent="0.25">
      <c r="A59" s="2" t="s">
        <v>78</v>
      </c>
      <c r="B59" s="4">
        <v>4</v>
      </c>
      <c r="C59" s="4">
        <v>1</v>
      </c>
      <c r="D59" s="4">
        <v>2</v>
      </c>
      <c r="E59" s="4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</row>
    <row r="60" spans="1:73" x14ac:dyDescent="0.25">
      <c r="A60" s="2" t="s">
        <v>78</v>
      </c>
      <c r="B60" s="4">
        <v>4</v>
      </c>
      <c r="C60" s="4">
        <v>1</v>
      </c>
      <c r="D60" s="4">
        <v>2</v>
      </c>
      <c r="E60" s="4">
        <v>2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1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</row>
    <row r="61" spans="1:73" x14ac:dyDescent="0.25">
      <c r="A61" s="2" t="s">
        <v>78</v>
      </c>
      <c r="B61" s="4">
        <v>4</v>
      </c>
      <c r="C61" s="4">
        <v>1</v>
      </c>
      <c r="D61" s="4">
        <v>2</v>
      </c>
      <c r="E61" s="4">
        <v>3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2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1</v>
      </c>
      <c r="BT61" s="3">
        <v>0</v>
      </c>
      <c r="BU61" s="3">
        <v>0</v>
      </c>
    </row>
    <row r="62" spans="1:73" x14ac:dyDescent="0.25">
      <c r="A62" s="2" t="s">
        <v>78</v>
      </c>
      <c r="B62" s="4">
        <v>4</v>
      </c>
      <c r="C62" s="4">
        <v>1</v>
      </c>
      <c r="D62" s="4">
        <v>3</v>
      </c>
      <c r="E62" s="4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</row>
    <row r="63" spans="1:73" x14ac:dyDescent="0.25">
      <c r="A63" s="2" t="s">
        <v>78</v>
      </c>
      <c r="B63" s="4">
        <v>4</v>
      </c>
      <c r="C63" s="4">
        <v>1</v>
      </c>
      <c r="D63" s="4">
        <v>3</v>
      </c>
      <c r="E63" s="4">
        <v>2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1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1</v>
      </c>
      <c r="BU63" s="3">
        <v>0</v>
      </c>
    </row>
    <row r="64" spans="1:73" x14ac:dyDescent="0.25">
      <c r="A64" s="2" t="s">
        <v>78</v>
      </c>
      <c r="B64" s="4">
        <v>4</v>
      </c>
      <c r="C64" s="4">
        <v>1</v>
      </c>
      <c r="D64" s="4">
        <v>3</v>
      </c>
      <c r="E64" s="4">
        <v>3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</row>
    <row r="65" spans="1:73" x14ac:dyDescent="0.25">
      <c r="A65" s="2" t="s">
        <v>78</v>
      </c>
      <c r="B65" s="4">
        <v>4</v>
      </c>
      <c r="C65" s="4">
        <v>2</v>
      </c>
      <c r="D65" s="4">
        <v>1</v>
      </c>
      <c r="E65" s="4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1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1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</row>
    <row r="66" spans="1:73" x14ac:dyDescent="0.25">
      <c r="A66" s="2" t="s">
        <v>78</v>
      </c>
      <c r="B66" s="4">
        <v>4</v>
      </c>
      <c r="C66" s="4">
        <v>2</v>
      </c>
      <c r="D66" s="4">
        <v>1</v>
      </c>
      <c r="E66" s="4">
        <v>2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1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1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1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2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</row>
    <row r="67" spans="1:73" x14ac:dyDescent="0.25">
      <c r="A67" s="2" t="s">
        <v>78</v>
      </c>
      <c r="B67" s="4">
        <v>4</v>
      </c>
      <c r="C67" s="4">
        <v>2</v>
      </c>
      <c r="D67" s="4">
        <v>1</v>
      </c>
      <c r="E67" s="4">
        <v>3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</row>
    <row r="68" spans="1:73" x14ac:dyDescent="0.25">
      <c r="A68" s="2" t="s">
        <v>78</v>
      </c>
      <c r="B68" s="4">
        <v>4</v>
      </c>
      <c r="C68" s="4">
        <v>2</v>
      </c>
      <c r="D68" s="4">
        <v>2</v>
      </c>
      <c r="E68" s="4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1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</row>
    <row r="69" spans="1:73" x14ac:dyDescent="0.25">
      <c r="A69" s="2" t="s">
        <v>78</v>
      </c>
      <c r="B69" s="4">
        <v>4</v>
      </c>
      <c r="C69" s="4">
        <v>2</v>
      </c>
      <c r="D69" s="4">
        <v>2</v>
      </c>
      <c r="E69" s="4">
        <v>2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1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1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</row>
    <row r="70" spans="1:73" x14ac:dyDescent="0.25">
      <c r="A70" s="2" t="s">
        <v>78</v>
      </c>
      <c r="B70" s="4">
        <v>4</v>
      </c>
      <c r="C70" s="4">
        <v>2</v>
      </c>
      <c r="D70" s="4">
        <v>2</v>
      </c>
      <c r="E70" s="4">
        <v>3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</row>
    <row r="71" spans="1:73" x14ac:dyDescent="0.25">
      <c r="A71" s="2" t="s">
        <v>78</v>
      </c>
      <c r="B71" s="4">
        <v>4</v>
      </c>
      <c r="C71" s="4">
        <v>2</v>
      </c>
      <c r="D71" s="4">
        <v>3</v>
      </c>
      <c r="E71" s="4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</row>
    <row r="72" spans="1:73" x14ac:dyDescent="0.25">
      <c r="A72" s="2" t="s">
        <v>78</v>
      </c>
      <c r="B72" s="4">
        <v>4</v>
      </c>
      <c r="C72" s="4">
        <v>2</v>
      </c>
      <c r="D72" s="4">
        <v>3</v>
      </c>
      <c r="E72" s="4">
        <v>2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1</v>
      </c>
      <c r="BG72" s="3">
        <v>0</v>
      </c>
      <c r="BH72" s="3">
        <v>0</v>
      </c>
      <c r="BI72" s="3">
        <v>1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</row>
    <row r="73" spans="1:73" x14ac:dyDescent="0.25">
      <c r="A73" s="2" t="s">
        <v>78</v>
      </c>
      <c r="B73" s="4">
        <v>4</v>
      </c>
      <c r="C73" s="4">
        <v>2</v>
      </c>
      <c r="D73" s="4">
        <v>3</v>
      </c>
      <c r="E73" s="4">
        <v>3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1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</row>
    <row r="74" spans="1:73" x14ac:dyDescent="0.25">
      <c r="A74" s="2" t="s">
        <v>79</v>
      </c>
      <c r="B74" s="4">
        <v>5</v>
      </c>
      <c r="C74" s="4">
        <v>1</v>
      </c>
      <c r="D74" s="4">
        <v>1</v>
      </c>
      <c r="E74" s="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</row>
    <row r="75" spans="1:73" x14ac:dyDescent="0.25">
      <c r="A75" s="2" t="s">
        <v>79</v>
      </c>
      <c r="B75" s="4">
        <v>5</v>
      </c>
      <c r="C75" s="4">
        <v>1</v>
      </c>
      <c r="D75" s="4">
        <v>1</v>
      </c>
      <c r="E75" s="4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2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</row>
    <row r="76" spans="1:73" x14ac:dyDescent="0.25">
      <c r="A76" s="2" t="s">
        <v>79</v>
      </c>
      <c r="B76" s="4">
        <v>5</v>
      </c>
      <c r="C76" s="4">
        <v>1</v>
      </c>
      <c r="D76" s="4">
        <v>1</v>
      </c>
      <c r="E76" s="4">
        <v>3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1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1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1</v>
      </c>
      <c r="BU76" s="3">
        <v>0</v>
      </c>
    </row>
    <row r="77" spans="1:73" x14ac:dyDescent="0.25">
      <c r="A77" s="2" t="s">
        <v>79</v>
      </c>
      <c r="B77" s="4">
        <v>5</v>
      </c>
      <c r="C77" s="4">
        <v>1</v>
      </c>
      <c r="D77" s="4">
        <v>2</v>
      </c>
      <c r="E77" s="4">
        <v>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1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</row>
    <row r="78" spans="1:73" x14ac:dyDescent="0.25">
      <c r="A78" s="2" t="s">
        <v>79</v>
      </c>
      <c r="B78" s="4">
        <v>5</v>
      </c>
      <c r="C78" s="4">
        <v>1</v>
      </c>
      <c r="D78" s="4">
        <v>2</v>
      </c>
      <c r="E78" s="4">
        <v>2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1</v>
      </c>
      <c r="AI78" s="3">
        <v>0</v>
      </c>
      <c r="AJ78" s="3">
        <v>1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</row>
    <row r="79" spans="1:73" x14ac:dyDescent="0.25">
      <c r="A79" s="2" t="s">
        <v>79</v>
      </c>
      <c r="B79" s="4">
        <v>5</v>
      </c>
      <c r="C79" s="4">
        <v>1</v>
      </c>
      <c r="D79" s="4">
        <v>2</v>
      </c>
      <c r="E79" s="4">
        <v>3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</row>
    <row r="80" spans="1:73" x14ac:dyDescent="0.25">
      <c r="A80" s="2" t="s">
        <v>79</v>
      </c>
      <c r="B80" s="4">
        <v>5</v>
      </c>
      <c r="C80" s="4">
        <v>1</v>
      </c>
      <c r="D80" s="4">
        <v>3</v>
      </c>
      <c r="E80" s="4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1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</row>
    <row r="81" spans="1:73" x14ac:dyDescent="0.25">
      <c r="A81" s="2" t="s">
        <v>79</v>
      </c>
      <c r="B81" s="4">
        <v>5</v>
      </c>
      <c r="C81" s="4">
        <v>1</v>
      </c>
      <c r="D81" s="4">
        <v>3</v>
      </c>
      <c r="E81" s="4">
        <v>2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1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</row>
    <row r="82" spans="1:73" x14ac:dyDescent="0.25">
      <c r="A82" s="2" t="s">
        <v>79</v>
      </c>
      <c r="B82" s="4">
        <v>5</v>
      </c>
      <c r="C82" s="4">
        <v>1</v>
      </c>
      <c r="D82" s="4">
        <v>3</v>
      </c>
      <c r="E82" s="4">
        <v>3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1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</row>
    <row r="83" spans="1:73" x14ac:dyDescent="0.25">
      <c r="A83" s="2" t="s">
        <v>79</v>
      </c>
      <c r="B83" s="4">
        <v>5</v>
      </c>
      <c r="C83" s="4">
        <v>2</v>
      </c>
      <c r="D83" s="4">
        <v>1</v>
      </c>
      <c r="E83" s="4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2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1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1</v>
      </c>
      <c r="BU83" s="3">
        <v>0</v>
      </c>
    </row>
    <row r="84" spans="1:73" x14ac:dyDescent="0.25">
      <c r="A84" s="2" t="s">
        <v>79</v>
      </c>
      <c r="B84" s="4">
        <v>5</v>
      </c>
      <c r="C84" s="4">
        <v>2</v>
      </c>
      <c r="D84" s="4">
        <v>1</v>
      </c>
      <c r="E84" s="4">
        <v>2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1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1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</row>
    <row r="85" spans="1:73" x14ac:dyDescent="0.25">
      <c r="A85" s="2" t="s">
        <v>79</v>
      </c>
      <c r="B85" s="4">
        <v>5</v>
      </c>
      <c r="C85" s="4">
        <v>2</v>
      </c>
      <c r="D85" s="4">
        <v>1</v>
      </c>
      <c r="E85" s="4">
        <v>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>
        <v>0</v>
      </c>
      <c r="Q85" s="3">
        <v>2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</row>
    <row r="86" spans="1:73" x14ac:dyDescent="0.25">
      <c r="A86" s="2" t="s">
        <v>79</v>
      </c>
      <c r="B86" s="4">
        <v>5</v>
      </c>
      <c r="C86" s="4">
        <v>2</v>
      </c>
      <c r="D86" s="4">
        <v>2</v>
      </c>
      <c r="E86" s="4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2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2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1</v>
      </c>
      <c r="BU86" s="3">
        <v>0</v>
      </c>
    </row>
    <row r="87" spans="1:73" x14ac:dyDescent="0.25">
      <c r="A87" s="2" t="s">
        <v>79</v>
      </c>
      <c r="B87" s="4">
        <v>5</v>
      </c>
      <c r="C87" s="4">
        <v>2</v>
      </c>
      <c r="D87" s="4">
        <v>2</v>
      </c>
      <c r="E87" s="4">
        <v>2</v>
      </c>
      <c r="F87" s="3">
        <v>0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1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</row>
    <row r="88" spans="1:73" x14ac:dyDescent="0.25">
      <c r="A88" s="2" t="s">
        <v>79</v>
      </c>
      <c r="B88" s="4">
        <v>5</v>
      </c>
      <c r="C88" s="4">
        <v>2</v>
      </c>
      <c r="D88" s="4">
        <v>2</v>
      </c>
      <c r="E88" s="4">
        <v>3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</row>
    <row r="89" spans="1:73" x14ac:dyDescent="0.25">
      <c r="A89" s="2" t="s">
        <v>79</v>
      </c>
      <c r="B89" s="4">
        <v>5</v>
      </c>
      <c r="C89" s="4">
        <v>2</v>
      </c>
      <c r="D89" s="4">
        <v>3</v>
      </c>
      <c r="E89" s="4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1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</row>
    <row r="90" spans="1:73" x14ac:dyDescent="0.25">
      <c r="A90" s="2" t="s">
        <v>79</v>
      </c>
      <c r="B90" s="4">
        <v>5</v>
      </c>
      <c r="C90" s="4">
        <v>2</v>
      </c>
      <c r="D90" s="4">
        <v>3</v>
      </c>
      <c r="E90" s="4">
        <v>2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</row>
    <row r="91" spans="1:73" x14ac:dyDescent="0.25">
      <c r="A91" s="2" t="s">
        <v>79</v>
      </c>
      <c r="B91" s="4">
        <v>5</v>
      </c>
      <c r="C91" s="4">
        <v>2</v>
      </c>
      <c r="D91" s="4">
        <v>3</v>
      </c>
      <c r="E91" s="4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</row>
    <row r="92" spans="1:73" x14ac:dyDescent="0.25">
      <c r="A92" s="2" t="s">
        <v>80</v>
      </c>
      <c r="B92" s="4">
        <v>6</v>
      </c>
      <c r="C92" s="4">
        <v>1</v>
      </c>
      <c r="D92" s="4">
        <v>1</v>
      </c>
      <c r="E92" s="4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1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</row>
    <row r="93" spans="1:73" x14ac:dyDescent="0.25">
      <c r="A93" s="2" t="s">
        <v>80</v>
      </c>
      <c r="B93" s="4">
        <v>6</v>
      </c>
      <c r="C93" s="4">
        <v>1</v>
      </c>
      <c r="D93" s="4">
        <v>1</v>
      </c>
      <c r="E93" s="4">
        <v>2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3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4</v>
      </c>
      <c r="BR93" s="3">
        <v>0</v>
      </c>
      <c r="BS93" s="3">
        <v>0</v>
      </c>
      <c r="BT93" s="3">
        <v>1</v>
      </c>
      <c r="BU93" s="3">
        <v>0</v>
      </c>
    </row>
    <row r="94" spans="1:73" x14ac:dyDescent="0.25">
      <c r="A94" s="2" t="s">
        <v>80</v>
      </c>
      <c r="B94" s="4">
        <v>6</v>
      </c>
      <c r="C94" s="4">
        <v>1</v>
      </c>
      <c r="D94" s="4">
        <v>1</v>
      </c>
      <c r="E94" s="4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2</v>
      </c>
      <c r="AA94" s="3">
        <v>0</v>
      </c>
      <c r="AB94" s="3">
        <v>0</v>
      </c>
      <c r="AC94" s="3">
        <v>0</v>
      </c>
      <c r="AD94" s="3">
        <v>0</v>
      </c>
      <c r="AE94" s="3">
        <v>1</v>
      </c>
      <c r="AF94" s="3">
        <v>0</v>
      </c>
      <c r="AG94" s="3">
        <v>0</v>
      </c>
      <c r="AH94" s="3">
        <v>0</v>
      </c>
      <c r="AI94" s="3">
        <v>0</v>
      </c>
      <c r="AJ94" s="3">
        <v>1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1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1</v>
      </c>
      <c r="BU94" s="3">
        <v>0</v>
      </c>
    </row>
    <row r="95" spans="1:73" x14ac:dyDescent="0.25">
      <c r="A95" s="2" t="s">
        <v>80</v>
      </c>
      <c r="B95" s="4">
        <v>6</v>
      </c>
      <c r="C95" s="4">
        <v>1</v>
      </c>
      <c r="D95" s="4">
        <v>2</v>
      </c>
      <c r="E95" s="4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</row>
    <row r="96" spans="1:73" x14ac:dyDescent="0.25">
      <c r="A96" s="2" t="s">
        <v>80</v>
      </c>
      <c r="B96" s="4">
        <v>6</v>
      </c>
      <c r="C96" s="4">
        <v>1</v>
      </c>
      <c r="D96" s="4">
        <v>2</v>
      </c>
      <c r="E96" s="4">
        <v>2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</row>
    <row r="97" spans="1:73" x14ac:dyDescent="0.25">
      <c r="A97" s="2" t="s">
        <v>80</v>
      </c>
      <c r="B97" s="4">
        <v>6</v>
      </c>
      <c r="C97" s="4">
        <v>1</v>
      </c>
      <c r="D97" s="4">
        <v>2</v>
      </c>
      <c r="E97" s="4">
        <v>3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1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1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</row>
    <row r="98" spans="1:73" x14ac:dyDescent="0.25">
      <c r="A98" s="2" t="s">
        <v>80</v>
      </c>
      <c r="B98" s="4">
        <v>6</v>
      </c>
      <c r="C98" s="4">
        <v>1</v>
      </c>
      <c r="D98" s="4">
        <v>3</v>
      </c>
      <c r="E98" s="4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1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</row>
    <row r="99" spans="1:73" x14ac:dyDescent="0.25">
      <c r="A99" s="2" t="s">
        <v>80</v>
      </c>
      <c r="B99" s="4">
        <v>6</v>
      </c>
      <c r="C99" s="4">
        <v>1</v>
      </c>
      <c r="D99" s="4">
        <v>3</v>
      </c>
      <c r="E99" s="4">
        <v>2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</row>
    <row r="100" spans="1:73" x14ac:dyDescent="0.25">
      <c r="A100" s="2" t="s">
        <v>80</v>
      </c>
      <c r="B100" s="4">
        <v>6</v>
      </c>
      <c r="C100" s="4">
        <v>1</v>
      </c>
      <c r="D100" s="4">
        <v>3</v>
      </c>
      <c r="E100" s="4">
        <v>3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2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1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</row>
    <row r="101" spans="1:73" x14ac:dyDescent="0.25">
      <c r="A101" s="2" t="s">
        <v>80</v>
      </c>
      <c r="B101" s="4">
        <v>6</v>
      </c>
      <c r="C101" s="4">
        <v>2</v>
      </c>
      <c r="D101" s="4">
        <v>1</v>
      </c>
      <c r="E101" s="4">
        <v>1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1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1</v>
      </c>
      <c r="BU101" s="3">
        <v>0</v>
      </c>
    </row>
    <row r="102" spans="1:73" x14ac:dyDescent="0.25">
      <c r="A102" s="2" t="s">
        <v>80</v>
      </c>
      <c r="B102" s="4">
        <v>6</v>
      </c>
      <c r="C102" s="4">
        <v>2</v>
      </c>
      <c r="D102" s="4">
        <v>1</v>
      </c>
      <c r="E102" s="4">
        <v>2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1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1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1</v>
      </c>
      <c r="BG102" s="3">
        <v>0</v>
      </c>
      <c r="BH102" s="3">
        <v>1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1</v>
      </c>
      <c r="BQ102" s="3">
        <v>0</v>
      </c>
      <c r="BR102" s="3">
        <v>0</v>
      </c>
      <c r="BS102" s="3">
        <v>0</v>
      </c>
      <c r="BT102" s="3">
        <v>1</v>
      </c>
      <c r="BU102" s="3">
        <v>0</v>
      </c>
    </row>
    <row r="103" spans="1:73" x14ac:dyDescent="0.25">
      <c r="A103" s="2" t="s">
        <v>80</v>
      </c>
      <c r="B103" s="4">
        <v>6</v>
      </c>
      <c r="C103" s="4">
        <v>2</v>
      </c>
      <c r="D103" s="4">
        <v>1</v>
      </c>
      <c r="E103" s="4">
        <v>3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1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2</v>
      </c>
      <c r="BG103" s="3">
        <v>0</v>
      </c>
      <c r="BH103" s="3">
        <v>1</v>
      </c>
      <c r="BI103" s="3">
        <v>1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</row>
    <row r="104" spans="1:73" x14ac:dyDescent="0.25">
      <c r="A104" s="2" t="s">
        <v>80</v>
      </c>
      <c r="B104" s="4">
        <v>6</v>
      </c>
      <c r="C104" s="4">
        <v>2</v>
      </c>
      <c r="D104" s="4">
        <v>2</v>
      </c>
      <c r="E104" s="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2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</row>
    <row r="105" spans="1:73" x14ac:dyDescent="0.25">
      <c r="A105" s="2" t="s">
        <v>80</v>
      </c>
      <c r="B105" s="4">
        <v>6</v>
      </c>
      <c r="C105" s="4">
        <v>2</v>
      </c>
      <c r="D105" s="4">
        <v>2</v>
      </c>
      <c r="E105" s="4">
        <v>2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</row>
    <row r="106" spans="1:73" x14ac:dyDescent="0.25">
      <c r="A106" s="2" t="s">
        <v>80</v>
      </c>
      <c r="B106" s="4">
        <v>6</v>
      </c>
      <c r="C106" s="4">
        <v>2</v>
      </c>
      <c r="D106" s="4">
        <v>2</v>
      </c>
      <c r="E106" s="4">
        <v>3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</row>
    <row r="107" spans="1:73" x14ac:dyDescent="0.25">
      <c r="A107" s="2" t="s">
        <v>80</v>
      </c>
      <c r="B107" s="4">
        <v>6</v>
      </c>
      <c r="C107" s="4">
        <v>2</v>
      </c>
      <c r="D107" s="4">
        <v>3</v>
      </c>
      <c r="E107" s="4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1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</row>
    <row r="108" spans="1:73" x14ac:dyDescent="0.25">
      <c r="A108" s="2" t="s">
        <v>80</v>
      </c>
      <c r="B108" s="4">
        <v>6</v>
      </c>
      <c r="C108" s="4">
        <v>2</v>
      </c>
      <c r="D108" s="4">
        <v>3</v>
      </c>
      <c r="E108" s="4">
        <v>2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1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</row>
    <row r="109" spans="1:73" x14ac:dyDescent="0.25">
      <c r="A109" s="2" t="s">
        <v>80</v>
      </c>
      <c r="B109" s="4">
        <v>6</v>
      </c>
      <c r="C109" s="4">
        <v>2</v>
      </c>
      <c r="D109" s="4">
        <v>3</v>
      </c>
      <c r="E109" s="4">
        <v>3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1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1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</row>
    <row r="110" spans="1:73" x14ac:dyDescent="0.25">
      <c r="A110" s="2" t="s">
        <v>81</v>
      </c>
      <c r="B110" s="4">
        <v>7</v>
      </c>
      <c r="C110" s="4">
        <v>1</v>
      </c>
      <c r="D110" s="4">
        <v>1</v>
      </c>
      <c r="E110" s="4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1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</row>
    <row r="111" spans="1:73" x14ac:dyDescent="0.25">
      <c r="A111" s="2" t="s">
        <v>81</v>
      </c>
      <c r="B111" s="4">
        <v>7</v>
      </c>
      <c r="C111" s="4">
        <v>1</v>
      </c>
      <c r="D111" s="4">
        <v>1</v>
      </c>
      <c r="E111" s="4">
        <v>2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1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1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</row>
    <row r="112" spans="1:73" x14ac:dyDescent="0.25">
      <c r="A112" s="2" t="s">
        <v>81</v>
      </c>
      <c r="B112" s="4">
        <v>7</v>
      </c>
      <c r="C112" s="4">
        <v>1</v>
      </c>
      <c r="D112" s="4">
        <v>1</v>
      </c>
      <c r="E112" s="4">
        <v>3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3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4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1</v>
      </c>
      <c r="BU112" s="3">
        <v>0</v>
      </c>
    </row>
    <row r="113" spans="1:73" x14ac:dyDescent="0.25">
      <c r="A113" s="2" t="s">
        <v>81</v>
      </c>
      <c r="B113" s="4">
        <v>7</v>
      </c>
      <c r="C113" s="4">
        <v>1</v>
      </c>
      <c r="D113" s="4">
        <v>2</v>
      </c>
      <c r="E113" s="4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</row>
    <row r="114" spans="1:73" x14ac:dyDescent="0.25">
      <c r="A114" s="2" t="s">
        <v>81</v>
      </c>
      <c r="B114" s="4">
        <v>7</v>
      </c>
      <c r="C114" s="4">
        <v>1</v>
      </c>
      <c r="D114" s="4">
        <v>2</v>
      </c>
      <c r="E114" s="4">
        <v>2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</row>
    <row r="115" spans="1:73" x14ac:dyDescent="0.25">
      <c r="A115" s="2" t="s">
        <v>81</v>
      </c>
      <c r="B115" s="4">
        <v>7</v>
      </c>
      <c r="C115" s="4">
        <v>1</v>
      </c>
      <c r="D115" s="4">
        <v>2</v>
      </c>
      <c r="E115" s="4">
        <v>3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1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1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</row>
    <row r="116" spans="1:73" x14ac:dyDescent="0.25">
      <c r="A116" s="2" t="s">
        <v>81</v>
      </c>
      <c r="B116" s="4">
        <v>7</v>
      </c>
      <c r="C116" s="4">
        <v>1</v>
      </c>
      <c r="D116" s="4">
        <v>3</v>
      </c>
      <c r="E116" s="4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</row>
    <row r="117" spans="1:73" x14ac:dyDescent="0.25">
      <c r="A117" s="2" t="s">
        <v>81</v>
      </c>
      <c r="B117" s="4">
        <v>7</v>
      </c>
      <c r="C117" s="4">
        <v>1</v>
      </c>
      <c r="D117" s="4">
        <v>3</v>
      </c>
      <c r="E117" s="4">
        <v>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1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</row>
    <row r="118" spans="1:73" x14ac:dyDescent="0.25">
      <c r="A118" s="2" t="s">
        <v>81</v>
      </c>
      <c r="B118" s="4">
        <v>7</v>
      </c>
      <c r="C118" s="4">
        <v>1</v>
      </c>
      <c r="D118" s="4">
        <v>3</v>
      </c>
      <c r="E118" s="4">
        <v>3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1</v>
      </c>
      <c r="AC118" s="3">
        <v>0</v>
      </c>
      <c r="AD118" s="3">
        <v>0</v>
      </c>
      <c r="AE118" s="3">
        <v>1</v>
      </c>
      <c r="AF118" s="3">
        <v>0</v>
      </c>
      <c r="AG118" s="3">
        <v>0</v>
      </c>
      <c r="AH118" s="3">
        <v>0</v>
      </c>
      <c r="AI118" s="3">
        <v>0</v>
      </c>
      <c r="AJ118" s="3">
        <v>1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1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1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</row>
    <row r="119" spans="1:73" x14ac:dyDescent="0.25">
      <c r="A119" s="2" t="s">
        <v>81</v>
      </c>
      <c r="B119" s="4">
        <v>7</v>
      </c>
      <c r="C119" s="4">
        <v>2</v>
      </c>
      <c r="D119" s="4">
        <v>1</v>
      </c>
      <c r="E119" s="4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1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2</v>
      </c>
      <c r="BI119" s="3">
        <v>0</v>
      </c>
      <c r="BJ119" s="3">
        <v>1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1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</row>
    <row r="120" spans="1:73" x14ac:dyDescent="0.25">
      <c r="A120" s="2" t="s">
        <v>81</v>
      </c>
      <c r="B120" s="4">
        <v>7</v>
      </c>
      <c r="C120" s="4">
        <v>2</v>
      </c>
      <c r="D120" s="4">
        <v>1</v>
      </c>
      <c r="E120" s="4">
        <v>2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1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2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1</v>
      </c>
      <c r="BU120" s="3">
        <v>0</v>
      </c>
    </row>
    <row r="121" spans="1:73" x14ac:dyDescent="0.25">
      <c r="A121" s="2" t="s">
        <v>81</v>
      </c>
      <c r="B121" s="4">
        <v>7</v>
      </c>
      <c r="C121" s="4">
        <v>2</v>
      </c>
      <c r="D121" s="4">
        <v>1</v>
      </c>
      <c r="E121" s="4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1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1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</row>
    <row r="122" spans="1:73" x14ac:dyDescent="0.25">
      <c r="A122" s="2" t="s">
        <v>81</v>
      </c>
      <c r="B122" s="4">
        <v>7</v>
      </c>
      <c r="C122" s="4">
        <v>2</v>
      </c>
      <c r="D122" s="4">
        <v>2</v>
      </c>
      <c r="E122" s="4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1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</row>
    <row r="123" spans="1:73" x14ac:dyDescent="0.25">
      <c r="A123" s="2" t="s">
        <v>81</v>
      </c>
      <c r="B123" s="4">
        <v>7</v>
      </c>
      <c r="C123" s="4">
        <v>2</v>
      </c>
      <c r="D123" s="4">
        <v>2</v>
      </c>
      <c r="E123" s="4">
        <v>2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</row>
    <row r="124" spans="1:73" x14ac:dyDescent="0.25">
      <c r="A124" s="2" t="s">
        <v>81</v>
      </c>
      <c r="B124" s="4">
        <v>7</v>
      </c>
      <c r="C124" s="4">
        <v>2</v>
      </c>
      <c r="D124" s="4">
        <v>2</v>
      </c>
      <c r="E124" s="4">
        <v>3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1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</row>
    <row r="125" spans="1:73" x14ac:dyDescent="0.25">
      <c r="A125" s="2" t="s">
        <v>81</v>
      </c>
      <c r="B125" s="4">
        <v>7</v>
      </c>
      <c r="C125" s="4">
        <v>2</v>
      </c>
      <c r="D125" s="4">
        <v>3</v>
      </c>
      <c r="E125" s="4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1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</row>
    <row r="126" spans="1:73" x14ac:dyDescent="0.25">
      <c r="A126" s="2" t="s">
        <v>81</v>
      </c>
      <c r="B126" s="4">
        <v>7</v>
      </c>
      <c r="C126" s="4">
        <v>2</v>
      </c>
      <c r="D126" s="4">
        <v>3</v>
      </c>
      <c r="E126" s="4">
        <v>2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1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1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</row>
    <row r="127" spans="1:73" x14ac:dyDescent="0.25">
      <c r="A127" s="2" t="s">
        <v>81</v>
      </c>
      <c r="B127" s="4">
        <v>7</v>
      </c>
      <c r="C127" s="4">
        <v>2</v>
      </c>
      <c r="D127" s="4">
        <v>3</v>
      </c>
      <c r="E127" s="4">
        <v>3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1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1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1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</row>
    <row r="128" spans="1:73" x14ac:dyDescent="0.25">
      <c r="A128" s="2" t="s">
        <v>82</v>
      </c>
      <c r="B128" s="4">
        <v>8</v>
      </c>
      <c r="C128" s="4">
        <v>1</v>
      </c>
      <c r="D128" s="4">
        <v>1</v>
      </c>
      <c r="E128" s="4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1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</row>
    <row r="129" spans="1:73" x14ac:dyDescent="0.25">
      <c r="A129" s="2" t="s">
        <v>82</v>
      </c>
      <c r="B129" s="4">
        <v>8</v>
      </c>
      <c r="C129" s="4">
        <v>1</v>
      </c>
      <c r="D129" s="4">
        <v>1</v>
      </c>
      <c r="E129" s="4">
        <v>2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1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2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</row>
    <row r="130" spans="1:73" x14ac:dyDescent="0.25">
      <c r="A130" s="2" t="s">
        <v>82</v>
      </c>
      <c r="B130" s="4">
        <v>8</v>
      </c>
      <c r="C130" s="4">
        <v>1</v>
      </c>
      <c r="D130" s="4">
        <v>1</v>
      </c>
      <c r="E130" s="4">
        <v>3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1</v>
      </c>
      <c r="AI130" s="3">
        <v>0</v>
      </c>
      <c r="AJ130" s="3">
        <v>0</v>
      </c>
      <c r="AK130" s="3">
        <v>0</v>
      </c>
      <c r="AL130" s="3">
        <v>1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1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2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1</v>
      </c>
      <c r="BU130" s="3">
        <v>0</v>
      </c>
    </row>
    <row r="131" spans="1:73" x14ac:dyDescent="0.25">
      <c r="A131" s="2" t="s">
        <v>82</v>
      </c>
      <c r="B131" s="4">
        <v>8</v>
      </c>
      <c r="C131" s="4">
        <v>1</v>
      </c>
      <c r="D131" s="4">
        <v>2</v>
      </c>
      <c r="E131" s="4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1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</row>
    <row r="132" spans="1:73" x14ac:dyDescent="0.25">
      <c r="A132" s="2" t="s">
        <v>82</v>
      </c>
      <c r="B132" s="4">
        <v>8</v>
      </c>
      <c r="C132" s="4">
        <v>1</v>
      </c>
      <c r="D132" s="4">
        <v>2</v>
      </c>
      <c r="E132" s="4">
        <v>2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</row>
    <row r="133" spans="1:73" x14ac:dyDescent="0.25">
      <c r="A133" s="2" t="s">
        <v>82</v>
      </c>
      <c r="B133" s="4">
        <v>8</v>
      </c>
      <c r="C133" s="4">
        <v>1</v>
      </c>
      <c r="D133" s="4">
        <v>2</v>
      </c>
      <c r="E133" s="4">
        <v>3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2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</row>
    <row r="134" spans="1:73" x14ac:dyDescent="0.25">
      <c r="A134" s="2" t="s">
        <v>82</v>
      </c>
      <c r="B134" s="4">
        <v>8</v>
      </c>
      <c r="C134" s="4">
        <v>1</v>
      </c>
      <c r="D134" s="4">
        <v>3</v>
      </c>
      <c r="E134" s="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</row>
    <row r="135" spans="1:73" x14ac:dyDescent="0.25">
      <c r="A135" s="2" t="s">
        <v>82</v>
      </c>
      <c r="B135" s="4">
        <v>8</v>
      </c>
      <c r="C135" s="4">
        <v>1</v>
      </c>
      <c r="D135" s="4">
        <v>3</v>
      </c>
      <c r="E135" s="4">
        <v>2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1</v>
      </c>
      <c r="AA135" s="3">
        <v>0</v>
      </c>
      <c r="AB135" s="3">
        <v>1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1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1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</row>
    <row r="136" spans="1:73" x14ac:dyDescent="0.25">
      <c r="A136" s="2" t="s">
        <v>82</v>
      </c>
      <c r="B136" s="4">
        <v>8</v>
      </c>
      <c r="C136" s="4">
        <v>1</v>
      </c>
      <c r="D136" s="4">
        <v>3</v>
      </c>
      <c r="E136" s="4">
        <v>3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1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</row>
    <row r="137" spans="1:73" x14ac:dyDescent="0.25">
      <c r="A137" s="2" t="s">
        <v>82</v>
      </c>
      <c r="B137" s="4">
        <v>8</v>
      </c>
      <c r="C137" s="4">
        <v>2</v>
      </c>
      <c r="D137" s="4">
        <v>1</v>
      </c>
      <c r="E137" s="4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3</v>
      </c>
      <c r="BG137" s="3">
        <v>0</v>
      </c>
      <c r="BH137" s="3">
        <v>1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</row>
    <row r="138" spans="1:73" x14ac:dyDescent="0.25">
      <c r="A138" s="2" t="s">
        <v>82</v>
      </c>
      <c r="B138" s="4">
        <v>8</v>
      </c>
      <c r="C138" s="4">
        <v>2</v>
      </c>
      <c r="D138" s="4">
        <v>1</v>
      </c>
      <c r="E138" s="4">
        <v>2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1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1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1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</row>
    <row r="139" spans="1:73" x14ac:dyDescent="0.25">
      <c r="A139" s="2" t="s">
        <v>82</v>
      </c>
      <c r="B139" s="4">
        <v>8</v>
      </c>
      <c r="C139" s="4">
        <v>2</v>
      </c>
      <c r="D139" s="4">
        <v>1</v>
      </c>
      <c r="E139" s="4">
        <v>3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1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</row>
    <row r="140" spans="1:73" x14ac:dyDescent="0.25">
      <c r="A140" s="2" t="s">
        <v>82</v>
      </c>
      <c r="B140" s="4">
        <v>8</v>
      </c>
      <c r="C140" s="4">
        <v>2</v>
      </c>
      <c r="D140" s="4">
        <v>2</v>
      </c>
      <c r="E140" s="4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1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</row>
    <row r="141" spans="1:73" x14ac:dyDescent="0.25">
      <c r="A141" s="2" t="s">
        <v>82</v>
      </c>
      <c r="B141" s="4">
        <v>8</v>
      </c>
      <c r="C141" s="4">
        <v>2</v>
      </c>
      <c r="D141" s="4">
        <v>2</v>
      </c>
      <c r="E141" s="4">
        <v>2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1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</row>
    <row r="142" spans="1:73" x14ac:dyDescent="0.25">
      <c r="A142" s="2" t="s">
        <v>82</v>
      </c>
      <c r="B142" s="4">
        <v>8</v>
      </c>
      <c r="C142" s="4">
        <v>2</v>
      </c>
      <c r="D142" s="4">
        <v>2</v>
      </c>
      <c r="E142" s="4">
        <v>3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1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</row>
    <row r="143" spans="1:73" x14ac:dyDescent="0.25">
      <c r="A143" s="2" t="s">
        <v>82</v>
      </c>
      <c r="B143" s="4">
        <v>8</v>
      </c>
      <c r="C143" s="4">
        <v>2</v>
      </c>
      <c r="D143" s="4">
        <v>3</v>
      </c>
      <c r="E143" s="4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</row>
    <row r="144" spans="1:73" x14ac:dyDescent="0.25">
      <c r="A144" s="2" t="s">
        <v>82</v>
      </c>
      <c r="B144" s="4">
        <v>8</v>
      </c>
      <c r="C144" s="4">
        <v>2</v>
      </c>
      <c r="D144" s="4">
        <v>3</v>
      </c>
      <c r="E144" s="4">
        <v>2</v>
      </c>
      <c r="F144" s="3">
        <v>0</v>
      </c>
      <c r="G144" s="3">
        <v>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1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</row>
    <row r="145" spans="1:73" x14ac:dyDescent="0.25">
      <c r="A145" s="2" t="s">
        <v>82</v>
      </c>
      <c r="B145" s="4">
        <v>8</v>
      </c>
      <c r="C145" s="4">
        <v>2</v>
      </c>
      <c r="D145" s="4">
        <v>3</v>
      </c>
      <c r="E145" s="4">
        <v>3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</row>
    <row r="146" spans="1:73" x14ac:dyDescent="0.25">
      <c r="A146" s="2" t="s">
        <v>83</v>
      </c>
      <c r="B146" s="4">
        <v>9</v>
      </c>
      <c r="C146" s="4">
        <v>1</v>
      </c>
      <c r="D146" s="4">
        <v>1</v>
      </c>
      <c r="E146" s="4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1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4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</row>
    <row r="147" spans="1:73" x14ac:dyDescent="0.25">
      <c r="A147" s="2" t="s">
        <v>83</v>
      </c>
      <c r="B147" s="4">
        <v>9</v>
      </c>
      <c r="C147" s="4">
        <v>1</v>
      </c>
      <c r="D147" s="4">
        <v>1</v>
      </c>
      <c r="E147" s="4">
        <v>2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1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1</v>
      </c>
      <c r="BU147" s="3">
        <v>0</v>
      </c>
    </row>
    <row r="148" spans="1:73" x14ac:dyDescent="0.25">
      <c r="A148" s="2" t="s">
        <v>83</v>
      </c>
      <c r="B148" s="4">
        <v>9</v>
      </c>
      <c r="C148" s="4">
        <v>1</v>
      </c>
      <c r="D148" s="4">
        <v>1</v>
      </c>
      <c r="E148" s="4">
        <v>3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</row>
    <row r="149" spans="1:73" x14ac:dyDescent="0.25">
      <c r="A149" s="2" t="s">
        <v>83</v>
      </c>
      <c r="B149" s="4">
        <v>9</v>
      </c>
      <c r="C149" s="4">
        <v>1</v>
      </c>
      <c r="D149" s="4">
        <v>2</v>
      </c>
      <c r="E149" s="4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</row>
    <row r="150" spans="1:73" x14ac:dyDescent="0.25">
      <c r="A150" s="2" t="s">
        <v>83</v>
      </c>
      <c r="B150" s="4">
        <v>9</v>
      </c>
      <c r="C150" s="4">
        <v>1</v>
      </c>
      <c r="D150" s="4">
        <v>2</v>
      </c>
      <c r="E150" s="4">
        <v>2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1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1</v>
      </c>
      <c r="BU150" s="3">
        <v>0</v>
      </c>
    </row>
    <row r="151" spans="1:73" x14ac:dyDescent="0.25">
      <c r="A151" s="2" t="s">
        <v>83</v>
      </c>
      <c r="B151" s="4">
        <v>9</v>
      </c>
      <c r="C151" s="4">
        <v>1</v>
      </c>
      <c r="D151" s="4">
        <v>2</v>
      </c>
      <c r="E151" s="4">
        <v>3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1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</row>
    <row r="152" spans="1:73" x14ac:dyDescent="0.25">
      <c r="A152" s="2" t="s">
        <v>83</v>
      </c>
      <c r="B152" s="4">
        <v>9</v>
      </c>
      <c r="C152" s="4">
        <v>1</v>
      </c>
      <c r="D152" s="4">
        <v>3</v>
      </c>
      <c r="E152" s="4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</row>
    <row r="153" spans="1:73" x14ac:dyDescent="0.25">
      <c r="A153" s="2" t="s">
        <v>83</v>
      </c>
      <c r="B153" s="4">
        <v>9</v>
      </c>
      <c r="C153" s="4">
        <v>1</v>
      </c>
      <c r="D153" s="4">
        <v>3</v>
      </c>
      <c r="E153" s="4">
        <v>2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1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1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</row>
    <row r="154" spans="1:73" x14ac:dyDescent="0.25">
      <c r="A154" s="2" t="s">
        <v>83</v>
      </c>
      <c r="B154" s="4">
        <v>9</v>
      </c>
      <c r="C154" s="4">
        <v>1</v>
      </c>
      <c r="D154" s="4">
        <v>3</v>
      </c>
      <c r="E154" s="4">
        <v>3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1</v>
      </c>
      <c r="AF154" s="3">
        <v>0</v>
      </c>
      <c r="AG154" s="3">
        <v>0</v>
      </c>
      <c r="AH154" s="3">
        <v>0</v>
      </c>
      <c r="AI154" s="3">
        <v>1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1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</row>
    <row r="155" spans="1:73" x14ac:dyDescent="0.25">
      <c r="A155" s="2" t="s">
        <v>83</v>
      </c>
      <c r="B155" s="4">
        <v>9</v>
      </c>
      <c r="C155" s="4">
        <v>2</v>
      </c>
      <c r="D155" s="4">
        <v>1</v>
      </c>
      <c r="E155" s="4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1</v>
      </c>
      <c r="BG155" s="3">
        <v>0</v>
      </c>
      <c r="BH155" s="3">
        <v>0</v>
      </c>
      <c r="BI155" s="3">
        <v>0</v>
      </c>
      <c r="BJ155" s="3">
        <v>1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</row>
    <row r="156" spans="1:73" x14ac:dyDescent="0.25">
      <c r="A156" s="2" t="s">
        <v>83</v>
      </c>
      <c r="B156" s="4">
        <v>9</v>
      </c>
      <c r="C156" s="4">
        <v>2</v>
      </c>
      <c r="D156" s="4">
        <v>1</v>
      </c>
      <c r="E156" s="4">
        <v>2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2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1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2</v>
      </c>
      <c r="BG156" s="3">
        <v>0</v>
      </c>
      <c r="BH156" s="3">
        <v>1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1</v>
      </c>
      <c r="BU156" s="3">
        <v>0</v>
      </c>
    </row>
    <row r="157" spans="1:73" x14ac:dyDescent="0.25">
      <c r="A157" s="2" t="s">
        <v>83</v>
      </c>
      <c r="B157" s="4">
        <v>9</v>
      </c>
      <c r="C157" s="4">
        <v>2</v>
      </c>
      <c r="D157" s="4">
        <v>1</v>
      </c>
      <c r="E157" s="4">
        <v>3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4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1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</row>
    <row r="158" spans="1:73" x14ac:dyDescent="0.25">
      <c r="A158" s="2" t="s">
        <v>83</v>
      </c>
      <c r="B158" s="4">
        <v>9</v>
      </c>
      <c r="C158" s="4">
        <v>2</v>
      </c>
      <c r="D158" s="4">
        <v>2</v>
      </c>
      <c r="E158" s="4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</row>
    <row r="159" spans="1:73" x14ac:dyDescent="0.25">
      <c r="A159" s="2" t="s">
        <v>83</v>
      </c>
      <c r="B159" s="4">
        <v>9</v>
      </c>
      <c r="C159" s="4">
        <v>2</v>
      </c>
      <c r="D159" s="4">
        <v>2</v>
      </c>
      <c r="E159" s="4">
        <v>2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</row>
    <row r="160" spans="1:73" x14ac:dyDescent="0.25">
      <c r="A160" s="2" t="s">
        <v>83</v>
      </c>
      <c r="B160" s="4">
        <v>9</v>
      </c>
      <c r="C160" s="4">
        <v>2</v>
      </c>
      <c r="D160" s="4">
        <v>2</v>
      </c>
      <c r="E160" s="4">
        <v>3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</row>
    <row r="161" spans="1:73" x14ac:dyDescent="0.25">
      <c r="A161" s="2" t="s">
        <v>83</v>
      </c>
      <c r="B161" s="4">
        <v>9</v>
      </c>
      <c r="C161" s="4">
        <v>2</v>
      </c>
      <c r="D161" s="4">
        <v>3</v>
      </c>
      <c r="E161" s="4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4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1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</row>
    <row r="162" spans="1:73" x14ac:dyDescent="0.25">
      <c r="A162" s="2" t="s">
        <v>83</v>
      </c>
      <c r="B162" s="4">
        <v>9</v>
      </c>
      <c r="C162" s="4">
        <v>2</v>
      </c>
      <c r="D162" s="4">
        <v>3</v>
      </c>
      <c r="E162" s="4">
        <v>2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1</v>
      </c>
      <c r="BU162" s="3">
        <v>0</v>
      </c>
    </row>
    <row r="163" spans="1:73" x14ac:dyDescent="0.25">
      <c r="A163" s="2" t="s">
        <v>83</v>
      </c>
      <c r="B163" s="4">
        <v>9</v>
      </c>
      <c r="C163" s="4">
        <v>2</v>
      </c>
      <c r="D163" s="4">
        <v>3</v>
      </c>
      <c r="E163" s="4">
        <v>3</v>
      </c>
      <c r="F163" s="3">
        <v>0</v>
      </c>
      <c r="G163" s="3">
        <v>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</row>
    <row r="164" spans="1:73" x14ac:dyDescent="0.25">
      <c r="A164" s="2" t="s">
        <v>84</v>
      </c>
      <c r="B164" s="4">
        <v>10</v>
      </c>
      <c r="C164" s="4">
        <v>1</v>
      </c>
      <c r="D164" s="4">
        <v>1</v>
      </c>
      <c r="E164" s="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5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1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2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</row>
    <row r="165" spans="1:73" x14ac:dyDescent="0.25">
      <c r="A165" s="2" t="s">
        <v>84</v>
      </c>
      <c r="B165" s="4">
        <v>10</v>
      </c>
      <c r="C165" s="4">
        <v>1</v>
      </c>
      <c r="D165" s="4">
        <v>1</v>
      </c>
      <c r="E165" s="4">
        <v>2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1</v>
      </c>
      <c r="T165" s="3">
        <v>1</v>
      </c>
      <c r="U165" s="3">
        <v>0</v>
      </c>
      <c r="V165" s="3">
        <v>0</v>
      </c>
      <c r="W165" s="3">
        <v>0</v>
      </c>
      <c r="X165" s="3">
        <v>1</v>
      </c>
      <c r="Y165" s="3">
        <v>0</v>
      </c>
      <c r="Z165" s="3">
        <v>1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1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2</v>
      </c>
      <c r="BU165" s="3">
        <v>0</v>
      </c>
    </row>
    <row r="166" spans="1:73" x14ac:dyDescent="0.25">
      <c r="A166" s="2" t="s">
        <v>84</v>
      </c>
      <c r="B166" s="4">
        <v>10</v>
      </c>
      <c r="C166" s="4">
        <v>1</v>
      </c>
      <c r="D166" s="4">
        <v>1</v>
      </c>
      <c r="E166" s="4">
        <v>3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1</v>
      </c>
      <c r="AC166" s="3">
        <v>0</v>
      </c>
      <c r="AD166" s="3">
        <v>0</v>
      </c>
      <c r="AE166" s="3">
        <v>1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</row>
    <row r="167" spans="1:73" x14ac:dyDescent="0.25">
      <c r="A167" s="2" t="s">
        <v>84</v>
      </c>
      <c r="B167" s="4">
        <v>10</v>
      </c>
      <c r="C167" s="4">
        <v>1</v>
      </c>
      <c r="D167" s="4">
        <v>2</v>
      </c>
      <c r="E167" s="4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1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</row>
    <row r="168" spans="1:73" x14ac:dyDescent="0.25">
      <c r="A168" s="2" t="s">
        <v>84</v>
      </c>
      <c r="B168" s="4">
        <v>10</v>
      </c>
      <c r="C168" s="4">
        <v>1</v>
      </c>
      <c r="D168" s="4">
        <v>2</v>
      </c>
      <c r="E168" s="4">
        <v>2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1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</row>
    <row r="169" spans="1:73" x14ac:dyDescent="0.25">
      <c r="A169" s="2" t="s">
        <v>84</v>
      </c>
      <c r="B169" s="4">
        <v>10</v>
      </c>
      <c r="C169" s="4">
        <v>1</v>
      </c>
      <c r="D169" s="4">
        <v>2</v>
      </c>
      <c r="E169" s="4">
        <v>3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1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</row>
    <row r="170" spans="1:73" x14ac:dyDescent="0.25">
      <c r="A170" s="2" t="s">
        <v>84</v>
      </c>
      <c r="B170" s="4">
        <v>10</v>
      </c>
      <c r="C170" s="4">
        <v>1</v>
      </c>
      <c r="D170" s="4">
        <v>3</v>
      </c>
      <c r="E170" s="4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</row>
    <row r="171" spans="1:73" x14ac:dyDescent="0.25">
      <c r="A171" s="2" t="s">
        <v>84</v>
      </c>
      <c r="B171" s="4">
        <v>10</v>
      </c>
      <c r="C171" s="4">
        <v>1</v>
      </c>
      <c r="D171" s="4">
        <v>3</v>
      </c>
      <c r="E171" s="4">
        <v>2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1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1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</row>
    <row r="172" spans="1:73" x14ac:dyDescent="0.25">
      <c r="A172" s="2" t="s">
        <v>84</v>
      </c>
      <c r="B172" s="4">
        <v>10</v>
      </c>
      <c r="C172" s="4">
        <v>1</v>
      </c>
      <c r="D172" s="4">
        <v>3</v>
      </c>
      <c r="E172" s="4">
        <v>3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1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</row>
    <row r="173" spans="1:73" x14ac:dyDescent="0.25">
      <c r="A173" s="2" t="s">
        <v>84</v>
      </c>
      <c r="B173" s="4">
        <v>10</v>
      </c>
      <c r="C173" s="4">
        <v>2</v>
      </c>
      <c r="D173" s="4">
        <v>1</v>
      </c>
      <c r="E173" s="4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2</v>
      </c>
      <c r="BI173" s="3">
        <v>1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1</v>
      </c>
      <c r="BU173" s="3">
        <v>0</v>
      </c>
    </row>
    <row r="174" spans="1:73" x14ac:dyDescent="0.25">
      <c r="A174" s="2" t="s">
        <v>84</v>
      </c>
      <c r="B174" s="4">
        <v>10</v>
      </c>
      <c r="C174" s="4">
        <v>2</v>
      </c>
      <c r="D174" s="4">
        <v>1</v>
      </c>
      <c r="E174" s="4">
        <v>2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1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4</v>
      </c>
      <c r="BG174" s="3">
        <v>0</v>
      </c>
      <c r="BH174" s="3">
        <v>0</v>
      </c>
      <c r="BI174" s="3">
        <v>1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1</v>
      </c>
      <c r="BU174" s="3">
        <v>0</v>
      </c>
    </row>
    <row r="175" spans="1:73" x14ac:dyDescent="0.25">
      <c r="A175" s="2" t="s">
        <v>84</v>
      </c>
      <c r="B175" s="4">
        <v>10</v>
      </c>
      <c r="C175" s="4">
        <v>2</v>
      </c>
      <c r="D175" s="4">
        <v>1</v>
      </c>
      <c r="E175" s="4">
        <v>3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</row>
    <row r="176" spans="1:73" x14ac:dyDescent="0.25">
      <c r="A176" s="2" t="s">
        <v>84</v>
      </c>
      <c r="B176" s="4">
        <v>10</v>
      </c>
      <c r="C176" s="4">
        <v>2</v>
      </c>
      <c r="D176" s="4">
        <v>2</v>
      </c>
      <c r="E176" s="4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</row>
    <row r="177" spans="1:73" x14ac:dyDescent="0.25">
      <c r="A177" s="2" t="s">
        <v>84</v>
      </c>
      <c r="B177" s="4">
        <v>10</v>
      </c>
      <c r="C177" s="4">
        <v>2</v>
      </c>
      <c r="D177" s="4">
        <v>2</v>
      </c>
      <c r="E177" s="4">
        <v>2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</row>
    <row r="178" spans="1:73" x14ac:dyDescent="0.25">
      <c r="A178" s="2" t="s">
        <v>84</v>
      </c>
      <c r="B178" s="4">
        <v>10</v>
      </c>
      <c r="C178" s="4">
        <v>2</v>
      </c>
      <c r="D178" s="4">
        <v>2</v>
      </c>
      <c r="E178" s="4">
        <v>3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</row>
    <row r="179" spans="1:73" x14ac:dyDescent="0.25">
      <c r="A179" s="2" t="s">
        <v>84</v>
      </c>
      <c r="B179" s="4">
        <v>10</v>
      </c>
      <c r="C179" s="4">
        <v>2</v>
      </c>
      <c r="D179" s="4">
        <v>3</v>
      </c>
      <c r="E179" s="4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</row>
    <row r="180" spans="1:73" x14ac:dyDescent="0.25">
      <c r="A180" s="2" t="s">
        <v>84</v>
      </c>
      <c r="B180" s="4">
        <v>10</v>
      </c>
      <c r="C180" s="4">
        <v>2</v>
      </c>
      <c r="D180" s="4">
        <v>3</v>
      </c>
      <c r="E180" s="4">
        <v>2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1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1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4</v>
      </c>
      <c r="BG180" s="3">
        <v>0</v>
      </c>
      <c r="BH180" s="3">
        <v>0</v>
      </c>
      <c r="BI180" s="3">
        <v>0</v>
      </c>
      <c r="BJ180" s="3">
        <v>3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</row>
    <row r="181" spans="1:73" x14ac:dyDescent="0.25">
      <c r="A181" s="2" t="s">
        <v>84</v>
      </c>
      <c r="B181" s="4">
        <v>10</v>
      </c>
      <c r="C181" s="4">
        <v>2</v>
      </c>
      <c r="D181" s="4">
        <v>3</v>
      </c>
      <c r="E181" s="4">
        <v>3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1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</row>
    <row r="182" spans="1:73" x14ac:dyDescent="0.25">
      <c r="A182" s="2" t="s">
        <v>85</v>
      </c>
      <c r="B182" s="4">
        <v>11</v>
      </c>
      <c r="C182" s="4">
        <v>1</v>
      </c>
      <c r="D182" s="4">
        <v>1</v>
      </c>
      <c r="E182" s="4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</row>
    <row r="183" spans="1:73" x14ac:dyDescent="0.25">
      <c r="A183" s="2" t="s">
        <v>85</v>
      </c>
      <c r="B183" s="4">
        <v>11</v>
      </c>
      <c r="C183" s="4">
        <v>1</v>
      </c>
      <c r="D183" s="4">
        <v>1</v>
      </c>
      <c r="E183" s="4">
        <v>2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2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1</v>
      </c>
      <c r="AA183" s="3">
        <v>0</v>
      </c>
      <c r="AB183" s="3">
        <v>1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1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2</v>
      </c>
      <c r="BI183" s="3">
        <v>0</v>
      </c>
      <c r="BJ183" s="3">
        <v>1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</row>
    <row r="184" spans="1:73" x14ac:dyDescent="0.25">
      <c r="A184" s="2" t="s">
        <v>85</v>
      </c>
      <c r="B184" s="4">
        <v>11</v>
      </c>
      <c r="C184" s="4">
        <v>1</v>
      </c>
      <c r="D184" s="4">
        <v>1</v>
      </c>
      <c r="E184" s="4">
        <v>3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1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</row>
    <row r="185" spans="1:73" x14ac:dyDescent="0.25">
      <c r="A185" s="2" t="s">
        <v>85</v>
      </c>
      <c r="B185" s="4">
        <v>11</v>
      </c>
      <c r="C185" s="4">
        <v>1</v>
      </c>
      <c r="D185" s="4">
        <v>2</v>
      </c>
      <c r="E185" s="4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</row>
    <row r="186" spans="1:73" x14ac:dyDescent="0.25">
      <c r="A186" s="2" t="s">
        <v>85</v>
      </c>
      <c r="B186" s="4">
        <v>11</v>
      </c>
      <c r="C186" s="4">
        <v>1</v>
      </c>
      <c r="D186" s="4">
        <v>2</v>
      </c>
      <c r="E186" s="4">
        <v>2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1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</row>
    <row r="187" spans="1:73" x14ac:dyDescent="0.25">
      <c r="A187" s="2" t="s">
        <v>85</v>
      </c>
      <c r="B187" s="4">
        <v>11</v>
      </c>
      <c r="C187" s="4">
        <v>1</v>
      </c>
      <c r="D187" s="4">
        <v>2</v>
      </c>
      <c r="E187" s="4">
        <v>3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1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</row>
    <row r="188" spans="1:73" x14ac:dyDescent="0.25">
      <c r="A188" s="2" t="s">
        <v>85</v>
      </c>
      <c r="B188" s="4">
        <v>11</v>
      </c>
      <c r="C188" s="4">
        <v>1</v>
      </c>
      <c r="D188" s="4">
        <v>3</v>
      </c>
      <c r="E188" s="4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</row>
    <row r="189" spans="1:73" x14ac:dyDescent="0.25">
      <c r="A189" s="2" t="s">
        <v>85</v>
      </c>
      <c r="B189" s="4">
        <v>11</v>
      </c>
      <c r="C189" s="4">
        <v>1</v>
      </c>
      <c r="D189" s="4">
        <v>3</v>
      </c>
      <c r="E189" s="4">
        <v>2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1</v>
      </c>
      <c r="BU189" s="3">
        <v>0</v>
      </c>
    </row>
    <row r="190" spans="1:73" x14ac:dyDescent="0.25">
      <c r="A190" s="2" t="s">
        <v>85</v>
      </c>
      <c r="B190" s="4">
        <v>11</v>
      </c>
      <c r="C190" s="4">
        <v>1</v>
      </c>
      <c r="D190" s="4">
        <v>3</v>
      </c>
      <c r="E190" s="4">
        <v>3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1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</row>
    <row r="191" spans="1:73" x14ac:dyDescent="0.25">
      <c r="A191" s="2" t="s">
        <v>85</v>
      </c>
      <c r="B191" s="4">
        <v>11</v>
      </c>
      <c r="C191" s="4">
        <v>2</v>
      </c>
      <c r="D191" s="4">
        <v>1</v>
      </c>
      <c r="E191" s="4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1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1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1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1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1</v>
      </c>
      <c r="BU191" s="3">
        <v>0</v>
      </c>
    </row>
    <row r="192" spans="1:73" x14ac:dyDescent="0.25">
      <c r="A192" s="2" t="s">
        <v>85</v>
      </c>
      <c r="B192" s="4">
        <v>11</v>
      </c>
      <c r="C192" s="4">
        <v>2</v>
      </c>
      <c r="D192" s="4">
        <v>1</v>
      </c>
      <c r="E192" s="4">
        <v>2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2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1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1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1</v>
      </c>
      <c r="BU192" s="3">
        <v>0</v>
      </c>
    </row>
    <row r="193" spans="1:73" x14ac:dyDescent="0.25">
      <c r="A193" s="2" t="s">
        <v>85</v>
      </c>
      <c r="B193" s="4">
        <v>11</v>
      </c>
      <c r="C193" s="4">
        <v>2</v>
      </c>
      <c r="D193" s="4">
        <v>1</v>
      </c>
      <c r="E193" s="4">
        <v>3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</row>
    <row r="194" spans="1:73" x14ac:dyDescent="0.25">
      <c r="A194" s="2" t="s">
        <v>85</v>
      </c>
      <c r="B194" s="4">
        <v>11</v>
      </c>
      <c r="C194" s="4">
        <v>2</v>
      </c>
      <c r="D194" s="4">
        <v>2</v>
      </c>
      <c r="E194" s="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</row>
    <row r="195" spans="1:73" x14ac:dyDescent="0.25">
      <c r="A195" s="2" t="s">
        <v>85</v>
      </c>
      <c r="B195" s="4">
        <v>11</v>
      </c>
      <c r="C195" s="4">
        <v>2</v>
      </c>
      <c r="D195" s="4">
        <v>2</v>
      </c>
      <c r="E195" s="4">
        <v>2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</row>
    <row r="196" spans="1:73" x14ac:dyDescent="0.25">
      <c r="A196" s="2" t="s">
        <v>85</v>
      </c>
      <c r="B196" s="4">
        <v>11</v>
      </c>
      <c r="C196" s="4">
        <v>2</v>
      </c>
      <c r="D196" s="4">
        <v>2</v>
      </c>
      <c r="E196" s="4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</row>
    <row r="197" spans="1:73" x14ac:dyDescent="0.25">
      <c r="A197" s="2" t="s">
        <v>85</v>
      </c>
      <c r="B197" s="4">
        <v>11</v>
      </c>
      <c r="C197" s="4">
        <v>2</v>
      </c>
      <c r="D197" s="4">
        <v>3</v>
      </c>
      <c r="E197" s="4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5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1</v>
      </c>
      <c r="BU197" s="3">
        <v>0</v>
      </c>
    </row>
    <row r="198" spans="1:73" x14ac:dyDescent="0.25">
      <c r="A198" s="2" t="s">
        <v>85</v>
      </c>
      <c r="B198" s="4">
        <v>11</v>
      </c>
      <c r="C198" s="4">
        <v>2</v>
      </c>
      <c r="D198" s="4">
        <v>3</v>
      </c>
      <c r="E198" s="4">
        <v>2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1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2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</row>
    <row r="199" spans="1:73" x14ac:dyDescent="0.25">
      <c r="A199" s="2" t="s">
        <v>85</v>
      </c>
      <c r="B199" s="4">
        <v>11</v>
      </c>
      <c r="C199" s="4">
        <v>2</v>
      </c>
      <c r="D199" s="4">
        <v>3</v>
      </c>
      <c r="E199" s="4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</row>
    <row r="200" spans="1:73" x14ac:dyDescent="0.25">
      <c r="A200" s="2" t="s">
        <v>86</v>
      </c>
      <c r="B200" s="4">
        <v>12</v>
      </c>
      <c r="C200" s="4">
        <v>1</v>
      </c>
      <c r="D200" s="4">
        <v>1</v>
      </c>
      <c r="E200" s="4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</row>
    <row r="201" spans="1:73" x14ac:dyDescent="0.25">
      <c r="A201" s="2" t="s">
        <v>86</v>
      </c>
      <c r="B201" s="4">
        <v>12</v>
      </c>
      <c r="C201" s="4">
        <v>1</v>
      </c>
      <c r="D201" s="4">
        <v>1</v>
      </c>
      <c r="E201" s="4">
        <v>2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1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2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1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1</v>
      </c>
      <c r="BU201" s="3">
        <v>0</v>
      </c>
    </row>
    <row r="202" spans="1:73" x14ac:dyDescent="0.25">
      <c r="A202" s="2" t="s">
        <v>86</v>
      </c>
      <c r="B202" s="4">
        <v>12</v>
      </c>
      <c r="C202" s="4">
        <v>1</v>
      </c>
      <c r="D202" s="4">
        <v>1</v>
      </c>
      <c r="E202" s="4">
        <v>3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1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1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1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</row>
    <row r="203" spans="1:73" x14ac:dyDescent="0.25">
      <c r="A203" s="2" t="s">
        <v>86</v>
      </c>
      <c r="B203" s="4">
        <v>12</v>
      </c>
      <c r="C203" s="4">
        <v>1</v>
      </c>
      <c r="D203" s="4">
        <v>2</v>
      </c>
      <c r="E203" s="4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</row>
    <row r="204" spans="1:73" x14ac:dyDescent="0.25">
      <c r="A204" s="2" t="s">
        <v>86</v>
      </c>
      <c r="B204" s="4">
        <v>12</v>
      </c>
      <c r="C204" s="4">
        <v>1</v>
      </c>
      <c r="D204" s="4">
        <v>2</v>
      </c>
      <c r="E204" s="4">
        <v>2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</row>
    <row r="205" spans="1:73" x14ac:dyDescent="0.25">
      <c r="A205" s="2" t="s">
        <v>86</v>
      </c>
      <c r="B205" s="4">
        <v>12</v>
      </c>
      <c r="C205" s="4">
        <v>1</v>
      </c>
      <c r="D205" s="4">
        <v>2</v>
      </c>
      <c r="E205" s="4">
        <v>3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1</v>
      </c>
      <c r="BU205" s="3">
        <v>0</v>
      </c>
    </row>
    <row r="206" spans="1:73" x14ac:dyDescent="0.25">
      <c r="A206" s="2" t="s">
        <v>86</v>
      </c>
      <c r="B206" s="4">
        <v>12</v>
      </c>
      <c r="C206" s="4">
        <v>1</v>
      </c>
      <c r="D206" s="4">
        <v>3</v>
      </c>
      <c r="E206" s="4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</row>
    <row r="207" spans="1:73" x14ac:dyDescent="0.25">
      <c r="A207" s="2" t="s">
        <v>86</v>
      </c>
      <c r="B207" s="4">
        <v>12</v>
      </c>
      <c r="C207" s="4">
        <v>1</v>
      </c>
      <c r="D207" s="4">
        <v>3</v>
      </c>
      <c r="E207" s="4">
        <v>2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</row>
    <row r="208" spans="1:73" x14ac:dyDescent="0.25">
      <c r="A208" s="2" t="s">
        <v>86</v>
      </c>
      <c r="B208" s="4">
        <v>12</v>
      </c>
      <c r="C208" s="4">
        <v>1</v>
      </c>
      <c r="D208" s="4">
        <v>3</v>
      </c>
      <c r="E208" s="4">
        <v>3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1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</row>
    <row r="209" spans="1:73" x14ac:dyDescent="0.25">
      <c r="A209" s="2" t="s">
        <v>86</v>
      </c>
      <c r="B209" s="4">
        <v>12</v>
      </c>
      <c r="C209" s="4">
        <v>2</v>
      </c>
      <c r="D209" s="4">
        <v>1</v>
      </c>
      <c r="E209" s="4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</row>
    <row r="210" spans="1:73" x14ac:dyDescent="0.25">
      <c r="A210" s="2" t="s">
        <v>86</v>
      </c>
      <c r="B210" s="4">
        <v>12</v>
      </c>
      <c r="C210" s="4">
        <v>2</v>
      </c>
      <c r="D210" s="4">
        <v>1</v>
      </c>
      <c r="E210" s="4">
        <v>2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2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2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</row>
    <row r="211" spans="1:73" x14ac:dyDescent="0.25">
      <c r="A211" s="2" t="s">
        <v>86</v>
      </c>
      <c r="B211" s="4">
        <v>12</v>
      </c>
      <c r="C211" s="4">
        <v>2</v>
      </c>
      <c r="D211" s="4">
        <v>1</v>
      </c>
      <c r="E211" s="4">
        <v>3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1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</row>
    <row r="212" spans="1:73" x14ac:dyDescent="0.25">
      <c r="A212" s="2" t="s">
        <v>86</v>
      </c>
      <c r="B212" s="4">
        <v>12</v>
      </c>
      <c r="C212" s="4">
        <v>2</v>
      </c>
      <c r="D212" s="4">
        <v>2</v>
      </c>
      <c r="E212" s="4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1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</row>
    <row r="213" spans="1:73" x14ac:dyDescent="0.25">
      <c r="A213" s="2" t="s">
        <v>86</v>
      </c>
      <c r="B213" s="4">
        <v>12</v>
      </c>
      <c r="C213" s="4">
        <v>2</v>
      </c>
      <c r="D213" s="4">
        <v>2</v>
      </c>
      <c r="E213" s="4">
        <v>2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</row>
    <row r="214" spans="1:73" x14ac:dyDescent="0.25">
      <c r="A214" s="2" t="s">
        <v>86</v>
      </c>
      <c r="B214" s="4">
        <v>12</v>
      </c>
      <c r="C214" s="4">
        <v>2</v>
      </c>
      <c r="D214" s="4">
        <v>2</v>
      </c>
      <c r="E214" s="4">
        <v>3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</row>
    <row r="215" spans="1:73" x14ac:dyDescent="0.25">
      <c r="A215" s="2" t="s">
        <v>86</v>
      </c>
      <c r="B215" s="4">
        <v>12</v>
      </c>
      <c r="C215" s="4">
        <v>2</v>
      </c>
      <c r="D215" s="4">
        <v>3</v>
      </c>
      <c r="E215" s="4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1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</row>
    <row r="216" spans="1:73" x14ac:dyDescent="0.25">
      <c r="A216" s="2" t="s">
        <v>86</v>
      </c>
      <c r="B216" s="4">
        <v>12</v>
      </c>
      <c r="C216" s="4">
        <v>2</v>
      </c>
      <c r="D216" s="4">
        <v>3</v>
      </c>
      <c r="E216" s="4">
        <v>2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1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1</v>
      </c>
      <c r="BU216" s="3">
        <v>0</v>
      </c>
    </row>
    <row r="217" spans="1:73" x14ac:dyDescent="0.25">
      <c r="A217" s="2" t="s">
        <v>86</v>
      </c>
      <c r="B217" s="4">
        <v>12</v>
      </c>
      <c r="C217" s="4">
        <v>2</v>
      </c>
      <c r="D217" s="4">
        <v>3</v>
      </c>
      <c r="E217" s="4">
        <v>3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</row>
    <row r="218" spans="1:73" x14ac:dyDescent="0.25">
      <c r="A218" s="2" t="s">
        <v>87</v>
      </c>
      <c r="B218" s="4">
        <v>13</v>
      </c>
      <c r="C218" s="4">
        <v>1</v>
      </c>
      <c r="D218" s="4">
        <v>1</v>
      </c>
      <c r="E218" s="4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1</v>
      </c>
      <c r="BI218" s="3">
        <v>0</v>
      </c>
      <c r="BJ218" s="3">
        <v>1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</row>
    <row r="219" spans="1:73" x14ac:dyDescent="0.25">
      <c r="A219" s="2" t="s">
        <v>87</v>
      </c>
      <c r="B219" s="4">
        <v>13</v>
      </c>
      <c r="C219" s="4">
        <v>1</v>
      </c>
      <c r="D219" s="4">
        <v>1</v>
      </c>
      <c r="E219" s="4">
        <v>2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1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3</v>
      </c>
      <c r="BG219" s="3">
        <v>0</v>
      </c>
      <c r="BH219" s="3">
        <v>0</v>
      </c>
      <c r="BI219" s="3">
        <v>1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1</v>
      </c>
      <c r="BU219" s="3">
        <v>0</v>
      </c>
    </row>
    <row r="220" spans="1:73" x14ac:dyDescent="0.25">
      <c r="A220" s="2" t="s">
        <v>87</v>
      </c>
      <c r="B220" s="4">
        <v>13</v>
      </c>
      <c r="C220" s="4">
        <v>1</v>
      </c>
      <c r="D220" s="4">
        <v>1</v>
      </c>
      <c r="E220" s="4">
        <v>3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1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1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1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1</v>
      </c>
      <c r="BU220" s="3">
        <v>0</v>
      </c>
    </row>
    <row r="221" spans="1:73" x14ac:dyDescent="0.25">
      <c r="A221" s="2" t="s">
        <v>87</v>
      </c>
      <c r="B221" s="4">
        <v>13</v>
      </c>
      <c r="C221" s="4">
        <v>1</v>
      </c>
      <c r="D221" s="4">
        <v>2</v>
      </c>
      <c r="E221" s="4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</row>
    <row r="222" spans="1:73" x14ac:dyDescent="0.25">
      <c r="A222" s="2" t="s">
        <v>87</v>
      </c>
      <c r="B222" s="4">
        <v>13</v>
      </c>
      <c r="C222" s="4">
        <v>1</v>
      </c>
      <c r="D222" s="4">
        <v>2</v>
      </c>
      <c r="E222" s="4">
        <v>2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</row>
    <row r="223" spans="1:73" x14ac:dyDescent="0.25">
      <c r="A223" s="2" t="s">
        <v>87</v>
      </c>
      <c r="B223" s="4">
        <v>13</v>
      </c>
      <c r="C223" s="4">
        <v>1</v>
      </c>
      <c r="D223" s="4">
        <v>2</v>
      </c>
      <c r="E223" s="4">
        <v>3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</row>
    <row r="224" spans="1:73" x14ac:dyDescent="0.25">
      <c r="A224" s="2" t="s">
        <v>87</v>
      </c>
      <c r="B224" s="4">
        <v>13</v>
      </c>
      <c r="C224" s="4">
        <v>1</v>
      </c>
      <c r="D224" s="4">
        <v>3</v>
      </c>
      <c r="E224" s="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</row>
    <row r="225" spans="1:73" x14ac:dyDescent="0.25">
      <c r="A225" s="2" t="s">
        <v>87</v>
      </c>
      <c r="B225" s="4">
        <v>13</v>
      </c>
      <c r="C225" s="4">
        <v>1</v>
      </c>
      <c r="D225" s="4">
        <v>3</v>
      </c>
      <c r="E225" s="4">
        <v>2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1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1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1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1</v>
      </c>
    </row>
    <row r="226" spans="1:73" x14ac:dyDescent="0.25">
      <c r="A226" s="2" t="s">
        <v>87</v>
      </c>
      <c r="B226" s="4">
        <v>13</v>
      </c>
      <c r="C226" s="4">
        <v>1</v>
      </c>
      <c r="D226" s="4">
        <v>3</v>
      </c>
      <c r="E226" s="4">
        <v>3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1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</row>
    <row r="227" spans="1:73" x14ac:dyDescent="0.25">
      <c r="A227" s="2" t="s">
        <v>87</v>
      </c>
      <c r="B227" s="4">
        <v>13</v>
      </c>
      <c r="C227" s="4">
        <v>2</v>
      </c>
      <c r="D227" s="4">
        <v>1</v>
      </c>
      <c r="E227" s="4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1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2</v>
      </c>
      <c r="BG227" s="3">
        <v>0</v>
      </c>
      <c r="BH227" s="3">
        <v>0</v>
      </c>
      <c r="BI227" s="3">
        <v>0</v>
      </c>
      <c r="BJ227" s="3">
        <v>1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</row>
    <row r="228" spans="1:73" x14ac:dyDescent="0.25">
      <c r="A228" s="2" t="s">
        <v>87</v>
      </c>
      <c r="B228" s="4">
        <v>13</v>
      </c>
      <c r="C228" s="4">
        <v>2</v>
      </c>
      <c r="D228" s="4">
        <v>1</v>
      </c>
      <c r="E228" s="4">
        <v>2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1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1</v>
      </c>
      <c r="BG228" s="3">
        <v>0</v>
      </c>
      <c r="BH228" s="3">
        <v>1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</row>
    <row r="229" spans="1:73" x14ac:dyDescent="0.25">
      <c r="A229" s="2" t="s">
        <v>87</v>
      </c>
      <c r="B229" s="4">
        <v>13</v>
      </c>
      <c r="C229" s="4">
        <v>2</v>
      </c>
      <c r="D229" s="4">
        <v>1</v>
      </c>
      <c r="E229" s="4">
        <v>3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1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1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1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1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</row>
    <row r="230" spans="1:73" x14ac:dyDescent="0.25">
      <c r="A230" s="2" t="s">
        <v>87</v>
      </c>
      <c r="B230" s="4">
        <v>13</v>
      </c>
      <c r="C230" s="4">
        <v>2</v>
      </c>
      <c r="D230" s="4">
        <v>2</v>
      </c>
      <c r="E230" s="4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</row>
    <row r="231" spans="1:73" x14ac:dyDescent="0.25">
      <c r="A231" s="2" t="s">
        <v>87</v>
      </c>
      <c r="B231" s="4">
        <v>13</v>
      </c>
      <c r="C231" s="4">
        <v>2</v>
      </c>
      <c r="D231" s="4">
        <v>2</v>
      </c>
      <c r="E231" s="4">
        <v>2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</row>
    <row r="232" spans="1:73" x14ac:dyDescent="0.25">
      <c r="A232" s="2" t="s">
        <v>87</v>
      </c>
      <c r="B232" s="4">
        <v>13</v>
      </c>
      <c r="C232" s="4">
        <v>2</v>
      </c>
      <c r="D232" s="4">
        <v>2</v>
      </c>
      <c r="E232" s="4">
        <v>3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1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</row>
    <row r="233" spans="1:73" x14ac:dyDescent="0.25">
      <c r="A233" s="2" t="s">
        <v>87</v>
      </c>
      <c r="B233" s="4">
        <v>13</v>
      </c>
      <c r="C233" s="4">
        <v>2</v>
      </c>
      <c r="D233" s="4">
        <v>3</v>
      </c>
      <c r="E233" s="4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</row>
    <row r="234" spans="1:73" x14ac:dyDescent="0.25">
      <c r="A234" s="2" t="s">
        <v>87</v>
      </c>
      <c r="B234" s="4">
        <v>13</v>
      </c>
      <c r="C234" s="4">
        <v>2</v>
      </c>
      <c r="D234" s="4">
        <v>3</v>
      </c>
      <c r="E234" s="4">
        <v>2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1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</row>
    <row r="235" spans="1:73" x14ac:dyDescent="0.25">
      <c r="A235" s="2" t="s">
        <v>87</v>
      </c>
      <c r="B235" s="4">
        <v>13</v>
      </c>
      <c r="C235" s="4">
        <v>2</v>
      </c>
      <c r="D235" s="4">
        <v>3</v>
      </c>
      <c r="E235" s="4">
        <v>3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</row>
    <row r="236" spans="1:73" x14ac:dyDescent="0.25">
      <c r="A236" s="2" t="s">
        <v>88</v>
      </c>
      <c r="B236" s="4">
        <v>14</v>
      </c>
      <c r="C236" s="4">
        <v>1</v>
      </c>
      <c r="D236" s="4">
        <v>1</v>
      </c>
      <c r="E236" s="4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1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</row>
    <row r="237" spans="1:73" x14ac:dyDescent="0.25">
      <c r="A237" s="2" t="s">
        <v>88</v>
      </c>
      <c r="B237" s="4">
        <v>14</v>
      </c>
      <c r="C237" s="4">
        <v>1</v>
      </c>
      <c r="D237" s="4">
        <v>1</v>
      </c>
      <c r="E237" s="4">
        <v>2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1</v>
      </c>
      <c r="P237" s="3">
        <v>0</v>
      </c>
      <c r="Q237" s="3">
        <v>0</v>
      </c>
      <c r="R237" s="3">
        <v>0</v>
      </c>
      <c r="S237" s="3">
        <v>1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2</v>
      </c>
      <c r="AA237" s="3">
        <v>0</v>
      </c>
      <c r="AB237" s="3">
        <v>0</v>
      </c>
      <c r="AC237" s="3">
        <v>0</v>
      </c>
      <c r="AD237" s="3">
        <v>0</v>
      </c>
      <c r="AE237" s="3">
        <v>1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2</v>
      </c>
      <c r="BG237" s="3">
        <v>0</v>
      </c>
      <c r="BH237" s="3">
        <v>0</v>
      </c>
      <c r="BI237" s="3">
        <v>1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2</v>
      </c>
      <c r="BU237" s="3">
        <v>0</v>
      </c>
    </row>
    <row r="238" spans="1:73" x14ac:dyDescent="0.25">
      <c r="A238" s="2" t="s">
        <v>88</v>
      </c>
      <c r="B238" s="4">
        <v>14</v>
      </c>
      <c r="C238" s="4">
        <v>1</v>
      </c>
      <c r="D238" s="4">
        <v>1</v>
      </c>
      <c r="E238" s="4">
        <v>3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1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1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2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</row>
    <row r="239" spans="1:73" x14ac:dyDescent="0.25">
      <c r="A239" s="2" t="s">
        <v>88</v>
      </c>
      <c r="B239" s="4">
        <v>14</v>
      </c>
      <c r="C239" s="4">
        <v>1</v>
      </c>
      <c r="D239" s="4">
        <v>2</v>
      </c>
      <c r="E239" s="4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</row>
    <row r="240" spans="1:73" x14ac:dyDescent="0.25">
      <c r="A240" s="2" t="s">
        <v>88</v>
      </c>
      <c r="B240" s="4">
        <v>14</v>
      </c>
      <c r="C240" s="4">
        <v>1</v>
      </c>
      <c r="D240" s="4">
        <v>2</v>
      </c>
      <c r="E240" s="4">
        <v>2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</row>
    <row r="241" spans="1:73" x14ac:dyDescent="0.25">
      <c r="A241" s="2" t="s">
        <v>88</v>
      </c>
      <c r="B241" s="4">
        <v>14</v>
      </c>
      <c r="C241" s="4">
        <v>1</v>
      </c>
      <c r="D241" s="4">
        <v>2</v>
      </c>
      <c r="E241" s="4">
        <v>3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1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</row>
    <row r="242" spans="1:73" x14ac:dyDescent="0.25">
      <c r="A242" s="2" t="s">
        <v>88</v>
      </c>
      <c r="B242" s="4">
        <v>14</v>
      </c>
      <c r="C242" s="4">
        <v>1</v>
      </c>
      <c r="D242" s="4">
        <v>3</v>
      </c>
      <c r="E242" s="4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</row>
    <row r="243" spans="1:73" x14ac:dyDescent="0.25">
      <c r="A243" s="2" t="s">
        <v>88</v>
      </c>
      <c r="B243" s="4">
        <v>14</v>
      </c>
      <c r="C243" s="4">
        <v>1</v>
      </c>
      <c r="D243" s="4">
        <v>3</v>
      </c>
      <c r="E243" s="4">
        <v>2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</row>
    <row r="244" spans="1:73" x14ac:dyDescent="0.25">
      <c r="A244" s="2" t="s">
        <v>88</v>
      </c>
      <c r="B244" s="4">
        <v>14</v>
      </c>
      <c r="C244" s="4">
        <v>1</v>
      </c>
      <c r="D244" s="4">
        <v>3</v>
      </c>
      <c r="E244" s="4">
        <v>3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1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1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1</v>
      </c>
    </row>
    <row r="245" spans="1:73" x14ac:dyDescent="0.25">
      <c r="A245" s="2" t="s">
        <v>88</v>
      </c>
      <c r="B245" s="4">
        <v>14</v>
      </c>
      <c r="C245" s="4">
        <v>2</v>
      </c>
      <c r="D245" s="4">
        <v>1</v>
      </c>
      <c r="E245" s="4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2</v>
      </c>
      <c r="BG245" s="3">
        <v>0</v>
      </c>
      <c r="BH245" s="3">
        <v>0</v>
      </c>
      <c r="BI245" s="3">
        <v>2</v>
      </c>
      <c r="BJ245" s="3">
        <v>3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1</v>
      </c>
      <c r="BU245" s="3">
        <v>0</v>
      </c>
    </row>
    <row r="246" spans="1:73" x14ac:dyDescent="0.25">
      <c r="A246" s="2" t="s">
        <v>88</v>
      </c>
      <c r="B246" s="4">
        <v>14</v>
      </c>
      <c r="C246" s="4">
        <v>2</v>
      </c>
      <c r="D246" s="4">
        <v>1</v>
      </c>
      <c r="E246" s="4">
        <v>2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1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1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1</v>
      </c>
      <c r="BG246" s="3">
        <v>0</v>
      </c>
      <c r="BH246" s="3">
        <v>1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1</v>
      </c>
      <c r="BQ246" s="3">
        <v>0</v>
      </c>
      <c r="BR246" s="3">
        <v>0</v>
      </c>
      <c r="BS246" s="3">
        <v>0</v>
      </c>
      <c r="BT246" s="3">
        <v>1</v>
      </c>
      <c r="BU246" s="3">
        <v>1</v>
      </c>
    </row>
    <row r="247" spans="1:73" x14ac:dyDescent="0.25">
      <c r="A247" s="2" t="s">
        <v>88</v>
      </c>
      <c r="B247" s="4">
        <v>14</v>
      </c>
      <c r="C247" s="4">
        <v>2</v>
      </c>
      <c r="D247" s="4">
        <v>1</v>
      </c>
      <c r="E247" s="4">
        <v>3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1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1</v>
      </c>
      <c r="BU247" s="3">
        <v>0</v>
      </c>
    </row>
    <row r="248" spans="1:73" x14ac:dyDescent="0.25">
      <c r="A248" s="2" t="s">
        <v>88</v>
      </c>
      <c r="B248" s="4">
        <v>14</v>
      </c>
      <c r="C248" s="4">
        <v>2</v>
      </c>
      <c r="D248" s="4">
        <v>2</v>
      </c>
      <c r="E248" s="4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</row>
    <row r="249" spans="1:73" x14ac:dyDescent="0.25">
      <c r="A249" s="2" t="s">
        <v>88</v>
      </c>
      <c r="B249" s="4">
        <v>14</v>
      </c>
      <c r="C249" s="4">
        <v>2</v>
      </c>
      <c r="D249" s="4">
        <v>2</v>
      </c>
      <c r="E249" s="4">
        <v>2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</row>
    <row r="250" spans="1:73" x14ac:dyDescent="0.25">
      <c r="A250" s="2" t="s">
        <v>88</v>
      </c>
      <c r="B250" s="4">
        <v>14</v>
      </c>
      <c r="C250" s="4">
        <v>2</v>
      </c>
      <c r="D250" s="4">
        <v>2</v>
      </c>
      <c r="E250" s="4">
        <v>3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</row>
    <row r="251" spans="1:73" x14ac:dyDescent="0.25">
      <c r="A251" s="2" t="s">
        <v>88</v>
      </c>
      <c r="B251" s="4">
        <v>14</v>
      </c>
      <c r="C251" s="4">
        <v>2</v>
      </c>
      <c r="D251" s="4">
        <v>3</v>
      </c>
      <c r="E251" s="4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1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</row>
    <row r="252" spans="1:73" x14ac:dyDescent="0.25">
      <c r="A252" s="2" t="s">
        <v>88</v>
      </c>
      <c r="B252" s="4">
        <v>14</v>
      </c>
      <c r="C252" s="4">
        <v>2</v>
      </c>
      <c r="D252" s="4">
        <v>3</v>
      </c>
      <c r="E252" s="4">
        <v>2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1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</row>
    <row r="253" spans="1:73" x14ac:dyDescent="0.25">
      <c r="A253" s="2" t="s">
        <v>88</v>
      </c>
      <c r="B253" s="4">
        <v>14</v>
      </c>
      <c r="C253" s="4">
        <v>2</v>
      </c>
      <c r="D253" s="4">
        <v>3</v>
      </c>
      <c r="E253" s="4">
        <v>3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1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</row>
    <row r="254" spans="1:73" x14ac:dyDescent="0.25">
      <c r="A254" s="2" t="s">
        <v>89</v>
      </c>
      <c r="B254" s="4">
        <v>15</v>
      </c>
      <c r="C254" s="4">
        <v>1</v>
      </c>
      <c r="D254" s="4">
        <v>1</v>
      </c>
      <c r="E254" s="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1</v>
      </c>
      <c r="BJ254" s="3">
        <v>1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</row>
    <row r="255" spans="1:73" x14ac:dyDescent="0.25">
      <c r="A255" s="2" t="s">
        <v>89</v>
      </c>
      <c r="B255" s="4">
        <v>15</v>
      </c>
      <c r="C255" s="4">
        <v>1</v>
      </c>
      <c r="D255" s="4">
        <v>1</v>
      </c>
      <c r="E255" s="4">
        <v>2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2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1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1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</row>
    <row r="256" spans="1:73" x14ac:dyDescent="0.25">
      <c r="A256" s="2" t="s">
        <v>89</v>
      </c>
      <c r="B256" s="4">
        <v>15</v>
      </c>
      <c r="C256" s="4">
        <v>1</v>
      </c>
      <c r="D256" s="4">
        <v>1</v>
      </c>
      <c r="E256" s="4">
        <v>3</v>
      </c>
      <c r="F256" s="3">
        <v>0</v>
      </c>
      <c r="G256" s="3">
        <v>0</v>
      </c>
      <c r="H256" s="3">
        <v>0</v>
      </c>
      <c r="I256" s="3">
        <v>0</v>
      </c>
      <c r="J256" s="3">
        <v>2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1</v>
      </c>
      <c r="AA256" s="3">
        <v>0</v>
      </c>
      <c r="AB256" s="3">
        <v>0</v>
      </c>
      <c r="AC256" s="3">
        <v>0</v>
      </c>
      <c r="AD256" s="3">
        <v>0</v>
      </c>
      <c r="AE256" s="3">
        <v>1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2</v>
      </c>
      <c r="BG256" s="3">
        <v>0</v>
      </c>
      <c r="BH256" s="3">
        <v>1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</row>
    <row r="257" spans="1:73" x14ac:dyDescent="0.25">
      <c r="A257" s="2" t="s">
        <v>89</v>
      </c>
      <c r="B257" s="4">
        <v>15</v>
      </c>
      <c r="C257" s="4">
        <v>1</v>
      </c>
      <c r="D257" s="4">
        <v>2</v>
      </c>
      <c r="E257" s="4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</row>
    <row r="258" spans="1:73" x14ac:dyDescent="0.25">
      <c r="A258" s="2" t="s">
        <v>89</v>
      </c>
      <c r="B258" s="4">
        <v>15</v>
      </c>
      <c r="C258" s="4">
        <v>1</v>
      </c>
      <c r="D258" s="4">
        <v>2</v>
      </c>
      <c r="E258" s="4">
        <v>2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1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</row>
    <row r="259" spans="1:73" x14ac:dyDescent="0.25">
      <c r="A259" s="2" t="s">
        <v>89</v>
      </c>
      <c r="B259" s="4">
        <v>15</v>
      </c>
      <c r="C259" s="4">
        <v>1</v>
      </c>
      <c r="D259" s="4">
        <v>2</v>
      </c>
      <c r="E259" s="4">
        <v>3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1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1</v>
      </c>
      <c r="BJ259" s="3">
        <v>0</v>
      </c>
      <c r="BK259" s="3">
        <v>1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</row>
    <row r="260" spans="1:73" x14ac:dyDescent="0.25">
      <c r="A260" s="2" t="s">
        <v>89</v>
      </c>
      <c r="B260" s="4">
        <v>15</v>
      </c>
      <c r="C260" s="4">
        <v>1</v>
      </c>
      <c r="D260" s="4">
        <v>3</v>
      </c>
      <c r="E260" s="4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</row>
    <row r="261" spans="1:73" x14ac:dyDescent="0.25">
      <c r="A261" s="2" t="s">
        <v>89</v>
      </c>
      <c r="B261" s="4">
        <v>15</v>
      </c>
      <c r="C261" s="4">
        <v>1</v>
      </c>
      <c r="D261" s="4">
        <v>3</v>
      </c>
      <c r="E261" s="4">
        <v>2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1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</row>
    <row r="262" spans="1:73" x14ac:dyDescent="0.25">
      <c r="A262" s="2" t="s">
        <v>89</v>
      </c>
      <c r="B262" s="4">
        <v>15</v>
      </c>
      <c r="C262" s="4">
        <v>1</v>
      </c>
      <c r="D262" s="4">
        <v>3</v>
      </c>
      <c r="E262" s="4">
        <v>3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1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</row>
    <row r="263" spans="1:73" x14ac:dyDescent="0.25">
      <c r="A263" s="2" t="s">
        <v>89</v>
      </c>
      <c r="B263" s="4">
        <v>15</v>
      </c>
      <c r="C263" s="4">
        <v>2</v>
      </c>
      <c r="D263" s="4">
        <v>1</v>
      </c>
      <c r="E263" s="4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2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1</v>
      </c>
      <c r="BJ263" s="3">
        <v>2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1</v>
      </c>
      <c r="BU263" s="3">
        <v>0</v>
      </c>
    </row>
    <row r="264" spans="1:73" x14ac:dyDescent="0.25">
      <c r="A264" s="2" t="s">
        <v>89</v>
      </c>
      <c r="B264" s="4">
        <v>15</v>
      </c>
      <c r="C264" s="4">
        <v>2</v>
      </c>
      <c r="D264" s="4">
        <v>1</v>
      </c>
      <c r="E264" s="4">
        <v>2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1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1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</row>
    <row r="265" spans="1:73" x14ac:dyDescent="0.25">
      <c r="A265" s="2" t="s">
        <v>89</v>
      </c>
      <c r="B265" s="4">
        <v>15</v>
      </c>
      <c r="C265" s="4">
        <v>2</v>
      </c>
      <c r="D265" s="4">
        <v>1</v>
      </c>
      <c r="E265" s="4">
        <v>3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1</v>
      </c>
      <c r="BG265" s="3">
        <v>0</v>
      </c>
      <c r="BH265" s="3">
        <v>1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</row>
    <row r="266" spans="1:73" x14ac:dyDescent="0.25">
      <c r="A266" s="2" t="s">
        <v>89</v>
      </c>
      <c r="B266" s="4">
        <v>15</v>
      </c>
      <c r="C266" s="4">
        <v>2</v>
      </c>
      <c r="D266" s="4">
        <v>2</v>
      </c>
      <c r="E266" s="4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</row>
    <row r="267" spans="1:73" x14ac:dyDescent="0.25">
      <c r="A267" s="2" t="s">
        <v>89</v>
      </c>
      <c r="B267" s="4">
        <v>15</v>
      </c>
      <c r="C267" s="4">
        <v>2</v>
      </c>
      <c r="D267" s="4">
        <v>2</v>
      </c>
      <c r="E267" s="4">
        <v>2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1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</row>
    <row r="268" spans="1:73" x14ac:dyDescent="0.25">
      <c r="A268" s="2" t="s">
        <v>89</v>
      </c>
      <c r="B268" s="4">
        <v>15</v>
      </c>
      <c r="C268" s="4">
        <v>2</v>
      </c>
      <c r="D268" s="4">
        <v>2</v>
      </c>
      <c r="E268" s="4">
        <v>3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</row>
    <row r="269" spans="1:73" x14ac:dyDescent="0.25">
      <c r="A269" s="2" t="s">
        <v>89</v>
      </c>
      <c r="B269" s="4">
        <v>15</v>
      </c>
      <c r="C269" s="4">
        <v>2</v>
      </c>
      <c r="D269" s="4">
        <v>3</v>
      </c>
      <c r="E269" s="4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</row>
    <row r="270" spans="1:73" x14ac:dyDescent="0.25">
      <c r="A270" s="2" t="s">
        <v>89</v>
      </c>
      <c r="B270" s="4">
        <v>15</v>
      </c>
      <c r="C270" s="4">
        <v>2</v>
      </c>
      <c r="D270" s="4">
        <v>3</v>
      </c>
      <c r="E270" s="4">
        <v>2</v>
      </c>
      <c r="F270" s="3">
        <v>0</v>
      </c>
      <c r="G270" s="3">
        <v>1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1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1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1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1</v>
      </c>
      <c r="BU270" s="3">
        <v>0</v>
      </c>
    </row>
    <row r="271" spans="1:73" x14ac:dyDescent="0.25">
      <c r="A271" s="2" t="s">
        <v>89</v>
      </c>
      <c r="B271" s="4">
        <v>15</v>
      </c>
      <c r="C271" s="4">
        <v>2</v>
      </c>
      <c r="D271" s="4">
        <v>3</v>
      </c>
      <c r="E271" s="4">
        <v>3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1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</row>
    <row r="272" spans="1:73" x14ac:dyDescent="0.25">
      <c r="A272" s="2" t="s">
        <v>90</v>
      </c>
      <c r="B272" s="4">
        <v>16</v>
      </c>
      <c r="C272" s="4">
        <v>1</v>
      </c>
      <c r="D272" s="4">
        <v>1</v>
      </c>
      <c r="E272" s="4">
        <v>1</v>
      </c>
      <c r="F272" s="3">
        <v>0</v>
      </c>
      <c r="G272" s="3">
        <v>2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1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</row>
    <row r="273" spans="1:73" x14ac:dyDescent="0.25">
      <c r="A273" s="2" t="s">
        <v>90</v>
      </c>
      <c r="B273" s="4">
        <v>16</v>
      </c>
      <c r="C273" s="4">
        <v>1</v>
      </c>
      <c r="D273" s="4">
        <v>1</v>
      </c>
      <c r="E273" s="4">
        <v>2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1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1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1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1</v>
      </c>
      <c r="BU273" s="3">
        <v>0</v>
      </c>
    </row>
    <row r="274" spans="1:73" x14ac:dyDescent="0.25">
      <c r="A274" s="2" t="s">
        <v>90</v>
      </c>
      <c r="B274" s="4">
        <v>16</v>
      </c>
      <c r="C274" s="4">
        <v>1</v>
      </c>
      <c r="D274" s="4">
        <v>1</v>
      </c>
      <c r="E274" s="4">
        <v>3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4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</row>
    <row r="275" spans="1:73" x14ac:dyDescent="0.25">
      <c r="A275" s="2" t="s">
        <v>90</v>
      </c>
      <c r="B275" s="4">
        <v>16</v>
      </c>
      <c r="C275" s="4">
        <v>1</v>
      </c>
      <c r="D275" s="4">
        <v>2</v>
      </c>
      <c r="E275" s="4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</row>
    <row r="276" spans="1:73" x14ac:dyDescent="0.25">
      <c r="A276" s="2" t="s">
        <v>90</v>
      </c>
      <c r="B276" s="4">
        <v>16</v>
      </c>
      <c r="C276" s="4">
        <v>1</v>
      </c>
      <c r="D276" s="4">
        <v>2</v>
      </c>
      <c r="E276" s="4">
        <v>2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1</v>
      </c>
      <c r="BG276" s="3">
        <v>0</v>
      </c>
      <c r="BH276" s="3">
        <v>1</v>
      </c>
      <c r="BI276" s="3">
        <v>1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</row>
    <row r="277" spans="1:73" x14ac:dyDescent="0.25">
      <c r="A277" s="2" t="s">
        <v>90</v>
      </c>
      <c r="B277" s="4">
        <v>16</v>
      </c>
      <c r="C277" s="4">
        <v>1</v>
      </c>
      <c r="D277" s="4">
        <v>2</v>
      </c>
      <c r="E277" s="4">
        <v>3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</row>
    <row r="278" spans="1:73" x14ac:dyDescent="0.25">
      <c r="A278" s="2" t="s">
        <v>90</v>
      </c>
      <c r="B278" s="4">
        <v>16</v>
      </c>
      <c r="C278" s="4">
        <v>1</v>
      </c>
      <c r="D278" s="4">
        <v>3</v>
      </c>
      <c r="E278" s="4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</row>
    <row r="279" spans="1:73" x14ac:dyDescent="0.25">
      <c r="A279" s="2" t="s">
        <v>90</v>
      </c>
      <c r="B279" s="4">
        <v>16</v>
      </c>
      <c r="C279" s="4">
        <v>1</v>
      </c>
      <c r="D279" s="4">
        <v>3</v>
      </c>
      <c r="E279" s="4">
        <v>2</v>
      </c>
      <c r="F279" s="3">
        <v>0</v>
      </c>
      <c r="G279" s="3">
        <v>5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1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</row>
    <row r="280" spans="1:73" x14ac:dyDescent="0.25">
      <c r="A280" s="2" t="s">
        <v>90</v>
      </c>
      <c r="B280" s="4">
        <v>16</v>
      </c>
      <c r="C280" s="4">
        <v>1</v>
      </c>
      <c r="D280" s="4">
        <v>3</v>
      </c>
      <c r="E280" s="4">
        <v>3</v>
      </c>
      <c r="F280" s="3">
        <v>0</v>
      </c>
      <c r="G280" s="3">
        <v>0</v>
      </c>
      <c r="H280" s="3">
        <v>0</v>
      </c>
      <c r="I280" s="3">
        <v>0</v>
      </c>
      <c r="J280" s="3">
        <v>1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</row>
    <row r="281" spans="1:73" x14ac:dyDescent="0.25">
      <c r="A281" s="2" t="s">
        <v>90</v>
      </c>
      <c r="B281" s="4">
        <v>16</v>
      </c>
      <c r="C281" s="4">
        <v>2</v>
      </c>
      <c r="D281" s="4">
        <v>1</v>
      </c>
      <c r="E281" s="4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1</v>
      </c>
      <c r="BJ281" s="3">
        <v>5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1</v>
      </c>
      <c r="BQ281" s="3">
        <v>0</v>
      </c>
      <c r="BR281" s="3">
        <v>0</v>
      </c>
      <c r="BS281" s="3">
        <v>0</v>
      </c>
      <c r="BT281" s="3">
        <v>1</v>
      </c>
      <c r="BU281" s="3">
        <v>0</v>
      </c>
    </row>
    <row r="282" spans="1:73" x14ac:dyDescent="0.25">
      <c r="A282" s="2" t="s">
        <v>90</v>
      </c>
      <c r="B282" s="4">
        <v>16</v>
      </c>
      <c r="C282" s="4">
        <v>2</v>
      </c>
      <c r="D282" s="4">
        <v>1</v>
      </c>
      <c r="E282" s="4">
        <v>2</v>
      </c>
      <c r="F282" s="3">
        <v>0</v>
      </c>
      <c r="G282" s="3">
        <v>1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2</v>
      </c>
      <c r="BU282" s="3">
        <v>0</v>
      </c>
    </row>
    <row r="283" spans="1:73" x14ac:dyDescent="0.25">
      <c r="A283" s="2" t="s">
        <v>90</v>
      </c>
      <c r="B283" s="4">
        <v>16</v>
      </c>
      <c r="C283" s="4">
        <v>2</v>
      </c>
      <c r="D283" s="4">
        <v>1</v>
      </c>
      <c r="E283" s="4">
        <v>3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1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1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</row>
    <row r="284" spans="1:73" x14ac:dyDescent="0.25">
      <c r="A284" s="2" t="s">
        <v>90</v>
      </c>
      <c r="B284" s="4">
        <v>16</v>
      </c>
      <c r="C284" s="4">
        <v>2</v>
      </c>
      <c r="D284" s="4">
        <v>2</v>
      </c>
      <c r="E284" s="4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1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</row>
    <row r="285" spans="1:73" x14ac:dyDescent="0.25">
      <c r="A285" s="2" t="s">
        <v>90</v>
      </c>
      <c r="B285" s="4">
        <v>16</v>
      </c>
      <c r="C285" s="4">
        <v>2</v>
      </c>
      <c r="D285" s="4">
        <v>2</v>
      </c>
      <c r="E285" s="4">
        <v>2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</row>
    <row r="286" spans="1:73" x14ac:dyDescent="0.25">
      <c r="A286" s="2" t="s">
        <v>90</v>
      </c>
      <c r="B286" s="4">
        <v>16</v>
      </c>
      <c r="C286" s="4">
        <v>2</v>
      </c>
      <c r="D286" s="4">
        <v>2</v>
      </c>
      <c r="E286" s="4">
        <v>3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1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2</v>
      </c>
      <c r="BG286" s="3">
        <v>0</v>
      </c>
      <c r="BH286" s="3">
        <v>1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</row>
    <row r="287" spans="1:73" x14ac:dyDescent="0.25">
      <c r="A287" s="2" t="s">
        <v>90</v>
      </c>
      <c r="B287" s="4">
        <v>16</v>
      </c>
      <c r="C287" s="4">
        <v>2</v>
      </c>
      <c r="D287" s="4">
        <v>3</v>
      </c>
      <c r="E287" s="4">
        <v>1</v>
      </c>
      <c r="F287" s="3">
        <v>0</v>
      </c>
      <c r="G287" s="3">
        <v>2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</row>
    <row r="288" spans="1:73" x14ac:dyDescent="0.25">
      <c r="A288" s="2" t="s">
        <v>90</v>
      </c>
      <c r="B288" s="4">
        <v>16</v>
      </c>
      <c r="C288" s="4">
        <v>2</v>
      </c>
      <c r="D288" s="4">
        <v>3</v>
      </c>
      <c r="E288" s="4">
        <v>2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</row>
    <row r="289" spans="1:73" x14ac:dyDescent="0.25">
      <c r="A289" s="2" t="s">
        <v>90</v>
      </c>
      <c r="B289" s="4">
        <v>16</v>
      </c>
      <c r="C289" s="4">
        <v>2</v>
      </c>
      <c r="D289" s="4">
        <v>3</v>
      </c>
      <c r="E289" s="4">
        <v>3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</row>
    <row r="290" spans="1:73" x14ac:dyDescent="0.25">
      <c r="A290" s="2" t="s">
        <v>91</v>
      </c>
      <c r="B290" s="4">
        <v>17</v>
      </c>
      <c r="C290" s="4">
        <v>1</v>
      </c>
      <c r="D290" s="4">
        <v>1</v>
      </c>
      <c r="E290" s="4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1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</row>
    <row r="291" spans="1:73" x14ac:dyDescent="0.25">
      <c r="A291" s="2" t="s">
        <v>91</v>
      </c>
      <c r="B291" s="4">
        <v>17</v>
      </c>
      <c r="C291" s="4">
        <v>1</v>
      </c>
      <c r="D291" s="4">
        <v>1</v>
      </c>
      <c r="E291" s="4">
        <v>2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2</v>
      </c>
      <c r="AA291" s="3">
        <v>0</v>
      </c>
      <c r="AB291" s="3">
        <v>0</v>
      </c>
      <c r="AC291" s="3">
        <v>0</v>
      </c>
      <c r="AD291" s="3">
        <v>0</v>
      </c>
      <c r="AE291" s="3">
        <v>1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</row>
    <row r="292" spans="1:73" x14ac:dyDescent="0.25">
      <c r="A292" s="2" t="s">
        <v>91</v>
      </c>
      <c r="B292" s="4">
        <v>17</v>
      </c>
      <c r="C292" s="4">
        <v>1</v>
      </c>
      <c r="D292" s="4">
        <v>1</v>
      </c>
      <c r="E292" s="4">
        <v>3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1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1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1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3</v>
      </c>
      <c r="BG292" s="3">
        <v>0</v>
      </c>
      <c r="BH292" s="3">
        <v>1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</row>
    <row r="293" spans="1:73" x14ac:dyDescent="0.25">
      <c r="A293" s="2" t="s">
        <v>91</v>
      </c>
      <c r="B293" s="4">
        <v>17</v>
      </c>
      <c r="C293" s="4">
        <v>1</v>
      </c>
      <c r="D293" s="4">
        <v>2</v>
      </c>
      <c r="E293" s="4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1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</row>
    <row r="294" spans="1:73" x14ac:dyDescent="0.25">
      <c r="A294" s="2" t="s">
        <v>91</v>
      </c>
      <c r="B294" s="4">
        <v>17</v>
      </c>
      <c r="C294" s="4">
        <v>1</v>
      </c>
      <c r="D294" s="4">
        <v>2</v>
      </c>
      <c r="E294" s="4">
        <v>2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1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1</v>
      </c>
      <c r="BU294" s="3">
        <v>0</v>
      </c>
    </row>
    <row r="295" spans="1:73" x14ac:dyDescent="0.25">
      <c r="A295" s="2" t="s">
        <v>91</v>
      </c>
      <c r="B295" s="4">
        <v>17</v>
      </c>
      <c r="C295" s="4">
        <v>1</v>
      </c>
      <c r="D295" s="4">
        <v>2</v>
      </c>
      <c r="E295" s="4">
        <v>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</row>
    <row r="296" spans="1:73" x14ac:dyDescent="0.25">
      <c r="A296" s="2" t="s">
        <v>91</v>
      </c>
      <c r="B296" s="4">
        <v>17</v>
      </c>
      <c r="C296" s="4">
        <v>1</v>
      </c>
      <c r="D296" s="4">
        <v>3</v>
      </c>
      <c r="E296" s="4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</row>
    <row r="297" spans="1:73" x14ac:dyDescent="0.25">
      <c r="A297" s="2" t="s">
        <v>91</v>
      </c>
      <c r="B297" s="4">
        <v>17</v>
      </c>
      <c r="C297" s="4">
        <v>1</v>
      </c>
      <c r="D297" s="4">
        <v>3</v>
      </c>
      <c r="E297" s="4">
        <v>2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1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</row>
    <row r="298" spans="1:73" x14ac:dyDescent="0.25">
      <c r="A298" s="2" t="s">
        <v>91</v>
      </c>
      <c r="B298" s="4">
        <v>17</v>
      </c>
      <c r="C298" s="4">
        <v>1</v>
      </c>
      <c r="D298" s="4">
        <v>3</v>
      </c>
      <c r="E298" s="4">
        <v>3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1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1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1</v>
      </c>
      <c r="BU298" s="3">
        <v>0</v>
      </c>
    </row>
    <row r="299" spans="1:73" x14ac:dyDescent="0.25">
      <c r="A299" s="2" t="s">
        <v>91</v>
      </c>
      <c r="B299" s="4">
        <v>17</v>
      </c>
      <c r="C299" s="4">
        <v>2</v>
      </c>
      <c r="D299" s="4">
        <v>1</v>
      </c>
      <c r="E299" s="4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2</v>
      </c>
      <c r="BG299" s="3">
        <v>0</v>
      </c>
      <c r="BH299" s="3">
        <v>2</v>
      </c>
      <c r="BI299" s="3">
        <v>0</v>
      </c>
      <c r="BJ299" s="3">
        <v>2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1</v>
      </c>
      <c r="BU299" s="3">
        <v>0</v>
      </c>
    </row>
    <row r="300" spans="1:73" x14ac:dyDescent="0.25">
      <c r="A300" s="2" t="s">
        <v>91</v>
      </c>
      <c r="B300" s="4">
        <v>17</v>
      </c>
      <c r="C300" s="4">
        <v>2</v>
      </c>
      <c r="D300" s="4">
        <v>1</v>
      </c>
      <c r="E300" s="4">
        <v>2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1</v>
      </c>
      <c r="BU300" s="3">
        <v>0</v>
      </c>
    </row>
    <row r="301" spans="1:73" x14ac:dyDescent="0.25">
      <c r="A301" s="2" t="s">
        <v>91</v>
      </c>
      <c r="B301" s="4">
        <v>17</v>
      </c>
      <c r="C301" s="4">
        <v>2</v>
      </c>
      <c r="D301" s="4">
        <v>1</v>
      </c>
      <c r="E301" s="4">
        <v>3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1</v>
      </c>
      <c r="AF301" s="3">
        <v>0</v>
      </c>
      <c r="AG301" s="3">
        <v>0</v>
      </c>
      <c r="AH301" s="3">
        <v>1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1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</row>
    <row r="302" spans="1:73" x14ac:dyDescent="0.25">
      <c r="A302" s="2" t="s">
        <v>91</v>
      </c>
      <c r="B302" s="4">
        <v>17</v>
      </c>
      <c r="C302" s="4">
        <v>2</v>
      </c>
      <c r="D302" s="4">
        <v>2</v>
      </c>
      <c r="E302" s="4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</row>
    <row r="303" spans="1:73" x14ac:dyDescent="0.25">
      <c r="A303" s="2" t="s">
        <v>91</v>
      </c>
      <c r="B303" s="4">
        <v>17</v>
      </c>
      <c r="C303" s="4">
        <v>2</v>
      </c>
      <c r="D303" s="4">
        <v>2</v>
      </c>
      <c r="E303" s="4">
        <v>2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</row>
    <row r="304" spans="1:73" x14ac:dyDescent="0.25">
      <c r="A304" s="2" t="s">
        <v>91</v>
      </c>
      <c r="B304" s="4">
        <v>17</v>
      </c>
      <c r="C304" s="4">
        <v>2</v>
      </c>
      <c r="D304" s="4">
        <v>2</v>
      </c>
      <c r="E304" s="4">
        <v>3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</row>
    <row r="305" spans="1:73" x14ac:dyDescent="0.25">
      <c r="A305" s="2" t="s">
        <v>91</v>
      </c>
      <c r="B305" s="4">
        <v>17</v>
      </c>
      <c r="C305" s="4">
        <v>2</v>
      </c>
      <c r="D305" s="4">
        <v>3</v>
      </c>
      <c r="E305" s="4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1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</row>
    <row r="306" spans="1:73" x14ac:dyDescent="0.25">
      <c r="A306" s="2" t="s">
        <v>91</v>
      </c>
      <c r="B306" s="4">
        <v>17</v>
      </c>
      <c r="C306" s="4">
        <v>2</v>
      </c>
      <c r="D306" s="4">
        <v>3</v>
      </c>
      <c r="E306" s="4">
        <v>2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1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</row>
    <row r="307" spans="1:73" x14ac:dyDescent="0.25">
      <c r="A307" s="2" t="s">
        <v>91</v>
      </c>
      <c r="B307" s="4">
        <v>17</v>
      </c>
      <c r="C307" s="4">
        <v>2</v>
      </c>
      <c r="D307" s="4">
        <v>3</v>
      </c>
      <c r="E307" s="4">
        <v>3</v>
      </c>
      <c r="F307" s="3">
        <v>0</v>
      </c>
      <c r="G307" s="3">
        <v>0</v>
      </c>
      <c r="H307" s="3">
        <v>0</v>
      </c>
      <c r="I307" s="3">
        <v>0</v>
      </c>
      <c r="J307" s="3">
        <v>1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1</v>
      </c>
      <c r="AF307" s="3">
        <v>0</v>
      </c>
      <c r="AG307" s="3">
        <v>0</v>
      </c>
      <c r="AH307" s="3">
        <v>0</v>
      </c>
      <c r="AI307" s="3">
        <v>0</v>
      </c>
      <c r="AJ307" s="3">
        <v>1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</row>
    <row r="308" spans="1:73" x14ac:dyDescent="0.25">
      <c r="A308" s="2" t="s">
        <v>92</v>
      </c>
      <c r="B308" s="4">
        <v>18</v>
      </c>
      <c r="C308" s="4">
        <v>1</v>
      </c>
      <c r="D308" s="4">
        <v>1</v>
      </c>
      <c r="E308" s="4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2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1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1">
        <v>0</v>
      </c>
      <c r="AR308" s="3">
        <v>0</v>
      </c>
      <c r="AS308" s="3">
        <v>0</v>
      </c>
      <c r="AT308" s="3">
        <v>1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3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1</v>
      </c>
      <c r="BU308" s="3">
        <v>0</v>
      </c>
    </row>
    <row r="309" spans="1:73" x14ac:dyDescent="0.25">
      <c r="A309" s="2" t="s">
        <v>92</v>
      </c>
      <c r="B309" s="4">
        <v>18</v>
      </c>
      <c r="C309" s="4">
        <v>1</v>
      </c>
      <c r="D309" s="4">
        <v>1</v>
      </c>
      <c r="E309" s="4">
        <v>2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1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2</v>
      </c>
      <c r="BG309" s="3">
        <v>0</v>
      </c>
      <c r="BH309" s="3">
        <v>1</v>
      </c>
      <c r="BI309" s="3">
        <v>0</v>
      </c>
      <c r="BJ309" s="3">
        <v>1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2</v>
      </c>
      <c r="BU309" s="3">
        <v>0</v>
      </c>
    </row>
    <row r="310" spans="1:73" x14ac:dyDescent="0.25">
      <c r="A310" s="2" t="s">
        <v>92</v>
      </c>
      <c r="B310" s="4">
        <v>18</v>
      </c>
      <c r="C310" s="4">
        <v>1</v>
      </c>
      <c r="D310" s="4">
        <v>1</v>
      </c>
      <c r="E310" s="4">
        <v>3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1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</row>
    <row r="311" spans="1:73" x14ac:dyDescent="0.25">
      <c r="A311" s="2" t="s">
        <v>92</v>
      </c>
      <c r="B311" s="4">
        <v>18</v>
      </c>
      <c r="C311" s="4">
        <v>1</v>
      </c>
      <c r="D311" s="4">
        <v>2</v>
      </c>
      <c r="E311" s="4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</row>
    <row r="312" spans="1:73" x14ac:dyDescent="0.25">
      <c r="A312" s="2" t="s">
        <v>92</v>
      </c>
      <c r="B312" s="4">
        <v>18</v>
      </c>
      <c r="C312" s="4">
        <v>1</v>
      </c>
      <c r="D312" s="4">
        <v>2</v>
      </c>
      <c r="E312" s="4">
        <v>2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1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</row>
    <row r="313" spans="1:73" x14ac:dyDescent="0.25">
      <c r="A313" s="2" t="s">
        <v>92</v>
      </c>
      <c r="B313" s="4">
        <v>18</v>
      </c>
      <c r="C313" s="4">
        <v>1</v>
      </c>
      <c r="D313" s="4">
        <v>2</v>
      </c>
      <c r="E313" s="4">
        <v>3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1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</row>
    <row r="314" spans="1:73" x14ac:dyDescent="0.25">
      <c r="A314" s="2" t="s">
        <v>92</v>
      </c>
      <c r="B314" s="4">
        <v>18</v>
      </c>
      <c r="C314" s="4">
        <v>1</v>
      </c>
      <c r="D314" s="4">
        <v>3</v>
      </c>
      <c r="E314" s="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</row>
    <row r="315" spans="1:73" x14ac:dyDescent="0.25">
      <c r="A315" s="2" t="s">
        <v>92</v>
      </c>
      <c r="B315" s="4">
        <v>18</v>
      </c>
      <c r="C315" s="4">
        <v>1</v>
      </c>
      <c r="D315" s="4">
        <v>3</v>
      </c>
      <c r="E315" s="4">
        <v>2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1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</row>
    <row r="316" spans="1:73" x14ac:dyDescent="0.25">
      <c r="A316" s="2" t="s">
        <v>92</v>
      </c>
      <c r="B316" s="4">
        <v>18</v>
      </c>
      <c r="C316" s="4">
        <v>1</v>
      </c>
      <c r="D316" s="4">
        <v>3</v>
      </c>
      <c r="E316" s="4">
        <v>3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1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1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</row>
    <row r="317" spans="1:73" x14ac:dyDescent="0.25">
      <c r="A317" s="2" t="s">
        <v>92</v>
      </c>
      <c r="B317" s="4">
        <v>18</v>
      </c>
      <c r="C317" s="4">
        <v>2</v>
      </c>
      <c r="D317" s="4">
        <v>1</v>
      </c>
      <c r="E317" s="4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1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1</v>
      </c>
      <c r="BG317" s="3">
        <v>0</v>
      </c>
      <c r="BH317" s="3">
        <v>1</v>
      </c>
      <c r="BI317" s="3">
        <v>0</v>
      </c>
      <c r="BJ317" s="3">
        <v>1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</row>
    <row r="318" spans="1:73" x14ac:dyDescent="0.25">
      <c r="A318" s="2" t="s">
        <v>92</v>
      </c>
      <c r="B318" s="4">
        <v>18</v>
      </c>
      <c r="C318" s="4">
        <v>2</v>
      </c>
      <c r="D318" s="4">
        <v>1</v>
      </c>
      <c r="E318" s="4">
        <v>2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1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1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1</v>
      </c>
      <c r="BU318" s="3">
        <v>0</v>
      </c>
    </row>
    <row r="319" spans="1:73" x14ac:dyDescent="0.25">
      <c r="A319" s="2" t="s">
        <v>92</v>
      </c>
      <c r="B319" s="4">
        <v>18</v>
      </c>
      <c r="C319" s="4">
        <v>2</v>
      </c>
      <c r="D319" s="4">
        <v>1</v>
      </c>
      <c r="E319" s="4">
        <v>3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</row>
    <row r="320" spans="1:73" x14ac:dyDescent="0.25">
      <c r="A320" s="2" t="s">
        <v>92</v>
      </c>
      <c r="B320" s="4">
        <v>18</v>
      </c>
      <c r="C320" s="4">
        <v>2</v>
      </c>
      <c r="D320" s="4">
        <v>2</v>
      </c>
      <c r="E320" s="4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1</v>
      </c>
      <c r="BG320" s="3">
        <v>0</v>
      </c>
      <c r="BH320" s="3">
        <v>0</v>
      </c>
      <c r="BI320" s="3">
        <v>0</v>
      </c>
      <c r="BJ320" s="3">
        <v>1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</row>
    <row r="321" spans="1:73" x14ac:dyDescent="0.25">
      <c r="A321" s="2" t="s">
        <v>92</v>
      </c>
      <c r="B321" s="4">
        <v>18</v>
      </c>
      <c r="C321" s="4">
        <v>2</v>
      </c>
      <c r="D321" s="4">
        <v>2</v>
      </c>
      <c r="E321" s="4">
        <v>2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2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1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</row>
    <row r="322" spans="1:73" x14ac:dyDescent="0.25">
      <c r="A322" s="2" t="s">
        <v>92</v>
      </c>
      <c r="B322" s="4">
        <v>18</v>
      </c>
      <c r="C322" s="4">
        <v>2</v>
      </c>
      <c r="D322" s="4">
        <v>2</v>
      </c>
      <c r="E322" s="4">
        <v>3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</row>
    <row r="323" spans="1:73" x14ac:dyDescent="0.25">
      <c r="A323" s="2" t="s">
        <v>92</v>
      </c>
      <c r="B323" s="4">
        <v>18</v>
      </c>
      <c r="C323" s="4">
        <v>2</v>
      </c>
      <c r="D323" s="4">
        <v>3</v>
      </c>
      <c r="E323" s="4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1</v>
      </c>
      <c r="BU323" s="3">
        <v>0</v>
      </c>
    </row>
    <row r="324" spans="1:73" x14ac:dyDescent="0.25">
      <c r="A324" s="2" t="s">
        <v>92</v>
      </c>
      <c r="B324" s="4">
        <v>18</v>
      </c>
      <c r="C324" s="4">
        <v>2</v>
      </c>
      <c r="D324" s="4">
        <v>3</v>
      </c>
      <c r="E324" s="4">
        <v>2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</row>
    <row r="325" spans="1:73" x14ac:dyDescent="0.25">
      <c r="A325" s="2" t="s">
        <v>92</v>
      </c>
      <c r="B325" s="4">
        <v>18</v>
      </c>
      <c r="C325" s="4">
        <v>2</v>
      </c>
      <c r="D325" s="4">
        <v>3</v>
      </c>
      <c r="E325" s="4">
        <v>3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</row>
    <row r="326" spans="1:73" x14ac:dyDescent="0.25">
      <c r="A326" s="2" t="s">
        <v>93</v>
      </c>
      <c r="B326" s="4">
        <v>19</v>
      </c>
      <c r="C326" s="4">
        <v>1</v>
      </c>
      <c r="D326" s="4">
        <v>1</v>
      </c>
      <c r="E326" s="4">
        <v>1</v>
      </c>
      <c r="F326" s="3">
        <v>0</v>
      </c>
      <c r="G326" s="3">
        <v>0</v>
      </c>
      <c r="H326" s="3">
        <v>0</v>
      </c>
      <c r="I326" s="3">
        <v>0</v>
      </c>
      <c r="J326" s="3">
        <v>1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1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4</v>
      </c>
      <c r="BG326" s="3">
        <v>0</v>
      </c>
      <c r="BH326" s="3">
        <v>0</v>
      </c>
      <c r="BI326" s="3">
        <v>0</v>
      </c>
      <c r="BJ326" s="3">
        <v>3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1</v>
      </c>
      <c r="BU326" s="3">
        <v>0</v>
      </c>
    </row>
    <row r="327" spans="1:73" x14ac:dyDescent="0.25">
      <c r="A327" s="2" t="s">
        <v>93</v>
      </c>
      <c r="B327" s="4">
        <v>19</v>
      </c>
      <c r="C327" s="4">
        <v>1</v>
      </c>
      <c r="D327" s="4">
        <v>1</v>
      </c>
      <c r="E327" s="4">
        <v>2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2</v>
      </c>
      <c r="BG327" s="3">
        <v>0</v>
      </c>
      <c r="BH327" s="3">
        <v>2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1</v>
      </c>
      <c r="BU327" s="3">
        <v>0</v>
      </c>
    </row>
    <row r="328" spans="1:73" x14ac:dyDescent="0.25">
      <c r="A328" s="2" t="s">
        <v>93</v>
      </c>
      <c r="B328" s="4">
        <v>19</v>
      </c>
      <c r="C328" s="4">
        <v>1</v>
      </c>
      <c r="D328" s="4">
        <v>1</v>
      </c>
      <c r="E328" s="4">
        <v>3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</row>
    <row r="329" spans="1:73" x14ac:dyDescent="0.25">
      <c r="A329" s="2" t="s">
        <v>93</v>
      </c>
      <c r="B329" s="4">
        <v>19</v>
      </c>
      <c r="C329" s="4">
        <v>1</v>
      </c>
      <c r="D329" s="4">
        <v>2</v>
      </c>
      <c r="E329" s="4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4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</row>
    <row r="330" spans="1:73" x14ac:dyDescent="0.25">
      <c r="A330" s="2" t="s">
        <v>93</v>
      </c>
      <c r="B330" s="4">
        <v>19</v>
      </c>
      <c r="C330" s="4">
        <v>1</v>
      </c>
      <c r="D330" s="4">
        <v>2</v>
      </c>
      <c r="E330" s="4">
        <v>2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</row>
    <row r="331" spans="1:73" x14ac:dyDescent="0.25">
      <c r="A331" s="2" t="s">
        <v>93</v>
      </c>
      <c r="B331" s="4">
        <v>19</v>
      </c>
      <c r="C331" s="4">
        <v>1</v>
      </c>
      <c r="D331" s="4">
        <v>2</v>
      </c>
      <c r="E331" s="4">
        <v>3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</row>
    <row r="332" spans="1:73" x14ac:dyDescent="0.25">
      <c r="A332" s="2" t="s">
        <v>93</v>
      </c>
      <c r="B332" s="4">
        <v>19</v>
      </c>
      <c r="C332" s="4">
        <v>1</v>
      </c>
      <c r="D332" s="4">
        <v>3</v>
      </c>
      <c r="E332" s="4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1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</row>
    <row r="333" spans="1:73" x14ac:dyDescent="0.25">
      <c r="A333" s="2" t="s">
        <v>93</v>
      </c>
      <c r="B333" s="4">
        <v>19</v>
      </c>
      <c r="C333" s="4">
        <v>1</v>
      </c>
      <c r="D333" s="4">
        <v>3</v>
      </c>
      <c r="E333" s="4">
        <v>2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1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1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</row>
    <row r="334" spans="1:73" x14ac:dyDescent="0.25">
      <c r="A334" s="2" t="s">
        <v>93</v>
      </c>
      <c r="B334" s="4">
        <v>19</v>
      </c>
      <c r="C334" s="4">
        <v>1</v>
      </c>
      <c r="D334" s="4">
        <v>3</v>
      </c>
      <c r="E334" s="4">
        <v>3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1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</row>
    <row r="335" spans="1:73" x14ac:dyDescent="0.25">
      <c r="A335" s="2" t="s">
        <v>93</v>
      </c>
      <c r="B335" s="4">
        <v>19</v>
      </c>
      <c r="C335" s="4">
        <v>2</v>
      </c>
      <c r="D335" s="4">
        <v>1</v>
      </c>
      <c r="E335" s="4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1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1</v>
      </c>
      <c r="AK335" s="3">
        <v>0</v>
      </c>
      <c r="AL335" s="3">
        <v>1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2</v>
      </c>
      <c r="BG335" s="3">
        <v>0</v>
      </c>
      <c r="BH335" s="3">
        <v>1</v>
      </c>
      <c r="BI335" s="3">
        <v>0</v>
      </c>
      <c r="BJ335" s="3">
        <v>4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1</v>
      </c>
      <c r="BU335" s="3">
        <v>0</v>
      </c>
    </row>
    <row r="336" spans="1:73" x14ac:dyDescent="0.25">
      <c r="A336" s="2" t="s">
        <v>93</v>
      </c>
      <c r="B336" s="4">
        <v>19</v>
      </c>
      <c r="C336" s="4">
        <v>2</v>
      </c>
      <c r="D336" s="4">
        <v>1</v>
      </c>
      <c r="E336" s="4">
        <v>2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1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1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1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</row>
    <row r="337" spans="1:73" x14ac:dyDescent="0.25">
      <c r="A337" s="2" t="s">
        <v>93</v>
      </c>
      <c r="B337" s="4">
        <v>19</v>
      </c>
      <c r="C337" s="4">
        <v>2</v>
      </c>
      <c r="D337" s="4">
        <v>1</v>
      </c>
      <c r="E337" s="4">
        <v>3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</row>
    <row r="338" spans="1:73" x14ac:dyDescent="0.25">
      <c r="A338" s="2" t="s">
        <v>93</v>
      </c>
      <c r="B338" s="4">
        <v>19</v>
      </c>
      <c r="C338" s="4">
        <v>2</v>
      </c>
      <c r="D338" s="4">
        <v>2</v>
      </c>
      <c r="E338" s="4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</row>
    <row r="339" spans="1:73" x14ac:dyDescent="0.25">
      <c r="A339" s="2" t="s">
        <v>93</v>
      </c>
      <c r="B339" s="4">
        <v>19</v>
      </c>
      <c r="C339" s="4">
        <v>2</v>
      </c>
      <c r="D339" s="4">
        <v>2</v>
      </c>
      <c r="E339" s="4">
        <v>2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1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</row>
    <row r="340" spans="1:73" x14ac:dyDescent="0.25">
      <c r="A340" s="2" t="s">
        <v>93</v>
      </c>
      <c r="B340" s="4">
        <v>19</v>
      </c>
      <c r="C340" s="4">
        <v>2</v>
      </c>
      <c r="D340" s="4">
        <v>2</v>
      </c>
      <c r="E340" s="4">
        <v>3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1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1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1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1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</row>
    <row r="341" spans="1:73" x14ac:dyDescent="0.25">
      <c r="A341" s="2" t="s">
        <v>93</v>
      </c>
      <c r="B341" s="4">
        <v>19</v>
      </c>
      <c r="C341" s="4">
        <v>2</v>
      </c>
      <c r="D341" s="4">
        <v>3</v>
      </c>
      <c r="E341" s="4">
        <v>1</v>
      </c>
      <c r="F341" s="3">
        <v>0</v>
      </c>
      <c r="G341" s="3">
        <v>1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2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1</v>
      </c>
      <c r="BU341" s="3">
        <v>0</v>
      </c>
    </row>
    <row r="342" spans="1:73" x14ac:dyDescent="0.25">
      <c r="A342" s="2" t="s">
        <v>93</v>
      </c>
      <c r="B342" s="4">
        <v>19</v>
      </c>
      <c r="C342" s="4">
        <v>2</v>
      </c>
      <c r="D342" s="4">
        <v>3</v>
      </c>
      <c r="E342" s="4">
        <v>2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1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</row>
    <row r="343" spans="1:73" x14ac:dyDescent="0.25">
      <c r="A343" s="2" t="s">
        <v>93</v>
      </c>
      <c r="B343" s="4">
        <v>19</v>
      </c>
      <c r="C343" s="4">
        <v>2</v>
      </c>
      <c r="D343" s="4">
        <v>3</v>
      </c>
      <c r="E343" s="4">
        <v>3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</row>
    <row r="344" spans="1:73" x14ac:dyDescent="0.25">
      <c r="A344" s="2" t="s">
        <v>94</v>
      </c>
      <c r="B344" s="4">
        <v>20</v>
      </c>
      <c r="C344" s="4">
        <v>1</v>
      </c>
      <c r="D344" s="4">
        <v>1</v>
      </c>
      <c r="E344" s="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1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</row>
    <row r="345" spans="1:73" x14ac:dyDescent="0.25">
      <c r="A345" s="2" t="s">
        <v>94</v>
      </c>
      <c r="B345" s="4">
        <v>20</v>
      </c>
      <c r="C345" s="4">
        <v>1</v>
      </c>
      <c r="D345" s="4">
        <v>1</v>
      </c>
      <c r="E345" s="4">
        <v>2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1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2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1</v>
      </c>
      <c r="BU345" s="3">
        <v>0</v>
      </c>
    </row>
    <row r="346" spans="1:73" x14ac:dyDescent="0.25">
      <c r="A346" s="2" t="s">
        <v>94</v>
      </c>
      <c r="B346" s="4">
        <v>20</v>
      </c>
      <c r="C346" s="4">
        <v>1</v>
      </c>
      <c r="D346" s="4">
        <v>1</v>
      </c>
      <c r="E346" s="4">
        <v>3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2</v>
      </c>
      <c r="R346" s="3">
        <v>1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1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</row>
    <row r="347" spans="1:73" x14ac:dyDescent="0.25">
      <c r="A347" s="2" t="s">
        <v>94</v>
      </c>
      <c r="B347" s="4">
        <v>20</v>
      </c>
      <c r="C347" s="4">
        <v>1</v>
      </c>
      <c r="D347" s="4">
        <v>2</v>
      </c>
      <c r="E347" s="4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</row>
    <row r="348" spans="1:73" x14ac:dyDescent="0.25">
      <c r="A348" s="2" t="s">
        <v>94</v>
      </c>
      <c r="B348" s="4">
        <v>20</v>
      </c>
      <c r="C348" s="4">
        <v>1</v>
      </c>
      <c r="D348" s="4">
        <v>2</v>
      </c>
      <c r="E348" s="4">
        <v>2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</row>
    <row r="349" spans="1:73" x14ac:dyDescent="0.25">
      <c r="A349" s="2" t="s">
        <v>94</v>
      </c>
      <c r="B349" s="4">
        <v>20</v>
      </c>
      <c r="C349" s="4">
        <v>1</v>
      </c>
      <c r="D349" s="4">
        <v>2</v>
      </c>
      <c r="E349" s="4">
        <v>3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1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1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1</v>
      </c>
      <c r="BG349" s="3">
        <v>0</v>
      </c>
      <c r="BH349" s="3">
        <v>1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</row>
    <row r="350" spans="1:73" x14ac:dyDescent="0.25">
      <c r="A350" s="2" t="s">
        <v>94</v>
      </c>
      <c r="B350" s="4">
        <v>20</v>
      </c>
      <c r="C350" s="4">
        <v>1</v>
      </c>
      <c r="D350" s="4">
        <v>3</v>
      </c>
      <c r="E350" s="4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</row>
    <row r="351" spans="1:73" x14ac:dyDescent="0.25">
      <c r="A351" s="2" t="s">
        <v>94</v>
      </c>
      <c r="B351" s="4">
        <v>20</v>
      </c>
      <c r="C351" s="4">
        <v>1</v>
      </c>
      <c r="D351" s="4">
        <v>3</v>
      </c>
      <c r="E351" s="4">
        <v>2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1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</row>
    <row r="352" spans="1:73" x14ac:dyDescent="0.25">
      <c r="A352" s="2" t="s">
        <v>94</v>
      </c>
      <c r="B352" s="4">
        <v>20</v>
      </c>
      <c r="C352" s="4">
        <v>1</v>
      </c>
      <c r="D352" s="4">
        <v>3</v>
      </c>
      <c r="E352" s="4">
        <v>3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1</v>
      </c>
      <c r="AF352" s="3">
        <v>0</v>
      </c>
      <c r="AG352" s="3">
        <v>0</v>
      </c>
      <c r="AH352" s="3">
        <v>0</v>
      </c>
      <c r="AI352" s="3">
        <v>0</v>
      </c>
      <c r="AJ352" s="3">
        <v>1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1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</row>
    <row r="353" spans="1:73" x14ac:dyDescent="0.25">
      <c r="A353" s="2" t="s">
        <v>94</v>
      </c>
      <c r="B353" s="4">
        <v>20</v>
      </c>
      <c r="C353" s="4">
        <v>2</v>
      </c>
      <c r="D353" s="4">
        <v>1</v>
      </c>
      <c r="E353" s="4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1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2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</row>
    <row r="354" spans="1:73" x14ac:dyDescent="0.25">
      <c r="A354" s="2" t="s">
        <v>94</v>
      </c>
      <c r="B354" s="4">
        <v>20</v>
      </c>
      <c r="C354" s="4">
        <v>2</v>
      </c>
      <c r="D354" s="4">
        <v>1</v>
      </c>
      <c r="E354" s="4">
        <v>2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3</v>
      </c>
      <c r="BG354" s="3">
        <v>0</v>
      </c>
      <c r="BH354" s="3">
        <v>2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</row>
    <row r="355" spans="1:73" x14ac:dyDescent="0.25">
      <c r="A355" s="2" t="s">
        <v>94</v>
      </c>
      <c r="B355" s="4">
        <v>20</v>
      </c>
      <c r="C355" s="4">
        <v>2</v>
      </c>
      <c r="D355" s="4">
        <v>1</v>
      </c>
      <c r="E355" s="4">
        <v>3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1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</row>
    <row r="356" spans="1:73" x14ac:dyDescent="0.25">
      <c r="A356" s="2" t="s">
        <v>94</v>
      </c>
      <c r="B356" s="4">
        <v>20</v>
      </c>
      <c r="C356" s="4">
        <v>2</v>
      </c>
      <c r="D356" s="4">
        <v>2</v>
      </c>
      <c r="E356" s="4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</row>
    <row r="357" spans="1:73" x14ac:dyDescent="0.25">
      <c r="A357" s="2" t="s">
        <v>94</v>
      </c>
      <c r="B357" s="4">
        <v>20</v>
      </c>
      <c r="C357" s="4">
        <v>2</v>
      </c>
      <c r="D357" s="4">
        <v>2</v>
      </c>
      <c r="E357" s="4">
        <v>2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1</v>
      </c>
      <c r="BU357" s="3">
        <v>0</v>
      </c>
    </row>
    <row r="358" spans="1:73" x14ac:dyDescent="0.25">
      <c r="A358" s="2" t="s">
        <v>94</v>
      </c>
      <c r="B358" s="4">
        <v>20</v>
      </c>
      <c r="C358" s="4">
        <v>2</v>
      </c>
      <c r="D358" s="4">
        <v>2</v>
      </c>
      <c r="E358" s="4">
        <v>3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</row>
    <row r="359" spans="1:73" x14ac:dyDescent="0.25">
      <c r="A359" s="2" t="s">
        <v>94</v>
      </c>
      <c r="B359" s="4">
        <v>20</v>
      </c>
      <c r="C359" s="4">
        <v>2</v>
      </c>
      <c r="D359" s="4">
        <v>3</v>
      </c>
      <c r="E359" s="4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</row>
    <row r="360" spans="1:73" x14ac:dyDescent="0.25">
      <c r="A360" s="2" t="s">
        <v>94</v>
      </c>
      <c r="B360" s="4">
        <v>20</v>
      </c>
      <c r="C360" s="4">
        <v>2</v>
      </c>
      <c r="D360" s="4">
        <v>3</v>
      </c>
      <c r="E360" s="4">
        <v>2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1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</row>
    <row r="361" spans="1:73" x14ac:dyDescent="0.25">
      <c r="A361" s="2" t="s">
        <v>94</v>
      </c>
      <c r="B361" s="4">
        <v>20</v>
      </c>
      <c r="C361" s="4">
        <v>2</v>
      </c>
      <c r="D361" s="4">
        <v>3</v>
      </c>
      <c r="E361" s="4">
        <v>3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1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</row>
    <row r="362" spans="1:73" x14ac:dyDescent="0.25">
      <c r="A362" s="2" t="s">
        <v>95</v>
      </c>
      <c r="B362" s="4">
        <v>21</v>
      </c>
      <c r="C362" s="4">
        <v>1</v>
      </c>
      <c r="D362" s="4">
        <v>1</v>
      </c>
      <c r="E362" s="4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</row>
    <row r="363" spans="1:73" x14ac:dyDescent="0.25">
      <c r="A363" s="2" t="s">
        <v>95</v>
      </c>
      <c r="B363" s="4">
        <v>21</v>
      </c>
      <c r="C363" s="4">
        <v>1</v>
      </c>
      <c r="D363" s="4">
        <v>1</v>
      </c>
      <c r="E363" s="4">
        <v>2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1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1</v>
      </c>
      <c r="AA363" s="3">
        <v>0</v>
      </c>
      <c r="AB363" s="3">
        <v>0</v>
      </c>
      <c r="AC363" s="3">
        <v>0</v>
      </c>
      <c r="AD363" s="3">
        <v>0</v>
      </c>
      <c r="AE363" s="3">
        <v>1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3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</row>
    <row r="364" spans="1:73" x14ac:dyDescent="0.25">
      <c r="A364" s="2" t="s">
        <v>95</v>
      </c>
      <c r="B364" s="4">
        <v>21</v>
      </c>
      <c r="C364" s="4">
        <v>1</v>
      </c>
      <c r="D364" s="4">
        <v>1</v>
      </c>
      <c r="E364" s="4">
        <v>3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1</v>
      </c>
      <c r="AA364" s="3">
        <v>0</v>
      </c>
      <c r="AB364" s="3">
        <v>0</v>
      </c>
      <c r="AC364" s="3">
        <v>0</v>
      </c>
      <c r="AD364" s="3">
        <v>0</v>
      </c>
      <c r="AE364" s="3">
        <v>1</v>
      </c>
      <c r="AF364" s="3">
        <v>0</v>
      </c>
      <c r="AG364" s="3">
        <v>0</v>
      </c>
      <c r="AH364" s="3">
        <v>1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1</v>
      </c>
      <c r="BE364" s="3">
        <v>0</v>
      </c>
      <c r="BF364" s="3">
        <v>2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</row>
    <row r="365" spans="1:73" x14ac:dyDescent="0.25">
      <c r="A365" s="2" t="s">
        <v>95</v>
      </c>
      <c r="B365" s="4">
        <v>21</v>
      </c>
      <c r="C365" s="4">
        <v>1</v>
      </c>
      <c r="D365" s="4">
        <v>2</v>
      </c>
      <c r="E365" s="4">
        <v>1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</row>
    <row r="366" spans="1:73" x14ac:dyDescent="0.25">
      <c r="A366" s="2" t="s">
        <v>95</v>
      </c>
      <c r="B366" s="4">
        <v>21</v>
      </c>
      <c r="C366" s="4">
        <v>1</v>
      </c>
      <c r="D366" s="4">
        <v>2</v>
      </c>
      <c r="E366" s="4">
        <v>2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</row>
    <row r="367" spans="1:73" x14ac:dyDescent="0.25">
      <c r="A367" s="2" t="s">
        <v>95</v>
      </c>
      <c r="B367" s="4">
        <v>21</v>
      </c>
      <c r="C367" s="4">
        <v>1</v>
      </c>
      <c r="D367" s="4">
        <v>2</v>
      </c>
      <c r="E367" s="4">
        <v>3</v>
      </c>
      <c r="F367" s="3">
        <v>0</v>
      </c>
      <c r="G367" s="3">
        <v>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1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1</v>
      </c>
      <c r="BU367" s="3">
        <v>0</v>
      </c>
    </row>
    <row r="368" spans="1:73" x14ac:dyDescent="0.25">
      <c r="A368" s="2" t="s">
        <v>95</v>
      </c>
      <c r="B368" s="4">
        <v>21</v>
      </c>
      <c r="C368" s="4">
        <v>1</v>
      </c>
      <c r="D368" s="4">
        <v>3</v>
      </c>
      <c r="E368" s="4">
        <v>1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</row>
    <row r="369" spans="1:73" x14ac:dyDescent="0.25">
      <c r="A369" s="2" t="s">
        <v>95</v>
      </c>
      <c r="B369" s="4">
        <v>21</v>
      </c>
      <c r="C369" s="4">
        <v>1</v>
      </c>
      <c r="D369" s="4">
        <v>3</v>
      </c>
      <c r="E369" s="4">
        <v>2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</row>
    <row r="370" spans="1:73" x14ac:dyDescent="0.25">
      <c r="A370" s="2" t="s">
        <v>95</v>
      </c>
      <c r="B370" s="4">
        <v>21</v>
      </c>
      <c r="C370" s="4">
        <v>1</v>
      </c>
      <c r="D370" s="4">
        <v>3</v>
      </c>
      <c r="E370" s="4">
        <v>3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1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1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</row>
    <row r="371" spans="1:73" x14ac:dyDescent="0.25">
      <c r="A371" s="2" t="s">
        <v>95</v>
      </c>
      <c r="B371" s="4">
        <v>21</v>
      </c>
      <c r="C371" s="4">
        <v>2</v>
      </c>
      <c r="D371" s="4">
        <v>1</v>
      </c>
      <c r="E371" s="4">
        <v>1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2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1</v>
      </c>
      <c r="BI371" s="3">
        <v>0</v>
      </c>
      <c r="BJ371" s="3">
        <v>2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</row>
    <row r="372" spans="1:73" x14ac:dyDescent="0.25">
      <c r="A372" s="2" t="s">
        <v>95</v>
      </c>
      <c r="B372" s="4">
        <v>21</v>
      </c>
      <c r="C372" s="4">
        <v>2</v>
      </c>
      <c r="D372" s="4">
        <v>1</v>
      </c>
      <c r="E372" s="4">
        <v>2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2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1</v>
      </c>
      <c r="BU372" s="3">
        <v>0</v>
      </c>
    </row>
    <row r="373" spans="1:73" x14ac:dyDescent="0.25">
      <c r="A373" s="2" t="s">
        <v>95</v>
      </c>
      <c r="B373" s="4">
        <v>21</v>
      </c>
      <c r="C373" s="4">
        <v>2</v>
      </c>
      <c r="D373" s="4">
        <v>1</v>
      </c>
      <c r="E373" s="4">
        <v>3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1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1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1</v>
      </c>
      <c r="BG373" s="3">
        <v>0</v>
      </c>
      <c r="BH373" s="3">
        <v>1</v>
      </c>
      <c r="BI373" s="3">
        <v>0</v>
      </c>
      <c r="BJ373" s="3">
        <v>1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1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</row>
    <row r="374" spans="1:73" x14ac:dyDescent="0.25">
      <c r="A374" s="2" t="s">
        <v>95</v>
      </c>
      <c r="B374" s="4">
        <v>21</v>
      </c>
      <c r="C374" s="4">
        <v>2</v>
      </c>
      <c r="D374" s="4">
        <v>2</v>
      </c>
      <c r="E374" s="4">
        <v>1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1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</row>
    <row r="375" spans="1:73" x14ac:dyDescent="0.25">
      <c r="A375" s="2" t="s">
        <v>95</v>
      </c>
      <c r="B375" s="4">
        <v>21</v>
      </c>
      <c r="C375" s="4">
        <v>2</v>
      </c>
      <c r="D375" s="4">
        <v>2</v>
      </c>
      <c r="E375" s="4">
        <v>2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</row>
    <row r="376" spans="1:73" x14ac:dyDescent="0.25">
      <c r="A376" s="2" t="s">
        <v>95</v>
      </c>
      <c r="B376" s="4">
        <v>21</v>
      </c>
      <c r="C376" s="4">
        <v>2</v>
      </c>
      <c r="D376" s="4">
        <v>2</v>
      </c>
      <c r="E376" s="4">
        <v>3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</row>
    <row r="377" spans="1:73" x14ac:dyDescent="0.25">
      <c r="A377" s="2" t="s">
        <v>95</v>
      </c>
      <c r="B377" s="4">
        <v>21</v>
      </c>
      <c r="C377" s="4">
        <v>2</v>
      </c>
      <c r="D377" s="4">
        <v>3</v>
      </c>
      <c r="E377" s="4">
        <v>1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</row>
    <row r="378" spans="1:73" x14ac:dyDescent="0.25">
      <c r="A378" s="2" t="s">
        <v>95</v>
      </c>
      <c r="B378" s="4">
        <v>21</v>
      </c>
      <c r="C378" s="4">
        <v>2</v>
      </c>
      <c r="D378" s="4">
        <v>3</v>
      </c>
      <c r="E378" s="4">
        <v>2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1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</row>
    <row r="379" spans="1:73" x14ac:dyDescent="0.25">
      <c r="A379" s="2" t="s">
        <v>95</v>
      </c>
      <c r="B379" s="4">
        <v>21</v>
      </c>
      <c r="C379" s="4">
        <v>2</v>
      </c>
      <c r="D379" s="4">
        <v>3</v>
      </c>
      <c r="E379" s="4">
        <v>3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</row>
    <row r="380" spans="1:73" x14ac:dyDescent="0.25">
      <c r="A380" s="2" t="s">
        <v>96</v>
      </c>
      <c r="B380" s="4">
        <v>22</v>
      </c>
      <c r="C380" s="4">
        <v>1</v>
      </c>
      <c r="D380" s="4">
        <v>1</v>
      </c>
      <c r="E380" s="4">
        <v>1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</row>
    <row r="381" spans="1:73" x14ac:dyDescent="0.25">
      <c r="A381" s="2" t="s">
        <v>96</v>
      </c>
      <c r="B381" s="4">
        <v>22</v>
      </c>
      <c r="C381" s="4">
        <v>1</v>
      </c>
      <c r="D381" s="4">
        <v>1</v>
      </c>
      <c r="E381" s="4">
        <v>2</v>
      </c>
      <c r="F381" s="3">
        <v>0</v>
      </c>
      <c r="G381" s="3">
        <v>2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1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</row>
    <row r="382" spans="1:73" x14ac:dyDescent="0.25">
      <c r="A382" s="2" t="s">
        <v>96</v>
      </c>
      <c r="B382" s="4">
        <v>22</v>
      </c>
      <c r="C382" s="4">
        <v>1</v>
      </c>
      <c r="D382" s="4">
        <v>1</v>
      </c>
      <c r="E382" s="4">
        <v>3</v>
      </c>
      <c r="F382" s="3">
        <v>1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1</v>
      </c>
      <c r="T382" s="3">
        <v>0</v>
      </c>
      <c r="U382" s="3">
        <v>1</v>
      </c>
      <c r="V382" s="3">
        <v>0</v>
      </c>
      <c r="W382" s="3">
        <v>0</v>
      </c>
      <c r="X382" s="3">
        <v>0</v>
      </c>
      <c r="Y382" s="3">
        <v>0</v>
      </c>
      <c r="Z382" s="3">
        <v>2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1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1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1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</row>
    <row r="383" spans="1:73" x14ac:dyDescent="0.25">
      <c r="A383" s="2" t="s">
        <v>96</v>
      </c>
      <c r="B383" s="4">
        <v>22</v>
      </c>
      <c r="C383" s="4">
        <v>1</v>
      </c>
      <c r="D383" s="4">
        <v>2</v>
      </c>
      <c r="E383" s="4">
        <v>1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</row>
    <row r="384" spans="1:73" x14ac:dyDescent="0.25">
      <c r="A384" s="2" t="s">
        <v>96</v>
      </c>
      <c r="B384" s="4">
        <v>22</v>
      </c>
      <c r="C384" s="4">
        <v>1</v>
      </c>
      <c r="D384" s="4">
        <v>2</v>
      </c>
      <c r="E384" s="4">
        <v>2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</row>
    <row r="385" spans="1:73" x14ac:dyDescent="0.25">
      <c r="A385" s="2" t="s">
        <v>96</v>
      </c>
      <c r="B385" s="4">
        <v>22</v>
      </c>
      <c r="C385" s="4">
        <v>1</v>
      </c>
      <c r="D385" s="4">
        <v>2</v>
      </c>
      <c r="E385" s="4">
        <v>3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</row>
    <row r="386" spans="1:73" x14ac:dyDescent="0.25">
      <c r="A386" s="2" t="s">
        <v>96</v>
      </c>
      <c r="B386" s="4">
        <v>22</v>
      </c>
      <c r="C386" s="4">
        <v>1</v>
      </c>
      <c r="D386" s="4">
        <v>3</v>
      </c>
      <c r="E386" s="4">
        <v>1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1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</row>
    <row r="387" spans="1:73" x14ac:dyDescent="0.25">
      <c r="A387" s="2" t="s">
        <v>96</v>
      </c>
      <c r="B387" s="4">
        <v>22</v>
      </c>
      <c r="C387" s="4">
        <v>1</v>
      </c>
      <c r="D387" s="4">
        <v>3</v>
      </c>
      <c r="E387" s="4">
        <v>2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1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1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1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</row>
    <row r="388" spans="1:73" x14ac:dyDescent="0.25">
      <c r="A388" s="2" t="s">
        <v>96</v>
      </c>
      <c r="B388" s="4">
        <v>22</v>
      </c>
      <c r="C388" s="4">
        <v>1</v>
      </c>
      <c r="D388" s="4">
        <v>3</v>
      </c>
      <c r="E388" s="4">
        <v>3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1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1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1</v>
      </c>
      <c r="BU388" s="3">
        <v>0</v>
      </c>
    </row>
    <row r="389" spans="1:73" x14ac:dyDescent="0.25">
      <c r="A389" s="2" t="s">
        <v>96</v>
      </c>
      <c r="B389" s="4">
        <v>22</v>
      </c>
      <c r="C389" s="4">
        <v>2</v>
      </c>
      <c r="D389" s="4">
        <v>1</v>
      </c>
      <c r="E389" s="4">
        <v>1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3</v>
      </c>
      <c r="BG389" s="3">
        <v>0</v>
      </c>
      <c r="BH389" s="3">
        <v>1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</row>
    <row r="390" spans="1:73" x14ac:dyDescent="0.25">
      <c r="A390" s="2" t="s">
        <v>96</v>
      </c>
      <c r="B390" s="4">
        <v>22</v>
      </c>
      <c r="C390" s="4">
        <v>2</v>
      </c>
      <c r="D390" s="4">
        <v>1</v>
      </c>
      <c r="E390" s="4">
        <v>2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1</v>
      </c>
      <c r="BG390" s="3">
        <v>0</v>
      </c>
      <c r="BH390" s="3">
        <v>1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1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</row>
    <row r="391" spans="1:73" x14ac:dyDescent="0.25">
      <c r="A391" s="2" t="s">
        <v>96</v>
      </c>
      <c r="B391" s="4">
        <v>22</v>
      </c>
      <c r="C391" s="4">
        <v>2</v>
      </c>
      <c r="D391" s="4">
        <v>1</v>
      </c>
      <c r="E391" s="4">
        <v>3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1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2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1</v>
      </c>
      <c r="BU391" s="3">
        <v>0</v>
      </c>
    </row>
    <row r="392" spans="1:73" x14ac:dyDescent="0.25">
      <c r="A392" s="2" t="s">
        <v>96</v>
      </c>
      <c r="B392" s="4">
        <v>22</v>
      </c>
      <c r="C392" s="4">
        <v>2</v>
      </c>
      <c r="D392" s="4">
        <v>2</v>
      </c>
      <c r="E392" s="4">
        <v>1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</row>
    <row r="393" spans="1:73" x14ac:dyDescent="0.25">
      <c r="A393" s="2" t="s">
        <v>96</v>
      </c>
      <c r="B393" s="4">
        <v>22</v>
      </c>
      <c r="C393" s="4">
        <v>2</v>
      </c>
      <c r="D393" s="4">
        <v>2</v>
      </c>
      <c r="E393" s="4">
        <v>2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1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</row>
    <row r="394" spans="1:73" x14ac:dyDescent="0.25">
      <c r="A394" s="2" t="s">
        <v>96</v>
      </c>
      <c r="B394" s="4">
        <v>22</v>
      </c>
      <c r="C394" s="4">
        <v>2</v>
      </c>
      <c r="D394" s="4">
        <v>2</v>
      </c>
      <c r="E394" s="4">
        <v>3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1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1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1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1</v>
      </c>
      <c r="BU394" s="3">
        <v>0</v>
      </c>
    </row>
    <row r="395" spans="1:73" x14ac:dyDescent="0.25">
      <c r="A395" s="2" t="s">
        <v>96</v>
      </c>
      <c r="B395" s="4">
        <v>22</v>
      </c>
      <c r="C395" s="4">
        <v>2</v>
      </c>
      <c r="D395" s="4">
        <v>3</v>
      </c>
      <c r="E395" s="4">
        <v>1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1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</row>
    <row r="396" spans="1:73" x14ac:dyDescent="0.25">
      <c r="A396" s="2" t="s">
        <v>96</v>
      </c>
      <c r="B396" s="4">
        <v>22</v>
      </c>
      <c r="C396" s="4">
        <v>2</v>
      </c>
      <c r="D396" s="4">
        <v>3</v>
      </c>
      <c r="E396" s="4">
        <v>2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</row>
    <row r="397" spans="1:73" x14ac:dyDescent="0.25">
      <c r="A397" s="2" t="s">
        <v>96</v>
      </c>
      <c r="B397" s="4">
        <v>22</v>
      </c>
      <c r="C397" s="4">
        <v>2</v>
      </c>
      <c r="D397" s="4">
        <v>3</v>
      </c>
      <c r="E397" s="4">
        <v>3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1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1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1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1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</row>
    <row r="398" spans="1:73" x14ac:dyDescent="0.25">
      <c r="A398" s="2" t="s">
        <v>97</v>
      </c>
      <c r="B398" s="4">
        <v>23</v>
      </c>
      <c r="C398" s="4">
        <v>1</v>
      </c>
      <c r="D398" s="4">
        <v>1</v>
      </c>
      <c r="E398" s="4">
        <v>1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1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1</v>
      </c>
      <c r="BU398" s="3">
        <v>0</v>
      </c>
    </row>
    <row r="399" spans="1:73" x14ac:dyDescent="0.25">
      <c r="A399" s="2" t="s">
        <v>97</v>
      </c>
      <c r="B399" s="4">
        <v>23</v>
      </c>
      <c r="C399" s="4">
        <v>1</v>
      </c>
      <c r="D399" s="4">
        <v>1</v>
      </c>
      <c r="E399" s="4">
        <v>2</v>
      </c>
      <c r="F399" s="3">
        <v>0</v>
      </c>
      <c r="G399" s="3">
        <v>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1</v>
      </c>
      <c r="AA399" s="3">
        <v>0</v>
      </c>
      <c r="AB399" s="3">
        <v>0</v>
      </c>
      <c r="AC399" s="3">
        <v>0</v>
      </c>
      <c r="AD399" s="3">
        <v>0</v>
      </c>
      <c r="AE399" s="3">
        <v>1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</row>
    <row r="400" spans="1:73" x14ac:dyDescent="0.25">
      <c r="A400" s="2" t="s">
        <v>97</v>
      </c>
      <c r="B400" s="4">
        <v>23</v>
      </c>
      <c r="C400" s="4">
        <v>1</v>
      </c>
      <c r="D400" s="4">
        <v>1</v>
      </c>
      <c r="E400" s="4">
        <v>3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1</v>
      </c>
      <c r="AV400" s="3">
        <v>0</v>
      </c>
      <c r="AW400" s="3">
        <v>0</v>
      </c>
      <c r="AX400" s="3">
        <v>1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</row>
    <row r="401" spans="1:73" x14ac:dyDescent="0.25">
      <c r="A401" s="2" t="s">
        <v>97</v>
      </c>
      <c r="B401" s="4">
        <v>23</v>
      </c>
      <c r="C401" s="4">
        <v>1</v>
      </c>
      <c r="D401" s="4">
        <v>2</v>
      </c>
      <c r="E401" s="4">
        <v>1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</row>
    <row r="402" spans="1:73" x14ac:dyDescent="0.25">
      <c r="A402" s="2" t="s">
        <v>97</v>
      </c>
      <c r="B402" s="4">
        <v>23</v>
      </c>
      <c r="C402" s="4">
        <v>1</v>
      </c>
      <c r="D402" s="4">
        <v>2</v>
      </c>
      <c r="E402" s="4">
        <v>2</v>
      </c>
      <c r="F402" s="3">
        <v>0</v>
      </c>
      <c r="G402" s="3">
        <v>1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</row>
    <row r="403" spans="1:73" x14ac:dyDescent="0.25">
      <c r="A403" s="2" t="s">
        <v>97</v>
      </c>
      <c r="B403" s="4">
        <v>23</v>
      </c>
      <c r="C403" s="4">
        <v>1</v>
      </c>
      <c r="D403" s="4">
        <v>2</v>
      </c>
      <c r="E403" s="4">
        <v>3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1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</row>
    <row r="404" spans="1:73" x14ac:dyDescent="0.25">
      <c r="A404" s="2" t="s">
        <v>97</v>
      </c>
      <c r="B404" s="4">
        <v>23</v>
      </c>
      <c r="C404" s="4">
        <v>1</v>
      </c>
      <c r="D404" s="4">
        <v>3</v>
      </c>
      <c r="E404" s="4">
        <v>1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</row>
    <row r="405" spans="1:73" x14ac:dyDescent="0.25">
      <c r="A405" s="2" t="s">
        <v>97</v>
      </c>
      <c r="B405" s="4">
        <v>23</v>
      </c>
      <c r="C405" s="4">
        <v>1</v>
      </c>
      <c r="D405" s="4">
        <v>3</v>
      </c>
      <c r="E405" s="4">
        <v>2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1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1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</row>
    <row r="406" spans="1:73" x14ac:dyDescent="0.25">
      <c r="A406" s="2" t="s">
        <v>97</v>
      </c>
      <c r="B406" s="4">
        <v>23</v>
      </c>
      <c r="C406" s="4">
        <v>1</v>
      </c>
      <c r="D406" s="4">
        <v>3</v>
      </c>
      <c r="E406" s="4">
        <v>3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</row>
    <row r="407" spans="1:73" x14ac:dyDescent="0.25">
      <c r="A407" s="2" t="s">
        <v>97</v>
      </c>
      <c r="B407" s="4">
        <v>23</v>
      </c>
      <c r="C407" s="4">
        <v>2</v>
      </c>
      <c r="D407" s="4">
        <v>1</v>
      </c>
      <c r="E407" s="4">
        <v>1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1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1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3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</row>
    <row r="408" spans="1:73" x14ac:dyDescent="0.25">
      <c r="A408" s="2" t="s">
        <v>97</v>
      </c>
      <c r="B408" s="4">
        <v>23</v>
      </c>
      <c r="C408" s="4">
        <v>2</v>
      </c>
      <c r="D408" s="4">
        <v>1</v>
      </c>
      <c r="E408" s="4">
        <v>2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1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1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3</v>
      </c>
      <c r="BG408" s="3">
        <v>0</v>
      </c>
      <c r="BH408" s="3">
        <v>1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</row>
    <row r="409" spans="1:73" x14ac:dyDescent="0.25">
      <c r="A409" s="2" t="s">
        <v>97</v>
      </c>
      <c r="B409" s="4">
        <v>23</v>
      </c>
      <c r="C409" s="4">
        <v>2</v>
      </c>
      <c r="D409" s="4">
        <v>1</v>
      </c>
      <c r="E409" s="4">
        <v>3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1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1</v>
      </c>
      <c r="AF409" s="3">
        <v>0</v>
      </c>
      <c r="AG409" s="3">
        <v>0</v>
      </c>
      <c r="AH409" s="3">
        <v>1</v>
      </c>
      <c r="AI409" s="3">
        <v>0</v>
      </c>
      <c r="AJ409" s="3">
        <v>0</v>
      </c>
      <c r="AK409" s="3">
        <v>0</v>
      </c>
      <c r="AL409" s="3">
        <v>1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</row>
    <row r="410" spans="1:73" x14ac:dyDescent="0.25">
      <c r="A410" s="2" t="s">
        <v>97</v>
      </c>
      <c r="B410" s="4">
        <v>23</v>
      </c>
      <c r="C410" s="4">
        <v>2</v>
      </c>
      <c r="D410" s="4">
        <v>2</v>
      </c>
      <c r="E410" s="4">
        <v>1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</row>
    <row r="411" spans="1:73" x14ac:dyDescent="0.25">
      <c r="A411" s="2" t="s">
        <v>97</v>
      </c>
      <c r="B411" s="4">
        <v>23</v>
      </c>
      <c r="C411" s="4">
        <v>2</v>
      </c>
      <c r="D411" s="4">
        <v>2</v>
      </c>
      <c r="E411" s="4">
        <v>2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1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</row>
    <row r="412" spans="1:73" x14ac:dyDescent="0.25">
      <c r="A412" s="2" t="s">
        <v>97</v>
      </c>
      <c r="B412" s="4">
        <v>23</v>
      </c>
      <c r="C412" s="4">
        <v>2</v>
      </c>
      <c r="D412" s="4">
        <v>2</v>
      </c>
      <c r="E412" s="4">
        <v>3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</row>
    <row r="413" spans="1:73" x14ac:dyDescent="0.25">
      <c r="A413" s="2" t="s">
        <v>97</v>
      </c>
      <c r="B413" s="4">
        <v>23</v>
      </c>
      <c r="C413" s="4">
        <v>2</v>
      </c>
      <c r="D413" s="4">
        <v>3</v>
      </c>
      <c r="E413" s="4">
        <v>1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</row>
    <row r="414" spans="1:73" x14ac:dyDescent="0.25">
      <c r="A414" s="2" t="s">
        <v>97</v>
      </c>
      <c r="B414" s="4">
        <v>23</v>
      </c>
      <c r="C414" s="4">
        <v>2</v>
      </c>
      <c r="D414" s="4">
        <v>3</v>
      </c>
      <c r="E414" s="4">
        <v>2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2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1</v>
      </c>
      <c r="BU414" s="3">
        <v>0</v>
      </c>
    </row>
    <row r="415" spans="1:73" x14ac:dyDescent="0.25">
      <c r="A415" s="2" t="s">
        <v>97</v>
      </c>
      <c r="B415" s="4">
        <v>23</v>
      </c>
      <c r="C415" s="4">
        <v>2</v>
      </c>
      <c r="D415" s="4">
        <v>3</v>
      </c>
      <c r="E415" s="4">
        <v>3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</row>
    <row r="416" spans="1:73" x14ac:dyDescent="0.25">
      <c r="A416" s="2" t="s">
        <v>98</v>
      </c>
      <c r="B416" s="4">
        <v>24</v>
      </c>
      <c r="C416" s="4">
        <v>1</v>
      </c>
      <c r="D416" s="4">
        <v>1</v>
      </c>
      <c r="E416" s="4">
        <v>1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1</v>
      </c>
      <c r="BG416" s="3">
        <v>0</v>
      </c>
      <c r="BH416" s="3">
        <v>0</v>
      </c>
      <c r="BI416" s="3">
        <v>0</v>
      </c>
      <c r="BJ416" s="3">
        <v>3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</row>
    <row r="417" spans="1:73" x14ac:dyDescent="0.25">
      <c r="A417" s="2" t="s">
        <v>98</v>
      </c>
      <c r="B417" s="4">
        <v>24</v>
      </c>
      <c r="C417" s="4">
        <v>1</v>
      </c>
      <c r="D417" s="4">
        <v>1</v>
      </c>
      <c r="E417" s="4">
        <v>2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1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1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2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</row>
    <row r="418" spans="1:73" x14ac:dyDescent="0.25">
      <c r="A418" s="2" t="s">
        <v>98</v>
      </c>
      <c r="B418" s="4">
        <v>24</v>
      </c>
      <c r="C418" s="4">
        <v>1</v>
      </c>
      <c r="D418" s="4">
        <v>1</v>
      </c>
      <c r="E418" s="4">
        <v>3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1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</row>
    <row r="419" spans="1:73" x14ac:dyDescent="0.25">
      <c r="A419" s="2" t="s">
        <v>98</v>
      </c>
      <c r="B419" s="4">
        <v>24</v>
      </c>
      <c r="C419" s="4">
        <v>1</v>
      </c>
      <c r="D419" s="4">
        <v>2</v>
      </c>
      <c r="E419" s="4">
        <v>1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1</v>
      </c>
    </row>
    <row r="420" spans="1:73" x14ac:dyDescent="0.25">
      <c r="A420" s="2" t="s">
        <v>98</v>
      </c>
      <c r="B420" s="4">
        <v>24</v>
      </c>
      <c r="C420" s="4">
        <v>1</v>
      </c>
      <c r="D420" s="4">
        <v>2</v>
      </c>
      <c r="E420" s="4">
        <v>2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</row>
    <row r="421" spans="1:73" x14ac:dyDescent="0.25">
      <c r="A421" s="2" t="s">
        <v>98</v>
      </c>
      <c r="B421" s="4">
        <v>24</v>
      </c>
      <c r="C421" s="4">
        <v>1</v>
      </c>
      <c r="D421" s="4">
        <v>2</v>
      </c>
      <c r="E421" s="4">
        <v>3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</row>
    <row r="422" spans="1:73" x14ac:dyDescent="0.25">
      <c r="A422" s="2" t="s">
        <v>98</v>
      </c>
      <c r="B422" s="4">
        <v>24</v>
      </c>
      <c r="C422" s="4">
        <v>1</v>
      </c>
      <c r="D422" s="4">
        <v>3</v>
      </c>
      <c r="E422" s="4">
        <v>1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1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</row>
    <row r="423" spans="1:73" x14ac:dyDescent="0.25">
      <c r="A423" s="2" t="s">
        <v>98</v>
      </c>
      <c r="B423" s="4">
        <v>24</v>
      </c>
      <c r="C423" s="4">
        <v>1</v>
      </c>
      <c r="D423" s="4">
        <v>3</v>
      </c>
      <c r="E423" s="4">
        <v>2</v>
      </c>
      <c r="F423" s="3">
        <v>0</v>
      </c>
      <c r="G423" s="3">
        <v>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1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</row>
    <row r="424" spans="1:73" x14ac:dyDescent="0.25">
      <c r="A424" s="2" t="s">
        <v>98</v>
      </c>
      <c r="B424" s="4">
        <v>24</v>
      </c>
      <c r="C424" s="4">
        <v>1</v>
      </c>
      <c r="D424" s="4">
        <v>3</v>
      </c>
      <c r="E424" s="4">
        <v>3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1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1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1</v>
      </c>
      <c r="BR424" s="3">
        <v>0</v>
      </c>
      <c r="BS424" s="3">
        <v>0</v>
      </c>
      <c r="BT424" s="3">
        <v>0</v>
      </c>
      <c r="BU424" s="3">
        <v>0</v>
      </c>
    </row>
    <row r="425" spans="1:73" x14ac:dyDescent="0.25">
      <c r="A425" s="2" t="s">
        <v>98</v>
      </c>
      <c r="B425" s="4">
        <v>24</v>
      </c>
      <c r="C425" s="4">
        <v>2</v>
      </c>
      <c r="D425" s="4">
        <v>1</v>
      </c>
      <c r="E425" s="4">
        <v>1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2</v>
      </c>
      <c r="BG425" s="3">
        <v>0</v>
      </c>
      <c r="BH425" s="3">
        <v>1</v>
      </c>
      <c r="BI425" s="3">
        <v>0</v>
      </c>
      <c r="BJ425" s="3">
        <v>4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1</v>
      </c>
      <c r="BU425" s="3">
        <v>0</v>
      </c>
    </row>
    <row r="426" spans="1:73" x14ac:dyDescent="0.25">
      <c r="A426" s="2" t="s">
        <v>98</v>
      </c>
      <c r="B426" s="4">
        <v>24</v>
      </c>
      <c r="C426" s="4">
        <v>2</v>
      </c>
      <c r="D426" s="4">
        <v>1</v>
      </c>
      <c r="E426" s="4">
        <v>2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1</v>
      </c>
      <c r="AA426" s="3">
        <v>0</v>
      </c>
      <c r="AB426" s="3">
        <v>1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1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1</v>
      </c>
      <c r="BQ426" s="3">
        <v>0</v>
      </c>
      <c r="BR426" s="3">
        <v>0</v>
      </c>
      <c r="BS426" s="3">
        <v>0</v>
      </c>
      <c r="BT426" s="3">
        <v>1</v>
      </c>
      <c r="BU426" s="3">
        <v>0</v>
      </c>
    </row>
    <row r="427" spans="1:73" x14ac:dyDescent="0.25">
      <c r="A427" s="2" t="s">
        <v>98</v>
      </c>
      <c r="B427" s="4">
        <v>24</v>
      </c>
      <c r="C427" s="4">
        <v>2</v>
      </c>
      <c r="D427" s="4">
        <v>1</v>
      </c>
      <c r="E427" s="4">
        <v>3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</row>
    <row r="428" spans="1:73" x14ac:dyDescent="0.25">
      <c r="A428" s="2" t="s">
        <v>98</v>
      </c>
      <c r="B428" s="4">
        <v>24</v>
      </c>
      <c r="C428" s="4">
        <v>2</v>
      </c>
      <c r="D428" s="4">
        <v>2</v>
      </c>
      <c r="E428" s="4">
        <v>1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</row>
    <row r="429" spans="1:73" x14ac:dyDescent="0.25">
      <c r="A429" s="2" t="s">
        <v>98</v>
      </c>
      <c r="B429" s="4">
        <v>24</v>
      </c>
      <c r="C429" s="4">
        <v>2</v>
      </c>
      <c r="D429" s="4">
        <v>2</v>
      </c>
      <c r="E429" s="4">
        <v>2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1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1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</row>
    <row r="430" spans="1:73" x14ac:dyDescent="0.25">
      <c r="A430" s="2" t="s">
        <v>98</v>
      </c>
      <c r="B430" s="4">
        <v>24</v>
      </c>
      <c r="C430" s="4">
        <v>2</v>
      </c>
      <c r="D430" s="4">
        <v>2</v>
      </c>
      <c r="E430" s="4">
        <v>3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</row>
    <row r="431" spans="1:73" x14ac:dyDescent="0.25">
      <c r="A431" s="2" t="s">
        <v>98</v>
      </c>
      <c r="B431" s="4">
        <v>24</v>
      </c>
      <c r="C431" s="4">
        <v>2</v>
      </c>
      <c r="D431" s="4">
        <v>3</v>
      </c>
      <c r="E431" s="4">
        <v>1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1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1</v>
      </c>
      <c r="BU431" s="3">
        <v>0</v>
      </c>
    </row>
    <row r="432" spans="1:73" x14ac:dyDescent="0.25">
      <c r="A432" s="2" t="s">
        <v>98</v>
      </c>
      <c r="B432" s="4">
        <v>24</v>
      </c>
      <c r="C432" s="4">
        <v>2</v>
      </c>
      <c r="D432" s="4">
        <v>3</v>
      </c>
      <c r="E432" s="4">
        <v>2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1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1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0</v>
      </c>
      <c r="BU432" s="3">
        <v>0</v>
      </c>
    </row>
    <row r="433" spans="1:73" x14ac:dyDescent="0.25">
      <c r="A433" s="2" t="s">
        <v>98</v>
      </c>
      <c r="B433" s="4">
        <v>24</v>
      </c>
      <c r="C433" s="4">
        <v>2</v>
      </c>
      <c r="D433" s="4">
        <v>3</v>
      </c>
      <c r="E433" s="4">
        <v>3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</row>
    <row r="434" spans="1:73" x14ac:dyDescent="0.25">
      <c r="A434" s="2" t="s">
        <v>99</v>
      </c>
      <c r="B434" s="4">
        <v>25</v>
      </c>
      <c r="C434" s="4">
        <v>1</v>
      </c>
      <c r="D434" s="4">
        <v>1</v>
      </c>
      <c r="E434" s="4">
        <v>1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</row>
    <row r="435" spans="1:73" x14ac:dyDescent="0.25">
      <c r="A435" s="2" t="s">
        <v>99</v>
      </c>
      <c r="B435" s="4">
        <v>25</v>
      </c>
      <c r="C435" s="4">
        <v>1</v>
      </c>
      <c r="D435" s="4">
        <v>1</v>
      </c>
      <c r="E435" s="4">
        <v>2</v>
      </c>
      <c r="F435" s="3">
        <v>0</v>
      </c>
      <c r="G435" s="3">
        <v>2</v>
      </c>
      <c r="H435" s="3">
        <v>0</v>
      </c>
      <c r="I435" s="3">
        <v>0</v>
      </c>
      <c r="J435" s="3">
        <v>1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2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1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4</v>
      </c>
      <c r="BG435" s="3">
        <v>0</v>
      </c>
      <c r="BH435" s="3">
        <v>0</v>
      </c>
      <c r="BI435" s="3">
        <v>0</v>
      </c>
      <c r="BJ435" s="3">
        <v>1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2</v>
      </c>
      <c r="BU435" s="3">
        <v>0</v>
      </c>
    </row>
    <row r="436" spans="1:73" x14ac:dyDescent="0.25">
      <c r="A436" s="2" t="s">
        <v>99</v>
      </c>
      <c r="B436" s="4">
        <v>25</v>
      </c>
      <c r="C436" s="4">
        <v>1</v>
      </c>
      <c r="D436" s="4">
        <v>1</v>
      </c>
      <c r="E436" s="4">
        <v>3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1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</row>
    <row r="437" spans="1:73" x14ac:dyDescent="0.25">
      <c r="A437" s="2" t="s">
        <v>99</v>
      </c>
      <c r="B437" s="4">
        <v>25</v>
      </c>
      <c r="C437" s="4">
        <v>1</v>
      </c>
      <c r="D437" s="4">
        <v>2</v>
      </c>
      <c r="E437" s="4">
        <v>1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</row>
    <row r="438" spans="1:73" x14ac:dyDescent="0.25">
      <c r="A438" s="2" t="s">
        <v>99</v>
      </c>
      <c r="B438" s="4">
        <v>25</v>
      </c>
      <c r="C438" s="4">
        <v>1</v>
      </c>
      <c r="D438" s="4">
        <v>2</v>
      </c>
      <c r="E438" s="4">
        <v>2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1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3">
        <v>0</v>
      </c>
    </row>
    <row r="439" spans="1:73" x14ac:dyDescent="0.25">
      <c r="A439" s="2" t="s">
        <v>99</v>
      </c>
      <c r="B439" s="4">
        <v>25</v>
      </c>
      <c r="C439" s="4">
        <v>1</v>
      </c>
      <c r="D439" s="4">
        <v>2</v>
      </c>
      <c r="E439" s="4">
        <v>3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1</v>
      </c>
      <c r="BB439" s="3">
        <v>0</v>
      </c>
      <c r="BC439" s="3">
        <v>1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</row>
    <row r="440" spans="1:73" x14ac:dyDescent="0.25">
      <c r="A440" s="2" t="s">
        <v>99</v>
      </c>
      <c r="B440" s="4">
        <v>25</v>
      </c>
      <c r="C440" s="4">
        <v>1</v>
      </c>
      <c r="D440" s="4">
        <v>3</v>
      </c>
      <c r="E440" s="4">
        <v>1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1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</v>
      </c>
      <c r="BU440" s="3">
        <v>0</v>
      </c>
    </row>
    <row r="441" spans="1:73" x14ac:dyDescent="0.25">
      <c r="A441" s="2" t="s">
        <v>99</v>
      </c>
      <c r="B441" s="4">
        <v>25</v>
      </c>
      <c r="C441" s="4">
        <v>1</v>
      </c>
      <c r="D441" s="4">
        <v>3</v>
      </c>
      <c r="E441" s="4">
        <v>2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1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</row>
    <row r="442" spans="1:73" x14ac:dyDescent="0.25">
      <c r="A442" s="2" t="s">
        <v>99</v>
      </c>
      <c r="B442" s="4">
        <v>25</v>
      </c>
      <c r="C442" s="4">
        <v>1</v>
      </c>
      <c r="D442" s="4">
        <v>3</v>
      </c>
      <c r="E442" s="4">
        <v>3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1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</row>
    <row r="443" spans="1:73" x14ac:dyDescent="0.25">
      <c r="A443" s="2" t="s">
        <v>99</v>
      </c>
      <c r="B443" s="4">
        <v>25</v>
      </c>
      <c r="C443" s="4">
        <v>2</v>
      </c>
      <c r="D443" s="4">
        <v>1</v>
      </c>
      <c r="E443" s="4">
        <v>1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1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1</v>
      </c>
      <c r="BU443" s="3">
        <v>0</v>
      </c>
    </row>
    <row r="444" spans="1:73" x14ac:dyDescent="0.25">
      <c r="A444" s="2" t="s">
        <v>99</v>
      </c>
      <c r="B444" s="4">
        <v>25</v>
      </c>
      <c r="C444" s="4">
        <v>2</v>
      </c>
      <c r="D444" s="4">
        <v>1</v>
      </c>
      <c r="E444" s="4">
        <v>2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2</v>
      </c>
      <c r="AA444" s="3">
        <v>0</v>
      </c>
      <c r="AB444" s="3">
        <v>0</v>
      </c>
      <c r="AC444" s="3">
        <v>0</v>
      </c>
      <c r="AD444" s="3">
        <v>0</v>
      </c>
      <c r="AE444" s="3">
        <v>1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2</v>
      </c>
      <c r="BG444" s="3">
        <v>0</v>
      </c>
      <c r="BH444" s="3">
        <v>1</v>
      </c>
      <c r="BI444" s="3">
        <v>0</v>
      </c>
      <c r="BJ444" s="3">
        <v>2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</row>
    <row r="445" spans="1:73" x14ac:dyDescent="0.25">
      <c r="A445" s="2" t="s">
        <v>99</v>
      </c>
      <c r="B445" s="4">
        <v>25</v>
      </c>
      <c r="C445" s="4">
        <v>2</v>
      </c>
      <c r="D445" s="4">
        <v>1</v>
      </c>
      <c r="E445" s="4">
        <v>3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1</v>
      </c>
      <c r="BQ445" s="3">
        <v>0</v>
      </c>
      <c r="BR445" s="3">
        <v>0</v>
      </c>
      <c r="BS445" s="3">
        <v>0</v>
      </c>
      <c r="BT445" s="3">
        <v>1</v>
      </c>
      <c r="BU445" s="3">
        <v>0</v>
      </c>
    </row>
    <row r="446" spans="1:73" x14ac:dyDescent="0.25">
      <c r="A446" s="2" t="s">
        <v>99</v>
      </c>
      <c r="B446" s="4">
        <v>25</v>
      </c>
      <c r="C446" s="4">
        <v>2</v>
      </c>
      <c r="D446" s="4">
        <v>2</v>
      </c>
      <c r="E446" s="4">
        <v>1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2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</row>
    <row r="447" spans="1:73" x14ac:dyDescent="0.25">
      <c r="A447" s="2" t="s">
        <v>99</v>
      </c>
      <c r="B447" s="4">
        <v>25</v>
      </c>
      <c r="C447" s="4">
        <v>2</v>
      </c>
      <c r="D447" s="4">
        <v>2</v>
      </c>
      <c r="E447" s="4">
        <v>2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1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</row>
    <row r="448" spans="1:73" x14ac:dyDescent="0.25">
      <c r="A448" s="2" t="s">
        <v>99</v>
      </c>
      <c r="B448" s="4">
        <v>25</v>
      </c>
      <c r="C448" s="4">
        <v>2</v>
      </c>
      <c r="D448" s="4">
        <v>2</v>
      </c>
      <c r="E448" s="4">
        <v>3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</row>
    <row r="449" spans="1:73" x14ac:dyDescent="0.25">
      <c r="A449" s="2" t="s">
        <v>99</v>
      </c>
      <c r="B449" s="4">
        <v>25</v>
      </c>
      <c r="C449" s="4">
        <v>2</v>
      </c>
      <c r="D449" s="4">
        <v>3</v>
      </c>
      <c r="E449" s="4">
        <v>1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</row>
    <row r="450" spans="1:73" x14ac:dyDescent="0.25">
      <c r="A450" s="2" t="s">
        <v>99</v>
      </c>
      <c r="B450" s="4">
        <v>25</v>
      </c>
      <c r="C450" s="4">
        <v>2</v>
      </c>
      <c r="D450" s="4">
        <v>3</v>
      </c>
      <c r="E450" s="4">
        <v>2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3</v>
      </c>
      <c r="BG450" s="3">
        <v>0</v>
      </c>
      <c r="BH450" s="3">
        <v>0</v>
      </c>
      <c r="BI450" s="3">
        <v>0</v>
      </c>
      <c r="BJ450" s="3">
        <v>1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0</v>
      </c>
      <c r="BU450" s="3">
        <v>0</v>
      </c>
    </row>
    <row r="451" spans="1:73" x14ac:dyDescent="0.25">
      <c r="A451" s="2" t="s">
        <v>99</v>
      </c>
      <c r="B451" s="4">
        <v>25</v>
      </c>
      <c r="C451" s="4">
        <v>2</v>
      </c>
      <c r="D451" s="4">
        <v>3</v>
      </c>
      <c r="E451" s="4">
        <v>3</v>
      </c>
      <c r="F451" s="3">
        <v>0</v>
      </c>
      <c r="G451" s="3">
        <v>0</v>
      </c>
      <c r="H451" s="3">
        <v>0</v>
      </c>
      <c r="I451" s="3">
        <v>0</v>
      </c>
      <c r="J451" s="3">
        <v>1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1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</row>
    <row r="452" spans="1:73" x14ac:dyDescent="0.25">
      <c r="A452" s="2" t="s">
        <v>100</v>
      </c>
      <c r="B452" s="4">
        <v>26</v>
      </c>
      <c r="C452" s="4">
        <v>1</v>
      </c>
      <c r="D452" s="4">
        <v>1</v>
      </c>
      <c r="E452" s="4">
        <v>1</v>
      </c>
      <c r="F452" s="3">
        <v>0</v>
      </c>
      <c r="G452" s="3">
        <v>0</v>
      </c>
      <c r="H452" s="3">
        <v>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1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1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1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1</v>
      </c>
      <c r="BU452" s="3">
        <v>0</v>
      </c>
    </row>
    <row r="453" spans="1:73" x14ac:dyDescent="0.25">
      <c r="A453" s="2" t="s">
        <v>100</v>
      </c>
      <c r="B453" s="4">
        <v>26</v>
      </c>
      <c r="C453" s="4">
        <v>1</v>
      </c>
      <c r="D453" s="4">
        <v>1</v>
      </c>
      <c r="E453" s="4">
        <v>2</v>
      </c>
      <c r="F453" s="3">
        <v>0</v>
      </c>
      <c r="G453" s="3">
        <v>2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1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1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2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1</v>
      </c>
      <c r="BU453" s="3">
        <v>0</v>
      </c>
    </row>
    <row r="454" spans="1:73" x14ac:dyDescent="0.25">
      <c r="A454" s="2" t="s">
        <v>100</v>
      </c>
      <c r="B454" s="4">
        <v>26</v>
      </c>
      <c r="C454" s="4">
        <v>1</v>
      </c>
      <c r="D454" s="4">
        <v>1</v>
      </c>
      <c r="E454" s="4">
        <v>3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1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</row>
    <row r="455" spans="1:73" x14ac:dyDescent="0.25">
      <c r="A455" s="2" t="s">
        <v>100</v>
      </c>
      <c r="B455" s="4">
        <v>26</v>
      </c>
      <c r="C455" s="4">
        <v>1</v>
      </c>
      <c r="D455" s="4">
        <v>2</v>
      </c>
      <c r="E455" s="4">
        <v>1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</row>
    <row r="456" spans="1:73" x14ac:dyDescent="0.25">
      <c r="A456" s="2" t="s">
        <v>100</v>
      </c>
      <c r="B456" s="4">
        <v>26</v>
      </c>
      <c r="C456" s="4">
        <v>1</v>
      </c>
      <c r="D456" s="4">
        <v>2</v>
      </c>
      <c r="E456" s="4">
        <v>2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</row>
    <row r="457" spans="1:73" x14ac:dyDescent="0.25">
      <c r="A457" s="2" t="s">
        <v>100</v>
      </c>
      <c r="B457" s="4">
        <v>26</v>
      </c>
      <c r="C457" s="4">
        <v>1</v>
      </c>
      <c r="D457" s="4">
        <v>2</v>
      </c>
      <c r="E457" s="4">
        <v>3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</row>
    <row r="458" spans="1:73" x14ac:dyDescent="0.25">
      <c r="A458" s="2" t="s">
        <v>100</v>
      </c>
      <c r="B458" s="4">
        <v>26</v>
      </c>
      <c r="C458" s="4">
        <v>1</v>
      </c>
      <c r="D458" s="4">
        <v>3</v>
      </c>
      <c r="E458" s="4">
        <v>1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</row>
    <row r="459" spans="1:73" x14ac:dyDescent="0.25">
      <c r="A459" s="2" t="s">
        <v>100</v>
      </c>
      <c r="B459" s="4">
        <v>26</v>
      </c>
      <c r="C459" s="4">
        <v>1</v>
      </c>
      <c r="D459" s="4">
        <v>3</v>
      </c>
      <c r="E459" s="4">
        <v>2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1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1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</row>
    <row r="460" spans="1:73" x14ac:dyDescent="0.25">
      <c r="A460" s="2" t="s">
        <v>100</v>
      </c>
      <c r="B460" s="4">
        <v>26</v>
      </c>
      <c r="C460" s="4">
        <v>1</v>
      </c>
      <c r="D460" s="4">
        <v>3</v>
      </c>
      <c r="E460" s="4">
        <v>3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1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1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</row>
    <row r="461" spans="1:73" x14ac:dyDescent="0.25">
      <c r="A461" s="2" t="s">
        <v>100</v>
      </c>
      <c r="B461" s="4">
        <v>26</v>
      </c>
      <c r="C461" s="4">
        <v>2</v>
      </c>
      <c r="D461" s="4">
        <v>1</v>
      </c>
      <c r="E461" s="4">
        <v>1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2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2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</row>
    <row r="462" spans="1:73" x14ac:dyDescent="0.25">
      <c r="A462" s="2" t="s">
        <v>100</v>
      </c>
      <c r="B462" s="4">
        <v>26</v>
      </c>
      <c r="C462" s="4">
        <v>2</v>
      </c>
      <c r="D462" s="4">
        <v>1</v>
      </c>
      <c r="E462" s="4">
        <v>2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1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1</v>
      </c>
      <c r="BG462" s="3">
        <v>0</v>
      </c>
      <c r="BH462" s="3">
        <v>1</v>
      </c>
      <c r="BI462" s="3">
        <v>1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1</v>
      </c>
      <c r="BU462" s="3">
        <v>0</v>
      </c>
    </row>
    <row r="463" spans="1:73" x14ac:dyDescent="0.25">
      <c r="A463" s="2" t="s">
        <v>100</v>
      </c>
      <c r="B463" s="4">
        <v>26</v>
      </c>
      <c r="C463" s="4">
        <v>2</v>
      </c>
      <c r="D463" s="4">
        <v>1</v>
      </c>
      <c r="E463" s="4">
        <v>3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</row>
    <row r="464" spans="1:73" x14ac:dyDescent="0.25">
      <c r="A464" s="2" t="s">
        <v>100</v>
      </c>
      <c r="B464" s="4">
        <v>26</v>
      </c>
      <c r="C464" s="4">
        <v>2</v>
      </c>
      <c r="D464" s="4">
        <v>2</v>
      </c>
      <c r="E464" s="4">
        <v>1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1</v>
      </c>
      <c r="AI464" s="3">
        <v>0</v>
      </c>
      <c r="AJ464" s="3">
        <v>1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0</v>
      </c>
    </row>
    <row r="465" spans="1:73" x14ac:dyDescent="0.25">
      <c r="A465" s="2" t="s">
        <v>100</v>
      </c>
      <c r="B465" s="4">
        <v>26</v>
      </c>
      <c r="C465" s="4">
        <v>2</v>
      </c>
      <c r="D465" s="4">
        <v>2</v>
      </c>
      <c r="E465" s="4">
        <v>2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</row>
    <row r="466" spans="1:73" x14ac:dyDescent="0.25">
      <c r="A466" s="2" t="s">
        <v>100</v>
      </c>
      <c r="B466" s="4">
        <v>26</v>
      </c>
      <c r="C466" s="4">
        <v>2</v>
      </c>
      <c r="D466" s="4">
        <v>2</v>
      </c>
      <c r="E466" s="4">
        <v>3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1</v>
      </c>
      <c r="BQ466" s="3">
        <v>0</v>
      </c>
      <c r="BR466" s="3">
        <v>0</v>
      </c>
      <c r="BS466" s="3">
        <v>0</v>
      </c>
      <c r="BT466" s="3">
        <v>0</v>
      </c>
      <c r="BU466" s="3">
        <v>0</v>
      </c>
    </row>
    <row r="467" spans="1:73" x14ac:dyDescent="0.25">
      <c r="A467" s="2" t="s">
        <v>100</v>
      </c>
      <c r="B467" s="4">
        <v>26</v>
      </c>
      <c r="C467" s="4">
        <v>2</v>
      </c>
      <c r="D467" s="4">
        <v>3</v>
      </c>
      <c r="E467" s="4">
        <v>1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2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1</v>
      </c>
      <c r="BU467" s="3">
        <v>0</v>
      </c>
    </row>
    <row r="468" spans="1:73" x14ac:dyDescent="0.25">
      <c r="A468" s="2" t="s">
        <v>100</v>
      </c>
      <c r="B468" s="4">
        <v>26</v>
      </c>
      <c r="C468" s="4">
        <v>2</v>
      </c>
      <c r="D468" s="4">
        <v>3</v>
      </c>
      <c r="E468" s="4">
        <v>2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2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</row>
    <row r="469" spans="1:73" x14ac:dyDescent="0.25">
      <c r="A469" s="2" t="s">
        <v>100</v>
      </c>
      <c r="B469" s="4">
        <v>26</v>
      </c>
      <c r="C469" s="4">
        <v>2</v>
      </c>
      <c r="D469" s="4">
        <v>3</v>
      </c>
      <c r="E469" s="4">
        <v>3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1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</row>
    <row r="470" spans="1:73" x14ac:dyDescent="0.25">
      <c r="A470" s="2" t="s">
        <v>101</v>
      </c>
      <c r="B470" s="4">
        <v>27</v>
      </c>
      <c r="C470" s="4">
        <v>1</v>
      </c>
      <c r="D470" s="4">
        <v>1</v>
      </c>
      <c r="E470" s="4">
        <v>1</v>
      </c>
      <c r="F470" s="3">
        <v>0</v>
      </c>
      <c r="G470" s="3">
        <v>0</v>
      </c>
      <c r="H470" s="3">
        <v>0</v>
      </c>
      <c r="I470" s="3">
        <v>0</v>
      </c>
      <c r="J470" s="3">
        <v>1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1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3">
        <v>0</v>
      </c>
    </row>
    <row r="471" spans="1:73" x14ac:dyDescent="0.25">
      <c r="A471" s="2" t="s">
        <v>101</v>
      </c>
      <c r="B471" s="4">
        <v>27</v>
      </c>
      <c r="C471" s="4">
        <v>1</v>
      </c>
      <c r="D471" s="4">
        <v>1</v>
      </c>
      <c r="E471" s="4">
        <v>2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1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1</v>
      </c>
      <c r="BB471" s="3">
        <v>0</v>
      </c>
      <c r="BC471" s="3">
        <v>0</v>
      </c>
      <c r="BD471" s="3">
        <v>0</v>
      </c>
      <c r="BE471" s="3">
        <v>0</v>
      </c>
      <c r="BF471" s="3">
        <v>4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</row>
    <row r="472" spans="1:73" x14ac:dyDescent="0.25">
      <c r="A472" s="2" t="s">
        <v>101</v>
      </c>
      <c r="B472" s="4">
        <v>27</v>
      </c>
      <c r="C472" s="4">
        <v>1</v>
      </c>
      <c r="D472" s="4">
        <v>1</v>
      </c>
      <c r="E472" s="4">
        <v>3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3">
        <v>0</v>
      </c>
    </row>
    <row r="473" spans="1:73" x14ac:dyDescent="0.25">
      <c r="A473" s="2" t="s">
        <v>101</v>
      </c>
      <c r="B473" s="4">
        <v>27</v>
      </c>
      <c r="C473" s="4">
        <v>1</v>
      </c>
      <c r="D473" s="4">
        <v>2</v>
      </c>
      <c r="E473" s="4">
        <v>1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</row>
    <row r="474" spans="1:73" x14ac:dyDescent="0.25">
      <c r="A474" s="2" t="s">
        <v>101</v>
      </c>
      <c r="B474" s="4">
        <v>27</v>
      </c>
      <c r="C474" s="4">
        <v>1</v>
      </c>
      <c r="D474" s="4">
        <v>2</v>
      </c>
      <c r="E474" s="4">
        <v>2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0</v>
      </c>
      <c r="BU474" s="3">
        <v>0</v>
      </c>
    </row>
    <row r="475" spans="1:73" x14ac:dyDescent="0.25">
      <c r="A475" s="2" t="s">
        <v>101</v>
      </c>
      <c r="B475" s="4">
        <v>27</v>
      </c>
      <c r="C475" s="4">
        <v>1</v>
      </c>
      <c r="D475" s="4">
        <v>2</v>
      </c>
      <c r="E475" s="4">
        <v>3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1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1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</row>
    <row r="476" spans="1:73" x14ac:dyDescent="0.25">
      <c r="A476" s="2" t="s">
        <v>101</v>
      </c>
      <c r="B476" s="4">
        <v>27</v>
      </c>
      <c r="C476" s="4">
        <v>1</v>
      </c>
      <c r="D476" s="4">
        <v>3</v>
      </c>
      <c r="E476" s="4">
        <v>1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</row>
    <row r="477" spans="1:73" x14ac:dyDescent="0.25">
      <c r="A477" s="2" t="s">
        <v>101</v>
      </c>
      <c r="B477" s="4">
        <v>27</v>
      </c>
      <c r="C477" s="4">
        <v>1</v>
      </c>
      <c r="D477" s="4">
        <v>3</v>
      </c>
      <c r="E477" s="4">
        <v>2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1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</row>
    <row r="478" spans="1:73" x14ac:dyDescent="0.25">
      <c r="A478" s="2" t="s">
        <v>101</v>
      </c>
      <c r="B478" s="4">
        <v>27</v>
      </c>
      <c r="C478" s="4">
        <v>1</v>
      </c>
      <c r="D478" s="4">
        <v>3</v>
      </c>
      <c r="E478" s="4">
        <v>3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1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1</v>
      </c>
      <c r="BU478" s="3">
        <v>0</v>
      </c>
    </row>
    <row r="479" spans="1:73" x14ac:dyDescent="0.25">
      <c r="A479" s="2" t="s">
        <v>101</v>
      </c>
      <c r="B479" s="4">
        <v>27</v>
      </c>
      <c r="C479" s="4">
        <v>2</v>
      </c>
      <c r="D479" s="4">
        <v>1</v>
      </c>
      <c r="E479" s="4">
        <v>1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2</v>
      </c>
      <c r="BG479" s="3">
        <v>0</v>
      </c>
      <c r="BH479" s="3">
        <v>0</v>
      </c>
      <c r="BI479" s="3">
        <v>0</v>
      </c>
      <c r="BJ479" s="3">
        <v>1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</row>
    <row r="480" spans="1:73" x14ac:dyDescent="0.25">
      <c r="A480" s="2" t="s">
        <v>101</v>
      </c>
      <c r="B480" s="4">
        <v>27</v>
      </c>
      <c r="C480" s="4">
        <v>2</v>
      </c>
      <c r="D480" s="4">
        <v>1</v>
      </c>
      <c r="E480" s="4">
        <v>2</v>
      </c>
      <c r="F480" s="3">
        <v>0</v>
      </c>
      <c r="G480" s="3">
        <v>1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3</v>
      </c>
      <c r="BG480" s="3">
        <v>0</v>
      </c>
      <c r="BH480" s="3">
        <v>1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</row>
    <row r="481" spans="1:73" x14ac:dyDescent="0.25">
      <c r="A481" s="2" t="s">
        <v>101</v>
      </c>
      <c r="B481" s="4">
        <v>27</v>
      </c>
      <c r="C481" s="4">
        <v>2</v>
      </c>
      <c r="D481" s="4">
        <v>1</v>
      </c>
      <c r="E481" s="4">
        <v>3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1</v>
      </c>
      <c r="AI481" s="3">
        <v>0</v>
      </c>
      <c r="AJ481" s="3">
        <v>0</v>
      </c>
      <c r="AK481" s="3">
        <v>0</v>
      </c>
      <c r="AL481" s="3">
        <v>1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</row>
    <row r="482" spans="1:73" x14ac:dyDescent="0.25">
      <c r="A482" s="2" t="s">
        <v>101</v>
      </c>
      <c r="B482" s="4">
        <v>27</v>
      </c>
      <c r="C482" s="4">
        <v>2</v>
      </c>
      <c r="D482" s="4">
        <v>2</v>
      </c>
      <c r="E482" s="4">
        <v>1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1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</row>
    <row r="483" spans="1:73" x14ac:dyDescent="0.25">
      <c r="A483" s="2" t="s">
        <v>101</v>
      </c>
      <c r="B483" s="4">
        <v>27</v>
      </c>
      <c r="C483" s="4">
        <v>2</v>
      </c>
      <c r="D483" s="4">
        <v>2</v>
      </c>
      <c r="E483" s="4">
        <v>2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</row>
    <row r="484" spans="1:73" x14ac:dyDescent="0.25">
      <c r="A484" s="2" t="s">
        <v>101</v>
      </c>
      <c r="B484" s="4">
        <v>27</v>
      </c>
      <c r="C484" s="4">
        <v>2</v>
      </c>
      <c r="D484" s="4">
        <v>2</v>
      </c>
      <c r="E484" s="4">
        <v>3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0</v>
      </c>
      <c r="BU484" s="3">
        <v>0</v>
      </c>
    </row>
    <row r="485" spans="1:73" x14ac:dyDescent="0.25">
      <c r="A485" s="2" t="s">
        <v>101</v>
      </c>
      <c r="B485" s="4">
        <v>27</v>
      </c>
      <c r="C485" s="4">
        <v>2</v>
      </c>
      <c r="D485" s="4">
        <v>3</v>
      </c>
      <c r="E485" s="4">
        <v>1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1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</row>
    <row r="486" spans="1:73" x14ac:dyDescent="0.25">
      <c r="A486" s="2" t="s">
        <v>101</v>
      </c>
      <c r="B486" s="4">
        <v>27</v>
      </c>
      <c r="C486" s="4">
        <v>2</v>
      </c>
      <c r="D486" s="4">
        <v>3</v>
      </c>
      <c r="E486" s="4">
        <v>2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</row>
    <row r="487" spans="1:73" x14ac:dyDescent="0.25">
      <c r="A487" s="2" t="s">
        <v>101</v>
      </c>
      <c r="B487" s="4">
        <v>27</v>
      </c>
      <c r="C487" s="4">
        <v>2</v>
      </c>
      <c r="D487" s="4">
        <v>3</v>
      </c>
      <c r="E487" s="4">
        <v>3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1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1</v>
      </c>
      <c r="BQ487" s="3">
        <v>0</v>
      </c>
      <c r="BR487" s="3">
        <v>0</v>
      </c>
      <c r="BS487" s="3">
        <v>0</v>
      </c>
      <c r="BT487" s="3">
        <v>1</v>
      </c>
      <c r="BU487" s="3">
        <v>0</v>
      </c>
    </row>
    <row r="488" spans="1:73" x14ac:dyDescent="0.25">
      <c r="A488" s="2" t="s">
        <v>102</v>
      </c>
      <c r="B488" s="4">
        <v>28</v>
      </c>
      <c r="C488" s="4">
        <v>1</v>
      </c>
      <c r="D488" s="4">
        <v>1</v>
      </c>
      <c r="E488" s="4">
        <v>1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1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3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</row>
    <row r="489" spans="1:73" x14ac:dyDescent="0.25">
      <c r="A489" s="2" t="s">
        <v>102</v>
      </c>
      <c r="B489" s="4">
        <v>28</v>
      </c>
      <c r="C489" s="4">
        <v>1</v>
      </c>
      <c r="D489" s="4">
        <v>1</v>
      </c>
      <c r="E489" s="4">
        <v>2</v>
      </c>
      <c r="F489" s="3">
        <v>0</v>
      </c>
      <c r="G489" s="3">
        <v>0</v>
      </c>
      <c r="H489" s="3">
        <v>0</v>
      </c>
      <c r="I489" s="3">
        <v>0</v>
      </c>
      <c r="J489" s="3">
        <v>1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1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1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4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</row>
    <row r="490" spans="1:73" x14ac:dyDescent="0.25">
      <c r="A490" s="2" t="s">
        <v>102</v>
      </c>
      <c r="B490" s="4">
        <v>28</v>
      </c>
      <c r="C490" s="4">
        <v>1</v>
      </c>
      <c r="D490" s="4">
        <v>1</v>
      </c>
      <c r="E490" s="4">
        <v>3</v>
      </c>
      <c r="F490" s="3">
        <v>1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1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3">
        <v>0</v>
      </c>
      <c r="BS490" s="3">
        <v>0</v>
      </c>
      <c r="BT490" s="3">
        <v>0</v>
      </c>
      <c r="BU490" s="3">
        <v>0</v>
      </c>
    </row>
    <row r="491" spans="1:73" x14ac:dyDescent="0.25">
      <c r="A491" s="2" t="s">
        <v>102</v>
      </c>
      <c r="B491" s="4">
        <v>28</v>
      </c>
      <c r="C491" s="4">
        <v>1</v>
      </c>
      <c r="D491" s="4">
        <v>2</v>
      </c>
      <c r="E491" s="4">
        <v>1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</row>
    <row r="492" spans="1:73" x14ac:dyDescent="0.25">
      <c r="A492" s="2" t="s">
        <v>102</v>
      </c>
      <c r="B492" s="4">
        <v>28</v>
      </c>
      <c r="C492" s="4">
        <v>1</v>
      </c>
      <c r="D492" s="4">
        <v>2</v>
      </c>
      <c r="E492" s="4">
        <v>2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1</v>
      </c>
      <c r="BL492" s="3">
        <v>0</v>
      </c>
      <c r="BM492" s="3">
        <v>0</v>
      </c>
      <c r="BN492" s="3">
        <v>0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0</v>
      </c>
      <c r="BU492" s="3">
        <v>1</v>
      </c>
    </row>
    <row r="493" spans="1:73" x14ac:dyDescent="0.25">
      <c r="A493" s="2" t="s">
        <v>102</v>
      </c>
      <c r="B493" s="4">
        <v>28</v>
      </c>
      <c r="C493" s="4">
        <v>1</v>
      </c>
      <c r="D493" s="4">
        <v>2</v>
      </c>
      <c r="E493" s="4">
        <v>3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</row>
    <row r="494" spans="1:73" x14ac:dyDescent="0.25">
      <c r="A494" s="2" t="s">
        <v>102</v>
      </c>
      <c r="B494" s="4">
        <v>28</v>
      </c>
      <c r="C494" s="4">
        <v>1</v>
      </c>
      <c r="D494" s="4">
        <v>3</v>
      </c>
      <c r="E494" s="4">
        <v>1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0</v>
      </c>
      <c r="BS494" s="3">
        <v>0</v>
      </c>
      <c r="BT494" s="3">
        <v>0</v>
      </c>
      <c r="BU494" s="3">
        <v>0</v>
      </c>
    </row>
    <row r="495" spans="1:73" x14ac:dyDescent="0.25">
      <c r="A495" s="2" t="s">
        <v>102</v>
      </c>
      <c r="B495" s="4">
        <v>28</v>
      </c>
      <c r="C495" s="4">
        <v>1</v>
      </c>
      <c r="D495" s="4">
        <v>3</v>
      </c>
      <c r="E495" s="4">
        <v>2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</row>
    <row r="496" spans="1:73" x14ac:dyDescent="0.25">
      <c r="A496" s="2" t="s">
        <v>102</v>
      </c>
      <c r="B496" s="4">
        <v>28</v>
      </c>
      <c r="C496" s="4">
        <v>1</v>
      </c>
      <c r="D496" s="4">
        <v>3</v>
      </c>
      <c r="E496" s="4">
        <v>3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</row>
    <row r="497" spans="1:73" x14ac:dyDescent="0.25">
      <c r="A497" s="2" t="s">
        <v>102</v>
      </c>
      <c r="B497" s="4">
        <v>28</v>
      </c>
      <c r="C497" s="4">
        <v>2</v>
      </c>
      <c r="D497" s="4">
        <v>1</v>
      </c>
      <c r="E497" s="4">
        <v>1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</row>
    <row r="498" spans="1:73" x14ac:dyDescent="0.25">
      <c r="A498" s="2" t="s">
        <v>102</v>
      </c>
      <c r="B498" s="4">
        <v>28</v>
      </c>
      <c r="C498" s="4">
        <v>2</v>
      </c>
      <c r="D498" s="4">
        <v>1</v>
      </c>
      <c r="E498" s="4">
        <v>2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1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1</v>
      </c>
      <c r="BG498" s="3">
        <v>0</v>
      </c>
      <c r="BH498" s="3">
        <v>0</v>
      </c>
      <c r="BI498" s="3">
        <v>0</v>
      </c>
      <c r="BJ498" s="3">
        <v>2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</row>
    <row r="499" spans="1:73" x14ac:dyDescent="0.25">
      <c r="A499" s="2" t="s">
        <v>102</v>
      </c>
      <c r="B499" s="4">
        <v>28</v>
      </c>
      <c r="C499" s="4">
        <v>2</v>
      </c>
      <c r="D499" s="4">
        <v>1</v>
      </c>
      <c r="E499" s="4">
        <v>3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1</v>
      </c>
      <c r="AJ499" s="3">
        <v>0</v>
      </c>
      <c r="AK499" s="3">
        <v>0</v>
      </c>
      <c r="AL499" s="3">
        <v>1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</row>
    <row r="500" spans="1:73" x14ac:dyDescent="0.25">
      <c r="A500" s="2" t="s">
        <v>102</v>
      </c>
      <c r="B500" s="4">
        <v>28</v>
      </c>
      <c r="C500" s="4">
        <v>2</v>
      </c>
      <c r="D500" s="4">
        <v>2</v>
      </c>
      <c r="E500" s="4">
        <v>1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0</v>
      </c>
      <c r="BS500" s="3">
        <v>0</v>
      </c>
      <c r="BT500" s="3">
        <v>0</v>
      </c>
      <c r="BU500" s="3">
        <v>0</v>
      </c>
    </row>
    <row r="501" spans="1:73" x14ac:dyDescent="0.25">
      <c r="A501" s="2" t="s">
        <v>102</v>
      </c>
      <c r="B501" s="4">
        <v>28</v>
      </c>
      <c r="C501" s="4">
        <v>2</v>
      </c>
      <c r="D501" s="4">
        <v>2</v>
      </c>
      <c r="E501" s="4">
        <v>2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</row>
    <row r="502" spans="1:73" x14ac:dyDescent="0.25">
      <c r="A502" s="2" t="s">
        <v>102</v>
      </c>
      <c r="B502" s="4">
        <v>28</v>
      </c>
      <c r="C502" s="4">
        <v>2</v>
      </c>
      <c r="D502" s="4">
        <v>2</v>
      </c>
      <c r="E502" s="4">
        <v>3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1</v>
      </c>
      <c r="BG502" s="3">
        <v>0</v>
      </c>
      <c r="BH502" s="3">
        <v>1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</row>
    <row r="503" spans="1:73" x14ac:dyDescent="0.25">
      <c r="A503" s="2" t="s">
        <v>102</v>
      </c>
      <c r="B503" s="4">
        <v>28</v>
      </c>
      <c r="C503" s="4">
        <v>2</v>
      </c>
      <c r="D503" s="4">
        <v>3</v>
      </c>
      <c r="E503" s="4">
        <v>1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1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3">
        <v>0</v>
      </c>
    </row>
    <row r="504" spans="1:73" x14ac:dyDescent="0.25">
      <c r="A504" s="2" t="s">
        <v>102</v>
      </c>
      <c r="B504" s="4">
        <v>28</v>
      </c>
      <c r="C504" s="4">
        <v>2</v>
      </c>
      <c r="D504" s="4">
        <v>3</v>
      </c>
      <c r="E504" s="4">
        <v>2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0</v>
      </c>
      <c r="BT504" s="3">
        <v>0</v>
      </c>
      <c r="BU504" s="3">
        <v>0</v>
      </c>
    </row>
    <row r="505" spans="1:73" x14ac:dyDescent="0.25">
      <c r="A505" s="2" t="s">
        <v>102</v>
      </c>
      <c r="B505" s="4">
        <v>28</v>
      </c>
      <c r="C505" s="4">
        <v>2</v>
      </c>
      <c r="D505" s="4">
        <v>3</v>
      </c>
      <c r="E505" s="4">
        <v>3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</row>
    <row r="506" spans="1:73" x14ac:dyDescent="0.25">
      <c r="A506" s="2" t="s">
        <v>103</v>
      </c>
      <c r="B506" s="4">
        <v>29</v>
      </c>
      <c r="C506" s="4">
        <v>1</v>
      </c>
      <c r="D506" s="4">
        <v>1</v>
      </c>
      <c r="E506" s="4">
        <v>1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3">
        <v>0</v>
      </c>
      <c r="BS506" s="3">
        <v>0</v>
      </c>
      <c r="BT506" s="3">
        <v>0</v>
      </c>
      <c r="BU506" s="3">
        <v>0</v>
      </c>
    </row>
    <row r="507" spans="1:73" x14ac:dyDescent="0.25">
      <c r="A507" s="2" t="s">
        <v>103</v>
      </c>
      <c r="B507" s="4">
        <v>29</v>
      </c>
      <c r="C507" s="4">
        <v>1</v>
      </c>
      <c r="D507" s="4">
        <v>1</v>
      </c>
      <c r="E507" s="4">
        <v>2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1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1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1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>
        <v>0</v>
      </c>
      <c r="BU507" s="3">
        <v>0</v>
      </c>
    </row>
    <row r="508" spans="1:73" x14ac:dyDescent="0.25">
      <c r="A508" s="2" t="s">
        <v>103</v>
      </c>
      <c r="B508" s="4">
        <v>29</v>
      </c>
      <c r="C508" s="4">
        <v>1</v>
      </c>
      <c r="D508" s="4">
        <v>1</v>
      </c>
      <c r="E508" s="4">
        <v>3</v>
      </c>
      <c r="F508" s="3">
        <v>0</v>
      </c>
      <c r="G508" s="3">
        <v>0</v>
      </c>
      <c r="H508" s="3">
        <v>0</v>
      </c>
      <c r="I508" s="3">
        <v>0</v>
      </c>
      <c r="J508" s="3">
        <v>2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1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1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2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3">
        <v>0</v>
      </c>
      <c r="BQ508" s="3">
        <v>0</v>
      </c>
      <c r="BR508" s="3">
        <v>0</v>
      </c>
      <c r="BS508" s="3">
        <v>0</v>
      </c>
      <c r="BT508" s="3">
        <v>1</v>
      </c>
      <c r="BU508" s="3">
        <v>0</v>
      </c>
    </row>
    <row r="509" spans="1:73" x14ac:dyDescent="0.25">
      <c r="A509" s="2" t="s">
        <v>103</v>
      </c>
      <c r="B509" s="4">
        <v>29</v>
      </c>
      <c r="C509" s="4">
        <v>1</v>
      </c>
      <c r="D509" s="4">
        <v>2</v>
      </c>
      <c r="E509" s="4">
        <v>1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</row>
    <row r="510" spans="1:73" x14ac:dyDescent="0.25">
      <c r="A510" s="2" t="s">
        <v>103</v>
      </c>
      <c r="B510" s="4">
        <v>29</v>
      </c>
      <c r="C510" s="4">
        <v>1</v>
      </c>
      <c r="D510" s="4">
        <v>2</v>
      </c>
      <c r="E510" s="4">
        <v>2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3">
        <v>0</v>
      </c>
    </row>
    <row r="511" spans="1:73" x14ac:dyDescent="0.25">
      <c r="A511" s="2" t="s">
        <v>103</v>
      </c>
      <c r="B511" s="4">
        <v>29</v>
      </c>
      <c r="C511" s="4">
        <v>1</v>
      </c>
      <c r="D511" s="4">
        <v>2</v>
      </c>
      <c r="E511" s="4">
        <v>3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1</v>
      </c>
      <c r="BU511" s="3">
        <v>0</v>
      </c>
    </row>
    <row r="512" spans="1:73" x14ac:dyDescent="0.25">
      <c r="A512" s="2" t="s">
        <v>103</v>
      </c>
      <c r="B512" s="4">
        <v>29</v>
      </c>
      <c r="C512" s="4">
        <v>1</v>
      </c>
      <c r="D512" s="4">
        <v>3</v>
      </c>
      <c r="E512" s="4">
        <v>1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0</v>
      </c>
      <c r="BU512" s="3">
        <v>0</v>
      </c>
    </row>
    <row r="513" spans="1:73" x14ac:dyDescent="0.25">
      <c r="A513" s="2" t="s">
        <v>103</v>
      </c>
      <c r="B513" s="4">
        <v>29</v>
      </c>
      <c r="C513" s="4">
        <v>1</v>
      </c>
      <c r="D513" s="4">
        <v>3</v>
      </c>
      <c r="E513" s="4">
        <v>2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1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3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1</v>
      </c>
      <c r="BJ513" s="3">
        <v>1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</row>
    <row r="514" spans="1:73" x14ac:dyDescent="0.25">
      <c r="A514" s="2" t="s">
        <v>103</v>
      </c>
      <c r="B514" s="4">
        <v>29</v>
      </c>
      <c r="C514" s="4">
        <v>1</v>
      </c>
      <c r="D514" s="4">
        <v>3</v>
      </c>
      <c r="E514" s="4">
        <v>3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</row>
    <row r="515" spans="1:73" x14ac:dyDescent="0.25">
      <c r="A515" s="2" t="s">
        <v>103</v>
      </c>
      <c r="B515" s="4">
        <v>29</v>
      </c>
      <c r="C515" s="4">
        <v>2</v>
      </c>
      <c r="D515" s="4">
        <v>1</v>
      </c>
      <c r="E515" s="4">
        <v>1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1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1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2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1</v>
      </c>
      <c r="BU515" s="3">
        <v>0</v>
      </c>
    </row>
    <row r="516" spans="1:73" x14ac:dyDescent="0.25">
      <c r="A516" s="2" t="s">
        <v>103</v>
      </c>
      <c r="B516" s="4">
        <v>29</v>
      </c>
      <c r="C516" s="4">
        <v>2</v>
      </c>
      <c r="D516" s="4">
        <v>1</v>
      </c>
      <c r="E516" s="4">
        <v>2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1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2</v>
      </c>
      <c r="BG516" s="3">
        <v>0</v>
      </c>
      <c r="BH516" s="3">
        <v>0</v>
      </c>
      <c r="BI516" s="3">
        <v>1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1</v>
      </c>
      <c r="BQ516" s="3">
        <v>0</v>
      </c>
      <c r="BR516" s="3">
        <v>0</v>
      </c>
      <c r="BS516" s="3">
        <v>0</v>
      </c>
      <c r="BT516" s="3">
        <v>1</v>
      </c>
      <c r="BU516" s="3">
        <v>0</v>
      </c>
    </row>
    <row r="517" spans="1:73" x14ac:dyDescent="0.25">
      <c r="A517" s="2" t="s">
        <v>103</v>
      </c>
      <c r="B517" s="4">
        <v>29</v>
      </c>
      <c r="C517" s="4">
        <v>2</v>
      </c>
      <c r="D517" s="4">
        <v>1</v>
      </c>
      <c r="E517" s="4">
        <v>3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3">
        <v>0</v>
      </c>
    </row>
    <row r="518" spans="1:73" x14ac:dyDescent="0.25">
      <c r="A518" s="2" t="s">
        <v>103</v>
      </c>
      <c r="B518" s="4">
        <v>29</v>
      </c>
      <c r="C518" s="4">
        <v>2</v>
      </c>
      <c r="D518" s="4">
        <v>2</v>
      </c>
      <c r="E518" s="4">
        <v>1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0</v>
      </c>
      <c r="BN518" s="3">
        <v>0</v>
      </c>
      <c r="BO518" s="3">
        <v>0</v>
      </c>
      <c r="BP518" s="3">
        <v>0</v>
      </c>
      <c r="BQ518" s="3">
        <v>0</v>
      </c>
      <c r="BR518" s="3">
        <v>0</v>
      </c>
      <c r="BS518" s="3">
        <v>0</v>
      </c>
      <c r="BT518" s="3">
        <v>0</v>
      </c>
      <c r="BU518" s="3">
        <v>0</v>
      </c>
    </row>
    <row r="519" spans="1:73" x14ac:dyDescent="0.25">
      <c r="A519" s="2" t="s">
        <v>103</v>
      </c>
      <c r="B519" s="4">
        <v>29</v>
      </c>
      <c r="C519" s="4">
        <v>2</v>
      </c>
      <c r="D519" s="4">
        <v>2</v>
      </c>
      <c r="E519" s="4">
        <v>2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</row>
    <row r="520" spans="1:73" x14ac:dyDescent="0.25">
      <c r="A520" s="2" t="s">
        <v>103</v>
      </c>
      <c r="B520" s="4">
        <v>29</v>
      </c>
      <c r="C520" s="4">
        <v>2</v>
      </c>
      <c r="D520" s="4">
        <v>2</v>
      </c>
      <c r="E520" s="4">
        <v>3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0</v>
      </c>
      <c r="BR520" s="3">
        <v>0</v>
      </c>
      <c r="BS520" s="3">
        <v>0</v>
      </c>
      <c r="BT520" s="3">
        <v>0</v>
      </c>
      <c r="BU520" s="3">
        <v>0</v>
      </c>
    </row>
    <row r="521" spans="1:73" x14ac:dyDescent="0.25">
      <c r="A521" s="2" t="s">
        <v>103</v>
      </c>
      <c r="B521" s="4">
        <v>29</v>
      </c>
      <c r="C521" s="4">
        <v>2</v>
      </c>
      <c r="D521" s="4">
        <v>3</v>
      </c>
      <c r="E521" s="4">
        <v>1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</row>
    <row r="522" spans="1:73" x14ac:dyDescent="0.25">
      <c r="A522" s="2" t="s">
        <v>103</v>
      </c>
      <c r="B522" s="4">
        <v>29</v>
      </c>
      <c r="C522" s="4">
        <v>2</v>
      </c>
      <c r="D522" s="4">
        <v>3</v>
      </c>
      <c r="E522" s="4">
        <v>2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1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0</v>
      </c>
    </row>
    <row r="523" spans="1:73" x14ac:dyDescent="0.25">
      <c r="A523" s="2" t="s">
        <v>103</v>
      </c>
      <c r="B523" s="4">
        <v>29</v>
      </c>
      <c r="C523" s="4">
        <v>2</v>
      </c>
      <c r="D523" s="4">
        <v>3</v>
      </c>
      <c r="E523" s="4">
        <v>3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</v>
      </c>
      <c r="BU523" s="3">
        <v>0</v>
      </c>
    </row>
    <row r="524" spans="1:73" x14ac:dyDescent="0.25">
      <c r="A524" s="2" t="s">
        <v>104</v>
      </c>
      <c r="B524" s="4">
        <v>30</v>
      </c>
      <c r="C524" s="4">
        <v>1</v>
      </c>
      <c r="D524" s="4">
        <v>1</v>
      </c>
      <c r="E524" s="4">
        <v>1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1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1</v>
      </c>
      <c r="BG524" s="3">
        <v>0</v>
      </c>
      <c r="BH524" s="3">
        <v>0</v>
      </c>
      <c r="BI524" s="3">
        <v>1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  <c r="BT524" s="3">
        <v>1</v>
      </c>
      <c r="BU524" s="3">
        <v>0</v>
      </c>
    </row>
    <row r="525" spans="1:73" x14ac:dyDescent="0.25">
      <c r="A525" s="2" t="s">
        <v>104</v>
      </c>
      <c r="B525" s="4">
        <v>30</v>
      </c>
      <c r="C525" s="4">
        <v>1</v>
      </c>
      <c r="D525" s="4">
        <v>1</v>
      </c>
      <c r="E525" s="4">
        <v>2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1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1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</row>
    <row r="526" spans="1:73" x14ac:dyDescent="0.25">
      <c r="A526" s="2" t="s">
        <v>104</v>
      </c>
      <c r="B526" s="4">
        <v>30</v>
      </c>
      <c r="C526" s="4">
        <v>1</v>
      </c>
      <c r="D526" s="4">
        <v>1</v>
      </c>
      <c r="E526" s="4">
        <v>3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1</v>
      </c>
      <c r="AA526" s="3">
        <v>0</v>
      </c>
      <c r="AB526" s="3">
        <v>1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1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3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3">
        <v>0</v>
      </c>
      <c r="BS526" s="3">
        <v>0</v>
      </c>
      <c r="BT526" s="3">
        <v>0</v>
      </c>
      <c r="BU526" s="3">
        <v>0</v>
      </c>
    </row>
    <row r="527" spans="1:73" x14ac:dyDescent="0.25">
      <c r="A527" s="2" t="s">
        <v>104</v>
      </c>
      <c r="B527" s="4">
        <v>30</v>
      </c>
      <c r="C527" s="4">
        <v>1</v>
      </c>
      <c r="D527" s="4">
        <v>2</v>
      </c>
      <c r="E527" s="4">
        <v>1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</row>
    <row r="528" spans="1:73" x14ac:dyDescent="0.25">
      <c r="A528" s="2" t="s">
        <v>104</v>
      </c>
      <c r="B528" s="4">
        <v>30</v>
      </c>
      <c r="C528" s="4">
        <v>1</v>
      </c>
      <c r="D528" s="4">
        <v>2</v>
      </c>
      <c r="E528" s="4">
        <v>2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1</v>
      </c>
      <c r="BJ528" s="3">
        <v>1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3">
        <v>0</v>
      </c>
      <c r="BS528" s="3">
        <v>0</v>
      </c>
      <c r="BT528" s="3">
        <v>0</v>
      </c>
      <c r="BU528" s="3">
        <v>0</v>
      </c>
    </row>
    <row r="529" spans="1:73" x14ac:dyDescent="0.25">
      <c r="A529" s="2" t="s">
        <v>104</v>
      </c>
      <c r="B529" s="4">
        <v>30</v>
      </c>
      <c r="C529" s="4">
        <v>1</v>
      </c>
      <c r="D529" s="4">
        <v>2</v>
      </c>
      <c r="E529" s="4">
        <v>3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1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3">
        <v>1</v>
      </c>
      <c r="BU529" s="3">
        <v>0</v>
      </c>
    </row>
    <row r="530" spans="1:73" x14ac:dyDescent="0.25">
      <c r="A530" s="2" t="s">
        <v>104</v>
      </c>
      <c r="B530" s="4">
        <v>30</v>
      </c>
      <c r="C530" s="4">
        <v>1</v>
      </c>
      <c r="D530" s="4">
        <v>3</v>
      </c>
      <c r="E530" s="4">
        <v>1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3">
        <v>0</v>
      </c>
      <c r="BS530" s="3">
        <v>0</v>
      </c>
      <c r="BT530" s="3">
        <v>0</v>
      </c>
      <c r="BU530" s="3">
        <v>0</v>
      </c>
    </row>
    <row r="531" spans="1:73" x14ac:dyDescent="0.25">
      <c r="A531" s="2" t="s">
        <v>104</v>
      </c>
      <c r="B531" s="4">
        <v>30</v>
      </c>
      <c r="C531" s="4">
        <v>1</v>
      </c>
      <c r="D531" s="4">
        <v>3</v>
      </c>
      <c r="E531" s="4">
        <v>2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</row>
    <row r="532" spans="1:73" x14ac:dyDescent="0.25">
      <c r="A532" s="2" t="s">
        <v>104</v>
      </c>
      <c r="B532" s="4">
        <v>30</v>
      </c>
      <c r="C532" s="4">
        <v>1</v>
      </c>
      <c r="D532" s="4">
        <v>3</v>
      </c>
      <c r="E532" s="4">
        <v>3</v>
      </c>
      <c r="F532" s="3">
        <v>0</v>
      </c>
      <c r="G532" s="3">
        <v>0</v>
      </c>
      <c r="H532" s="3">
        <v>0</v>
      </c>
      <c r="I532" s="3">
        <v>0</v>
      </c>
      <c r="J532" s="3">
        <v>1</v>
      </c>
      <c r="K532" s="3">
        <v>1</v>
      </c>
      <c r="L532" s="3">
        <v>0</v>
      </c>
      <c r="M532" s="3">
        <v>0</v>
      </c>
      <c r="N532" s="3">
        <v>0</v>
      </c>
      <c r="O532" s="3">
        <v>1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0</v>
      </c>
      <c r="BT532" s="3">
        <v>0</v>
      </c>
      <c r="BU532" s="3">
        <v>0</v>
      </c>
    </row>
    <row r="533" spans="1:73" x14ac:dyDescent="0.25">
      <c r="A533" s="2" t="s">
        <v>104</v>
      </c>
      <c r="B533" s="4">
        <v>30</v>
      </c>
      <c r="C533" s="4">
        <v>2</v>
      </c>
      <c r="D533" s="4">
        <v>1</v>
      </c>
      <c r="E533" s="4">
        <v>1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2</v>
      </c>
      <c r="BI533" s="3">
        <v>1</v>
      </c>
      <c r="BJ533" s="3">
        <v>2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1</v>
      </c>
      <c r="BQ533" s="3">
        <v>0</v>
      </c>
      <c r="BR533" s="3">
        <v>0</v>
      </c>
      <c r="BS533" s="3">
        <v>0</v>
      </c>
      <c r="BT533" s="3">
        <v>2</v>
      </c>
      <c r="BU533" s="3">
        <v>0</v>
      </c>
    </row>
    <row r="534" spans="1:73" x14ac:dyDescent="0.25">
      <c r="A534" s="2" t="s">
        <v>104</v>
      </c>
      <c r="B534" s="4">
        <v>30</v>
      </c>
      <c r="C534" s="4">
        <v>2</v>
      </c>
      <c r="D534" s="4">
        <v>1</v>
      </c>
      <c r="E534" s="4">
        <v>2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2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1</v>
      </c>
      <c r="BU534" s="3">
        <v>0</v>
      </c>
    </row>
    <row r="535" spans="1:73" x14ac:dyDescent="0.25">
      <c r="A535" s="2" t="s">
        <v>104</v>
      </c>
      <c r="B535" s="4">
        <v>30</v>
      </c>
      <c r="C535" s="4">
        <v>2</v>
      </c>
      <c r="D535" s="4">
        <v>1</v>
      </c>
      <c r="E535" s="4">
        <v>3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0</v>
      </c>
    </row>
    <row r="536" spans="1:73" x14ac:dyDescent="0.25">
      <c r="A536" s="2" t="s">
        <v>104</v>
      </c>
      <c r="B536" s="4">
        <v>30</v>
      </c>
      <c r="C536" s="4">
        <v>2</v>
      </c>
      <c r="D536" s="4">
        <v>2</v>
      </c>
      <c r="E536" s="4">
        <v>1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1</v>
      </c>
      <c r="BU536" s="3">
        <v>0</v>
      </c>
    </row>
    <row r="537" spans="1:73" x14ac:dyDescent="0.25">
      <c r="A537" s="2" t="s">
        <v>104</v>
      </c>
      <c r="B537" s="4">
        <v>30</v>
      </c>
      <c r="C537" s="4">
        <v>2</v>
      </c>
      <c r="D537" s="4">
        <v>2</v>
      </c>
      <c r="E537" s="4">
        <v>2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1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1</v>
      </c>
      <c r="BG537" s="3">
        <v>0</v>
      </c>
      <c r="BH537" s="3">
        <v>0</v>
      </c>
      <c r="BI537" s="3">
        <v>1</v>
      </c>
      <c r="BJ537" s="3">
        <v>0</v>
      </c>
      <c r="BK537" s="3">
        <v>0</v>
      </c>
      <c r="BL537" s="3">
        <v>0</v>
      </c>
      <c r="BM537" s="3">
        <v>1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3">
        <v>0</v>
      </c>
    </row>
    <row r="538" spans="1:73" x14ac:dyDescent="0.25">
      <c r="A538" s="2" t="s">
        <v>104</v>
      </c>
      <c r="B538" s="4">
        <v>30</v>
      </c>
      <c r="C538" s="4">
        <v>2</v>
      </c>
      <c r="D538" s="4">
        <v>2</v>
      </c>
      <c r="E538" s="4">
        <v>3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</row>
    <row r="539" spans="1:73" x14ac:dyDescent="0.25">
      <c r="A539" s="2" t="s">
        <v>104</v>
      </c>
      <c r="B539" s="4">
        <v>30</v>
      </c>
      <c r="C539" s="4">
        <v>2</v>
      </c>
      <c r="D539" s="4">
        <v>3</v>
      </c>
      <c r="E539" s="4">
        <v>1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</row>
    <row r="540" spans="1:73" x14ac:dyDescent="0.25">
      <c r="A540" s="2" t="s">
        <v>104</v>
      </c>
      <c r="B540" s="4">
        <v>30</v>
      </c>
      <c r="C540" s="4">
        <v>2</v>
      </c>
      <c r="D540" s="4">
        <v>3</v>
      </c>
      <c r="E540" s="4">
        <v>2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2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0</v>
      </c>
      <c r="BU540" s="3">
        <v>0</v>
      </c>
    </row>
    <row r="541" spans="1:73" x14ac:dyDescent="0.25">
      <c r="A541" s="2" t="s">
        <v>104</v>
      </c>
      <c r="B541" s="4">
        <v>30</v>
      </c>
      <c r="C541" s="4">
        <v>2</v>
      </c>
      <c r="D541" s="4">
        <v>3</v>
      </c>
      <c r="E541" s="4">
        <v>3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</row>
    <row r="542" spans="1:73" x14ac:dyDescent="0.25">
      <c r="A542" s="2" t="s">
        <v>105</v>
      </c>
      <c r="B542" s="4">
        <v>31</v>
      </c>
      <c r="C542" s="4">
        <v>1</v>
      </c>
      <c r="D542" s="4">
        <v>1</v>
      </c>
      <c r="E542" s="4">
        <v>1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3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0</v>
      </c>
      <c r="BP542" s="3">
        <v>0</v>
      </c>
      <c r="BQ542" s="3">
        <v>0</v>
      </c>
      <c r="BR542" s="3">
        <v>0</v>
      </c>
      <c r="BS542" s="3">
        <v>0</v>
      </c>
      <c r="BT542" s="3">
        <v>0</v>
      </c>
      <c r="BU542" s="3">
        <v>0</v>
      </c>
    </row>
    <row r="543" spans="1:73" x14ac:dyDescent="0.25">
      <c r="A543" s="2" t="s">
        <v>105</v>
      </c>
      <c r="B543" s="4">
        <v>31</v>
      </c>
      <c r="C543" s="4">
        <v>1</v>
      </c>
      <c r="D543" s="4">
        <v>1</v>
      </c>
      <c r="E543" s="4">
        <v>2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1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2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</row>
    <row r="544" spans="1:73" x14ac:dyDescent="0.25">
      <c r="A544" s="2" t="s">
        <v>105</v>
      </c>
      <c r="B544" s="4">
        <v>31</v>
      </c>
      <c r="C544" s="4">
        <v>1</v>
      </c>
      <c r="D544" s="4">
        <v>1</v>
      </c>
      <c r="E544" s="4">
        <v>3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1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3</v>
      </c>
      <c r="BG544" s="3">
        <v>0</v>
      </c>
      <c r="BH544" s="3">
        <v>1</v>
      </c>
      <c r="BI544" s="3">
        <v>1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1</v>
      </c>
      <c r="BU544" s="3">
        <v>0</v>
      </c>
    </row>
    <row r="545" spans="1:73" x14ac:dyDescent="0.25">
      <c r="A545" s="2" t="s">
        <v>105</v>
      </c>
      <c r="B545" s="4">
        <v>31</v>
      </c>
      <c r="C545" s="4">
        <v>1</v>
      </c>
      <c r="D545" s="4">
        <v>2</v>
      </c>
      <c r="E545" s="4">
        <v>1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</row>
    <row r="546" spans="1:73" x14ac:dyDescent="0.25">
      <c r="A546" s="2" t="s">
        <v>105</v>
      </c>
      <c r="B546" s="4">
        <v>31</v>
      </c>
      <c r="C546" s="4">
        <v>1</v>
      </c>
      <c r="D546" s="4">
        <v>2</v>
      </c>
      <c r="E546" s="4">
        <v>2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2</v>
      </c>
      <c r="BJ546" s="3">
        <v>3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0</v>
      </c>
      <c r="BS546" s="3">
        <v>0</v>
      </c>
      <c r="BT546" s="3">
        <v>0</v>
      </c>
      <c r="BU546" s="3">
        <v>0</v>
      </c>
    </row>
    <row r="547" spans="1:73" x14ac:dyDescent="0.25">
      <c r="A547" s="2" t="s">
        <v>105</v>
      </c>
      <c r="B547" s="4">
        <v>31</v>
      </c>
      <c r="C547" s="4">
        <v>1</v>
      </c>
      <c r="D547" s="4">
        <v>2</v>
      </c>
      <c r="E547" s="4">
        <v>3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</row>
    <row r="548" spans="1:73" x14ac:dyDescent="0.25">
      <c r="A548" s="2" t="s">
        <v>105</v>
      </c>
      <c r="B548" s="4">
        <v>31</v>
      </c>
      <c r="C548" s="4">
        <v>1</v>
      </c>
      <c r="D548" s="4">
        <v>3</v>
      </c>
      <c r="E548" s="4">
        <v>1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0</v>
      </c>
    </row>
    <row r="549" spans="1:73" x14ac:dyDescent="0.25">
      <c r="A549" s="2" t="s">
        <v>105</v>
      </c>
      <c r="B549" s="4">
        <v>31</v>
      </c>
      <c r="C549" s="4">
        <v>1</v>
      </c>
      <c r="D549" s="4">
        <v>3</v>
      </c>
      <c r="E549" s="4">
        <v>2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1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1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0</v>
      </c>
      <c r="BU549" s="3">
        <v>0</v>
      </c>
    </row>
    <row r="550" spans="1:73" x14ac:dyDescent="0.25">
      <c r="A550" s="2" t="s">
        <v>105</v>
      </c>
      <c r="B550" s="4">
        <v>31</v>
      </c>
      <c r="C550" s="4">
        <v>1</v>
      </c>
      <c r="D550" s="4">
        <v>3</v>
      </c>
      <c r="E550" s="4">
        <v>3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1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3">
        <v>0</v>
      </c>
      <c r="BS550" s="3">
        <v>0</v>
      </c>
      <c r="BT550" s="3">
        <v>0</v>
      </c>
      <c r="BU550" s="3">
        <v>0</v>
      </c>
    </row>
    <row r="551" spans="1:73" x14ac:dyDescent="0.25">
      <c r="A551" s="2" t="s">
        <v>105</v>
      </c>
      <c r="B551" s="4">
        <v>31</v>
      </c>
      <c r="C551" s="4">
        <v>2</v>
      </c>
      <c r="D551" s="4">
        <v>1</v>
      </c>
      <c r="E551" s="4">
        <v>1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2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1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2</v>
      </c>
      <c r="BG551" s="3">
        <v>0</v>
      </c>
      <c r="BH551" s="3">
        <v>1</v>
      </c>
      <c r="BI551" s="3">
        <v>1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</row>
    <row r="552" spans="1:73" x14ac:dyDescent="0.25">
      <c r="A552" s="2" t="s">
        <v>105</v>
      </c>
      <c r="B552" s="4">
        <v>31</v>
      </c>
      <c r="C552" s="4">
        <v>2</v>
      </c>
      <c r="D552" s="4">
        <v>1</v>
      </c>
      <c r="E552" s="4">
        <v>2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1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1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1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1</v>
      </c>
      <c r="BQ552" s="3">
        <v>0</v>
      </c>
      <c r="BR552" s="3">
        <v>0</v>
      </c>
      <c r="BS552" s="3">
        <v>0</v>
      </c>
      <c r="BT552" s="3">
        <v>0</v>
      </c>
      <c r="BU552" s="3">
        <v>0</v>
      </c>
    </row>
    <row r="553" spans="1:73" x14ac:dyDescent="0.25">
      <c r="A553" s="2" t="s">
        <v>105</v>
      </c>
      <c r="B553" s="4">
        <v>31</v>
      </c>
      <c r="C553" s="4">
        <v>2</v>
      </c>
      <c r="D553" s="4">
        <v>1</v>
      </c>
      <c r="E553" s="4">
        <v>3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0</v>
      </c>
      <c r="BU553" s="3">
        <v>0</v>
      </c>
    </row>
    <row r="554" spans="1:73" x14ac:dyDescent="0.25">
      <c r="A554" s="2" t="s">
        <v>105</v>
      </c>
      <c r="B554" s="4">
        <v>31</v>
      </c>
      <c r="C554" s="4">
        <v>2</v>
      </c>
      <c r="D554" s="4">
        <v>2</v>
      </c>
      <c r="E554" s="4">
        <v>1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1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</row>
    <row r="555" spans="1:73" x14ac:dyDescent="0.25">
      <c r="A555" s="2" t="s">
        <v>105</v>
      </c>
      <c r="B555" s="4">
        <v>31</v>
      </c>
      <c r="C555" s="4">
        <v>2</v>
      </c>
      <c r="D555" s="4">
        <v>2</v>
      </c>
      <c r="E555" s="4">
        <v>2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>
        <v>1</v>
      </c>
      <c r="BU555" s="3">
        <v>0</v>
      </c>
    </row>
    <row r="556" spans="1:73" x14ac:dyDescent="0.25">
      <c r="A556" s="2" t="s">
        <v>105</v>
      </c>
      <c r="B556" s="4">
        <v>31</v>
      </c>
      <c r="C556" s="4">
        <v>2</v>
      </c>
      <c r="D556" s="4">
        <v>2</v>
      </c>
      <c r="E556" s="4">
        <v>3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1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3">
        <v>0</v>
      </c>
      <c r="BS556" s="3">
        <v>0</v>
      </c>
      <c r="BT556" s="3">
        <v>0</v>
      </c>
      <c r="BU556" s="3">
        <v>0</v>
      </c>
    </row>
    <row r="557" spans="1:73" x14ac:dyDescent="0.25">
      <c r="A557" s="2" t="s">
        <v>105</v>
      </c>
      <c r="B557" s="4">
        <v>31</v>
      </c>
      <c r="C557" s="4">
        <v>2</v>
      </c>
      <c r="D557" s="4">
        <v>3</v>
      </c>
      <c r="E557" s="4">
        <v>1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0</v>
      </c>
      <c r="BQ557" s="3">
        <v>0</v>
      </c>
      <c r="BR557" s="3">
        <v>0</v>
      </c>
      <c r="BS557" s="3">
        <v>0</v>
      </c>
      <c r="BT557" s="3">
        <v>2</v>
      </c>
      <c r="BU557" s="3">
        <v>0</v>
      </c>
    </row>
    <row r="558" spans="1:73" x14ac:dyDescent="0.25">
      <c r="A558" s="2" t="s">
        <v>105</v>
      </c>
      <c r="B558" s="4">
        <v>31</v>
      </c>
      <c r="C558" s="4">
        <v>2</v>
      </c>
      <c r="D558" s="4">
        <v>3</v>
      </c>
      <c r="E558" s="4">
        <v>2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1</v>
      </c>
      <c r="BG558" s="3">
        <v>0</v>
      </c>
      <c r="BH558" s="3">
        <v>0</v>
      </c>
      <c r="BI558" s="3">
        <v>0</v>
      </c>
      <c r="BJ558" s="3">
        <v>3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0</v>
      </c>
      <c r="BU558" s="3">
        <v>0</v>
      </c>
    </row>
    <row r="559" spans="1:73" x14ac:dyDescent="0.25">
      <c r="A559" s="2" t="s">
        <v>105</v>
      </c>
      <c r="B559" s="4">
        <v>31</v>
      </c>
      <c r="C559" s="4">
        <v>2</v>
      </c>
      <c r="D559" s="4">
        <v>3</v>
      </c>
      <c r="E559" s="4">
        <v>3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1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</row>
    <row r="560" spans="1:73" x14ac:dyDescent="0.25">
      <c r="A560" s="2" t="s">
        <v>106</v>
      </c>
      <c r="B560" s="4">
        <v>32</v>
      </c>
      <c r="C560" s="4">
        <v>1</v>
      </c>
      <c r="D560" s="4">
        <v>1</v>
      </c>
      <c r="E560" s="4">
        <v>1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1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1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1</v>
      </c>
      <c r="BJ560" s="3">
        <v>0</v>
      </c>
      <c r="BK560" s="3">
        <v>0</v>
      </c>
      <c r="BL560" s="3">
        <v>0</v>
      </c>
      <c r="BM560" s="3">
        <v>0</v>
      </c>
      <c r="BN560" s="3">
        <v>0</v>
      </c>
      <c r="BO560" s="3">
        <v>0</v>
      </c>
      <c r="BP560" s="3">
        <v>0</v>
      </c>
      <c r="BQ560" s="3">
        <v>0</v>
      </c>
      <c r="BR560" s="3">
        <v>0</v>
      </c>
      <c r="BS560" s="3">
        <v>0</v>
      </c>
      <c r="BT560" s="3">
        <v>1</v>
      </c>
      <c r="BU560" s="3">
        <v>0</v>
      </c>
    </row>
    <row r="561" spans="1:73" x14ac:dyDescent="0.25">
      <c r="A561" s="2" t="s">
        <v>106</v>
      </c>
      <c r="B561" s="4">
        <v>32</v>
      </c>
      <c r="C561" s="4">
        <v>1</v>
      </c>
      <c r="D561" s="4">
        <v>1</v>
      </c>
      <c r="E561" s="4">
        <v>2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1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1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4</v>
      </c>
      <c r="BG561" s="3">
        <v>0</v>
      </c>
      <c r="BH561" s="3">
        <v>1</v>
      </c>
      <c r="BI561" s="3">
        <v>1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</row>
    <row r="562" spans="1:73" x14ac:dyDescent="0.25">
      <c r="A562" s="2" t="s">
        <v>106</v>
      </c>
      <c r="B562" s="4">
        <v>32</v>
      </c>
      <c r="C562" s="4">
        <v>1</v>
      </c>
      <c r="D562" s="4">
        <v>1</v>
      </c>
      <c r="E562" s="4">
        <v>3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1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3">
        <v>0</v>
      </c>
      <c r="BQ562" s="3">
        <v>0</v>
      </c>
      <c r="BR562" s="3">
        <v>0</v>
      </c>
      <c r="BS562" s="3">
        <v>0</v>
      </c>
      <c r="BT562" s="3">
        <v>0</v>
      </c>
      <c r="BU562" s="3">
        <v>0</v>
      </c>
    </row>
    <row r="563" spans="1:73" x14ac:dyDescent="0.25">
      <c r="A563" s="2" t="s">
        <v>106</v>
      </c>
      <c r="B563" s="4">
        <v>32</v>
      </c>
      <c r="C563" s="4">
        <v>1</v>
      </c>
      <c r="D563" s="4">
        <v>2</v>
      </c>
      <c r="E563" s="4">
        <v>1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>
        <v>0</v>
      </c>
      <c r="BU563" s="3">
        <v>0</v>
      </c>
    </row>
    <row r="564" spans="1:73" x14ac:dyDescent="0.25">
      <c r="A564" s="2" t="s">
        <v>106</v>
      </c>
      <c r="B564" s="4">
        <v>32</v>
      </c>
      <c r="C564" s="4">
        <v>1</v>
      </c>
      <c r="D564" s="4">
        <v>2</v>
      </c>
      <c r="E564" s="4">
        <v>2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1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3">
        <v>0</v>
      </c>
      <c r="BU564" s="3">
        <v>0</v>
      </c>
    </row>
    <row r="565" spans="1:73" x14ac:dyDescent="0.25">
      <c r="A565" s="2" t="s">
        <v>106</v>
      </c>
      <c r="B565" s="4">
        <v>32</v>
      </c>
      <c r="C565" s="4">
        <v>1</v>
      </c>
      <c r="D565" s="4">
        <v>2</v>
      </c>
      <c r="E565" s="4">
        <v>3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</row>
    <row r="566" spans="1:73" x14ac:dyDescent="0.25">
      <c r="A566" s="2" t="s">
        <v>106</v>
      </c>
      <c r="B566" s="4">
        <v>32</v>
      </c>
      <c r="C566" s="4">
        <v>1</v>
      </c>
      <c r="D566" s="4">
        <v>3</v>
      </c>
      <c r="E566" s="4">
        <v>1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0</v>
      </c>
      <c r="BP566" s="3">
        <v>0</v>
      </c>
      <c r="BQ566" s="3">
        <v>0</v>
      </c>
      <c r="BR566" s="3">
        <v>0</v>
      </c>
      <c r="BS566" s="3">
        <v>0</v>
      </c>
      <c r="BT566" s="3">
        <v>0</v>
      </c>
      <c r="BU566" s="3">
        <v>0</v>
      </c>
    </row>
    <row r="567" spans="1:73" x14ac:dyDescent="0.25">
      <c r="A567" s="2" t="s">
        <v>106</v>
      </c>
      <c r="B567" s="4">
        <v>32</v>
      </c>
      <c r="C567" s="4">
        <v>1</v>
      </c>
      <c r="D567" s="4">
        <v>3</v>
      </c>
      <c r="E567" s="4">
        <v>2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>
        <v>0</v>
      </c>
      <c r="BU567" s="3">
        <v>0</v>
      </c>
    </row>
    <row r="568" spans="1:73" x14ac:dyDescent="0.25">
      <c r="A568" s="2" t="s">
        <v>106</v>
      </c>
      <c r="B568" s="4">
        <v>32</v>
      </c>
      <c r="C568" s="4">
        <v>1</v>
      </c>
      <c r="D568" s="4">
        <v>3</v>
      </c>
      <c r="E568" s="4">
        <v>3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s="3">
        <v>0</v>
      </c>
      <c r="BR568" s="3">
        <v>0</v>
      </c>
      <c r="BS568" s="3">
        <v>0</v>
      </c>
      <c r="BT568" s="3">
        <v>0</v>
      </c>
      <c r="BU568" s="3">
        <v>0</v>
      </c>
    </row>
    <row r="569" spans="1:73" x14ac:dyDescent="0.25">
      <c r="A569" s="2" t="s">
        <v>106</v>
      </c>
      <c r="B569" s="4">
        <v>32</v>
      </c>
      <c r="C569" s="4">
        <v>2</v>
      </c>
      <c r="D569" s="4">
        <v>1</v>
      </c>
      <c r="E569" s="4">
        <v>1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1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2</v>
      </c>
      <c r="BG569" s="3">
        <v>0</v>
      </c>
      <c r="BH569" s="3">
        <v>1</v>
      </c>
      <c r="BI569" s="3">
        <v>1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2</v>
      </c>
      <c r="BU569" s="3">
        <v>0</v>
      </c>
    </row>
    <row r="570" spans="1:73" x14ac:dyDescent="0.25">
      <c r="A570" s="2" t="s">
        <v>106</v>
      </c>
      <c r="B570" s="4">
        <v>32</v>
      </c>
      <c r="C570" s="4">
        <v>2</v>
      </c>
      <c r="D570" s="4">
        <v>1</v>
      </c>
      <c r="E570" s="4">
        <v>2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1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0</v>
      </c>
      <c r="BQ570" s="3">
        <v>0</v>
      </c>
      <c r="BR570" s="3">
        <v>0</v>
      </c>
      <c r="BS570" s="3">
        <v>0</v>
      </c>
      <c r="BT570" s="3">
        <v>0</v>
      </c>
      <c r="BU570" s="3">
        <v>0</v>
      </c>
    </row>
    <row r="571" spans="1:73" x14ac:dyDescent="0.25">
      <c r="A571" s="2" t="s">
        <v>106</v>
      </c>
      <c r="B571" s="4">
        <v>32</v>
      </c>
      <c r="C571" s="4">
        <v>2</v>
      </c>
      <c r="D571" s="4">
        <v>1</v>
      </c>
      <c r="E571" s="4">
        <v>3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1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</row>
    <row r="572" spans="1:73" x14ac:dyDescent="0.25">
      <c r="A572" s="2" t="s">
        <v>106</v>
      </c>
      <c r="B572" s="4">
        <v>32</v>
      </c>
      <c r="C572" s="4">
        <v>2</v>
      </c>
      <c r="D572" s="4">
        <v>2</v>
      </c>
      <c r="E572" s="4">
        <v>1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1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0</v>
      </c>
      <c r="BR572" s="3">
        <v>0</v>
      </c>
      <c r="BS572" s="3">
        <v>0</v>
      </c>
      <c r="BT572" s="3">
        <v>0</v>
      </c>
      <c r="BU572" s="3">
        <v>0</v>
      </c>
    </row>
    <row r="573" spans="1:73" x14ac:dyDescent="0.25">
      <c r="A573" s="2" t="s">
        <v>106</v>
      </c>
      <c r="B573" s="4">
        <v>32</v>
      </c>
      <c r="C573" s="4">
        <v>2</v>
      </c>
      <c r="D573" s="4">
        <v>2</v>
      </c>
      <c r="E573" s="4">
        <v>2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1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</row>
    <row r="574" spans="1:73" x14ac:dyDescent="0.25">
      <c r="A574" s="2" t="s">
        <v>106</v>
      </c>
      <c r="B574" s="4">
        <v>32</v>
      </c>
      <c r="C574" s="4">
        <v>2</v>
      </c>
      <c r="D574" s="4">
        <v>2</v>
      </c>
      <c r="E574" s="4">
        <v>3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3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0</v>
      </c>
      <c r="BU574" s="3">
        <v>0</v>
      </c>
    </row>
    <row r="575" spans="1:73" x14ac:dyDescent="0.25">
      <c r="A575" s="2" t="s">
        <v>106</v>
      </c>
      <c r="B575" s="4">
        <v>32</v>
      </c>
      <c r="C575" s="4">
        <v>2</v>
      </c>
      <c r="D575" s="4">
        <v>3</v>
      </c>
      <c r="E575" s="4">
        <v>1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0</v>
      </c>
      <c r="BT575" s="3">
        <v>0</v>
      </c>
      <c r="BU575" s="3">
        <v>0</v>
      </c>
    </row>
    <row r="576" spans="1:73" x14ac:dyDescent="0.25">
      <c r="A576" s="2" t="s">
        <v>106</v>
      </c>
      <c r="B576" s="4">
        <v>32</v>
      </c>
      <c r="C576" s="4">
        <v>2</v>
      </c>
      <c r="D576" s="4">
        <v>3</v>
      </c>
      <c r="E576" s="4">
        <v>2</v>
      </c>
      <c r="F576" s="3">
        <v>0</v>
      </c>
      <c r="G576" s="3">
        <v>1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1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</row>
    <row r="577" spans="1:73" x14ac:dyDescent="0.25">
      <c r="A577" s="2" t="s">
        <v>106</v>
      </c>
      <c r="B577" s="4">
        <v>32</v>
      </c>
      <c r="C577" s="4">
        <v>2</v>
      </c>
      <c r="D577" s="4">
        <v>3</v>
      </c>
      <c r="E577" s="4">
        <v>3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3">
        <v>0</v>
      </c>
    </row>
    <row r="578" spans="1:73" x14ac:dyDescent="0.25">
      <c r="A578" s="2" t="s">
        <v>107</v>
      </c>
      <c r="B578" s="4">
        <v>33</v>
      </c>
      <c r="C578" s="4">
        <v>1</v>
      </c>
      <c r="D578" s="4">
        <v>1</v>
      </c>
      <c r="E578" s="4">
        <v>1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2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1</v>
      </c>
      <c r="AA578" s="3">
        <v>0</v>
      </c>
      <c r="AB578" s="3">
        <v>1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2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1</v>
      </c>
      <c r="BU578" s="3">
        <v>0</v>
      </c>
    </row>
    <row r="579" spans="1:73" x14ac:dyDescent="0.25">
      <c r="A579" s="2" t="s">
        <v>107</v>
      </c>
      <c r="B579" s="4">
        <v>33</v>
      </c>
      <c r="C579" s="4">
        <v>1</v>
      </c>
      <c r="D579" s="4">
        <v>1</v>
      </c>
      <c r="E579" s="4">
        <v>2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1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1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1</v>
      </c>
      <c r="BU579" s="3">
        <v>0</v>
      </c>
    </row>
    <row r="580" spans="1:73" x14ac:dyDescent="0.25">
      <c r="A580" s="2" t="s">
        <v>107</v>
      </c>
      <c r="B580" s="4">
        <v>33</v>
      </c>
      <c r="C580" s="4">
        <v>1</v>
      </c>
      <c r="D580" s="4">
        <v>1</v>
      </c>
      <c r="E580" s="4">
        <v>3</v>
      </c>
      <c r="F580" s="3">
        <v>0</v>
      </c>
      <c r="G580" s="3">
        <v>0</v>
      </c>
      <c r="H580" s="3">
        <v>0</v>
      </c>
      <c r="I580" s="3">
        <v>0</v>
      </c>
      <c r="J580" s="3">
        <v>1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1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1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1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</v>
      </c>
      <c r="BU580" s="3">
        <v>0</v>
      </c>
    </row>
    <row r="581" spans="1:73" x14ac:dyDescent="0.25">
      <c r="A581" s="2" t="s">
        <v>107</v>
      </c>
      <c r="B581" s="4">
        <v>33</v>
      </c>
      <c r="C581" s="4">
        <v>1</v>
      </c>
      <c r="D581" s="4">
        <v>2</v>
      </c>
      <c r="E581" s="4">
        <v>1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</row>
    <row r="582" spans="1:73" x14ac:dyDescent="0.25">
      <c r="A582" s="2" t="s">
        <v>107</v>
      </c>
      <c r="B582" s="4">
        <v>33</v>
      </c>
      <c r="C582" s="4">
        <v>1</v>
      </c>
      <c r="D582" s="4">
        <v>2</v>
      </c>
      <c r="E582" s="4">
        <v>2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1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0</v>
      </c>
      <c r="BU582" s="3">
        <v>0</v>
      </c>
    </row>
    <row r="583" spans="1:73" x14ac:dyDescent="0.25">
      <c r="A583" s="2" t="s">
        <v>107</v>
      </c>
      <c r="B583" s="4">
        <v>33</v>
      </c>
      <c r="C583" s="4">
        <v>1</v>
      </c>
      <c r="D583" s="4">
        <v>2</v>
      </c>
      <c r="E583" s="4">
        <v>3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2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1</v>
      </c>
      <c r="BU583" s="3">
        <v>0</v>
      </c>
    </row>
    <row r="584" spans="1:73" x14ac:dyDescent="0.25">
      <c r="A584" s="2" t="s">
        <v>107</v>
      </c>
      <c r="B584" s="4">
        <v>33</v>
      </c>
      <c r="C584" s="4">
        <v>1</v>
      </c>
      <c r="D584" s="4">
        <v>3</v>
      </c>
      <c r="E584" s="4">
        <v>1</v>
      </c>
      <c r="F584" s="3">
        <v>0</v>
      </c>
      <c r="G584" s="3">
        <v>2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</row>
    <row r="585" spans="1:73" x14ac:dyDescent="0.25">
      <c r="A585" s="2" t="s">
        <v>107</v>
      </c>
      <c r="B585" s="4">
        <v>33</v>
      </c>
      <c r="C585" s="4">
        <v>1</v>
      </c>
      <c r="D585" s="4">
        <v>3</v>
      </c>
      <c r="E585" s="4">
        <v>2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7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3">
        <v>0</v>
      </c>
      <c r="BS585" s="3">
        <v>0</v>
      </c>
      <c r="BT585" s="3">
        <v>0</v>
      </c>
      <c r="BU585" s="3">
        <v>0</v>
      </c>
    </row>
    <row r="586" spans="1:73" x14ac:dyDescent="0.25">
      <c r="A586" s="2" t="s">
        <v>107</v>
      </c>
      <c r="B586" s="4">
        <v>33</v>
      </c>
      <c r="C586" s="4">
        <v>1</v>
      </c>
      <c r="D586" s="4">
        <v>3</v>
      </c>
      <c r="E586" s="4">
        <v>3</v>
      </c>
      <c r="F586" s="3">
        <v>0</v>
      </c>
      <c r="G586" s="3">
        <v>0</v>
      </c>
      <c r="H586" s="3">
        <v>0</v>
      </c>
      <c r="I586" s="3">
        <v>0</v>
      </c>
      <c r="J586" s="3">
        <v>1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0</v>
      </c>
      <c r="BQ586" s="3">
        <v>0</v>
      </c>
      <c r="BR586" s="3">
        <v>0</v>
      </c>
      <c r="BS586" s="3">
        <v>0</v>
      </c>
      <c r="BT586" s="3">
        <v>0</v>
      </c>
      <c r="BU586" s="3">
        <v>0</v>
      </c>
    </row>
    <row r="587" spans="1:73" x14ac:dyDescent="0.25">
      <c r="A587" s="2" t="s">
        <v>107</v>
      </c>
      <c r="B587" s="4">
        <v>33</v>
      </c>
      <c r="C587" s="4">
        <v>2</v>
      </c>
      <c r="D587" s="4">
        <v>1</v>
      </c>
      <c r="E587" s="4">
        <v>1</v>
      </c>
      <c r="F587" s="3">
        <v>0</v>
      </c>
      <c r="G587" s="3">
        <v>2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2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3">
        <v>0</v>
      </c>
      <c r="BU587" s="3">
        <v>0</v>
      </c>
    </row>
    <row r="588" spans="1:73" x14ac:dyDescent="0.25">
      <c r="A588" s="2" t="s">
        <v>107</v>
      </c>
      <c r="B588" s="4">
        <v>33</v>
      </c>
      <c r="C588" s="4">
        <v>2</v>
      </c>
      <c r="D588" s="4">
        <v>1</v>
      </c>
      <c r="E588" s="4">
        <v>2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2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1</v>
      </c>
      <c r="BJ588" s="3">
        <v>0</v>
      </c>
      <c r="BK588" s="3">
        <v>0</v>
      </c>
      <c r="BL588" s="3">
        <v>0</v>
      </c>
      <c r="BM588" s="3">
        <v>0</v>
      </c>
      <c r="BN588" s="3">
        <v>0</v>
      </c>
      <c r="BO588" s="3">
        <v>0</v>
      </c>
      <c r="BP588" s="3">
        <v>0</v>
      </c>
      <c r="BQ588" s="3">
        <v>0</v>
      </c>
      <c r="BR588" s="3">
        <v>0</v>
      </c>
      <c r="BS588" s="3">
        <v>0</v>
      </c>
      <c r="BT588" s="3">
        <v>1</v>
      </c>
      <c r="BU588" s="3">
        <v>0</v>
      </c>
    </row>
    <row r="589" spans="1:73" x14ac:dyDescent="0.25">
      <c r="A589" s="2" t="s">
        <v>107</v>
      </c>
      <c r="B589" s="4">
        <v>33</v>
      </c>
      <c r="C589" s="4">
        <v>2</v>
      </c>
      <c r="D589" s="4">
        <v>1</v>
      </c>
      <c r="E589" s="4">
        <v>3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1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1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0</v>
      </c>
      <c r="BU589" s="3">
        <v>0</v>
      </c>
    </row>
    <row r="590" spans="1:73" x14ac:dyDescent="0.25">
      <c r="A590" s="2" t="s">
        <v>107</v>
      </c>
      <c r="B590" s="4">
        <v>33</v>
      </c>
      <c r="C590" s="4">
        <v>2</v>
      </c>
      <c r="D590" s="4">
        <v>2</v>
      </c>
      <c r="E590" s="4">
        <v>1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1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s="3">
        <v>0</v>
      </c>
      <c r="BR590" s="3">
        <v>0</v>
      </c>
      <c r="BS590" s="3">
        <v>0</v>
      </c>
      <c r="BT590" s="3">
        <v>0</v>
      </c>
      <c r="BU590" s="3">
        <v>0</v>
      </c>
    </row>
    <row r="591" spans="1:73" x14ac:dyDescent="0.25">
      <c r="A591" s="2" t="s">
        <v>107</v>
      </c>
      <c r="B591" s="4">
        <v>33</v>
      </c>
      <c r="C591" s="4">
        <v>2</v>
      </c>
      <c r="D591" s="4">
        <v>2</v>
      </c>
      <c r="E591" s="4">
        <v>2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</row>
    <row r="592" spans="1:73" x14ac:dyDescent="0.25">
      <c r="A592" s="2" t="s">
        <v>107</v>
      </c>
      <c r="B592" s="4">
        <v>33</v>
      </c>
      <c r="C592" s="4">
        <v>2</v>
      </c>
      <c r="D592" s="4">
        <v>2</v>
      </c>
      <c r="E592" s="4">
        <v>3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</row>
    <row r="593" spans="1:73" x14ac:dyDescent="0.25">
      <c r="A593" s="2" t="s">
        <v>107</v>
      </c>
      <c r="B593" s="4">
        <v>33</v>
      </c>
      <c r="C593" s="4">
        <v>2</v>
      </c>
      <c r="D593" s="4">
        <v>3</v>
      </c>
      <c r="E593" s="4">
        <v>1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2</v>
      </c>
      <c r="BG593" s="3">
        <v>0</v>
      </c>
      <c r="BH593" s="3">
        <v>0</v>
      </c>
      <c r="BI593" s="3">
        <v>0</v>
      </c>
      <c r="BJ593" s="3">
        <v>2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</row>
    <row r="594" spans="1:73" x14ac:dyDescent="0.25">
      <c r="A594" s="2" t="s">
        <v>107</v>
      </c>
      <c r="B594" s="4">
        <v>33</v>
      </c>
      <c r="C594" s="4">
        <v>2</v>
      </c>
      <c r="D594" s="4">
        <v>3</v>
      </c>
      <c r="E594" s="4">
        <v>2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</row>
    <row r="595" spans="1:73" x14ac:dyDescent="0.25">
      <c r="A595" s="2" t="s">
        <v>107</v>
      </c>
      <c r="B595" s="4">
        <v>33</v>
      </c>
      <c r="C595" s="4">
        <v>2</v>
      </c>
      <c r="D595" s="4">
        <v>3</v>
      </c>
      <c r="E595" s="4">
        <v>3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1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</row>
    <row r="596" spans="1:73" x14ac:dyDescent="0.25">
      <c r="A596" s="2" t="s">
        <v>108</v>
      </c>
      <c r="B596" s="4">
        <v>34</v>
      </c>
      <c r="C596" s="4">
        <v>1</v>
      </c>
      <c r="D596" s="4">
        <v>1</v>
      </c>
      <c r="E596" s="4">
        <v>1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1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1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0</v>
      </c>
      <c r="BT596" s="3">
        <v>0</v>
      </c>
      <c r="BU596" s="3">
        <v>0</v>
      </c>
    </row>
    <row r="597" spans="1:73" x14ac:dyDescent="0.25">
      <c r="A597" s="2" t="s">
        <v>108</v>
      </c>
      <c r="B597" s="4">
        <v>34</v>
      </c>
      <c r="C597" s="4">
        <v>1</v>
      </c>
      <c r="D597" s="4">
        <v>1</v>
      </c>
      <c r="E597" s="4">
        <v>2</v>
      </c>
      <c r="F597" s="3">
        <v>0</v>
      </c>
      <c r="G597" s="3">
        <v>0</v>
      </c>
      <c r="H597" s="3">
        <v>0</v>
      </c>
      <c r="I597" s="3">
        <v>0</v>
      </c>
      <c r="J597" s="3">
        <v>1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2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2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2</v>
      </c>
      <c r="BU597" s="3">
        <v>0</v>
      </c>
    </row>
    <row r="598" spans="1:73" x14ac:dyDescent="0.25">
      <c r="A598" s="2" t="s">
        <v>108</v>
      </c>
      <c r="B598" s="4">
        <v>34</v>
      </c>
      <c r="C598" s="4">
        <v>1</v>
      </c>
      <c r="D598" s="4">
        <v>1</v>
      </c>
      <c r="E598" s="4">
        <v>3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1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1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1</v>
      </c>
      <c r="BB598" s="3">
        <v>0</v>
      </c>
      <c r="BC598" s="3">
        <v>0</v>
      </c>
      <c r="BD598" s="3">
        <v>0</v>
      </c>
      <c r="BE598" s="3">
        <v>0</v>
      </c>
      <c r="BF598" s="3">
        <v>2</v>
      </c>
      <c r="BG598" s="3">
        <v>0</v>
      </c>
      <c r="BH598" s="3">
        <v>0</v>
      </c>
      <c r="BI598" s="3">
        <v>1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3">
        <v>0</v>
      </c>
    </row>
    <row r="599" spans="1:73" x14ac:dyDescent="0.25">
      <c r="A599" s="2" t="s">
        <v>108</v>
      </c>
      <c r="B599" s="4">
        <v>34</v>
      </c>
      <c r="C599" s="4">
        <v>1</v>
      </c>
      <c r="D599" s="4">
        <v>2</v>
      </c>
      <c r="E599" s="4">
        <v>1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</row>
    <row r="600" spans="1:73" x14ac:dyDescent="0.25">
      <c r="A600" s="2" t="s">
        <v>108</v>
      </c>
      <c r="B600" s="4">
        <v>34</v>
      </c>
      <c r="C600" s="4">
        <v>1</v>
      </c>
      <c r="D600" s="4">
        <v>2</v>
      </c>
      <c r="E600" s="4">
        <v>2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3">
        <v>0</v>
      </c>
      <c r="BQ600" s="3">
        <v>0</v>
      </c>
      <c r="BR600" s="3">
        <v>0</v>
      </c>
      <c r="BS600" s="3">
        <v>0</v>
      </c>
      <c r="BT600" s="3">
        <v>0</v>
      </c>
      <c r="BU600" s="3">
        <v>0</v>
      </c>
    </row>
    <row r="601" spans="1:73" x14ac:dyDescent="0.25">
      <c r="A601" s="2" t="s">
        <v>108</v>
      </c>
      <c r="B601" s="4">
        <v>34</v>
      </c>
      <c r="C601" s="4">
        <v>1</v>
      </c>
      <c r="D601" s="4">
        <v>2</v>
      </c>
      <c r="E601" s="4">
        <v>3</v>
      </c>
      <c r="F601" s="3">
        <v>0</v>
      </c>
      <c r="G601" s="3">
        <v>0</v>
      </c>
      <c r="H601" s="3">
        <v>0</v>
      </c>
      <c r="I601" s="3">
        <v>0</v>
      </c>
      <c r="J601" s="3">
        <v>1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</row>
    <row r="602" spans="1:73" x14ac:dyDescent="0.25">
      <c r="A602" s="2" t="s">
        <v>108</v>
      </c>
      <c r="B602" s="4">
        <v>34</v>
      </c>
      <c r="C602" s="4">
        <v>1</v>
      </c>
      <c r="D602" s="4">
        <v>3</v>
      </c>
      <c r="E602" s="4">
        <v>1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1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</row>
    <row r="603" spans="1:73" x14ac:dyDescent="0.25">
      <c r="A603" s="2" t="s">
        <v>108</v>
      </c>
      <c r="B603" s="4">
        <v>34</v>
      </c>
      <c r="C603" s="4">
        <v>1</v>
      </c>
      <c r="D603" s="4">
        <v>3</v>
      </c>
      <c r="E603" s="4">
        <v>2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1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2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</row>
    <row r="604" spans="1:73" x14ac:dyDescent="0.25">
      <c r="A604" s="2" t="s">
        <v>108</v>
      </c>
      <c r="B604" s="4">
        <v>34</v>
      </c>
      <c r="C604" s="4">
        <v>1</v>
      </c>
      <c r="D604" s="4">
        <v>3</v>
      </c>
      <c r="E604" s="4">
        <v>3</v>
      </c>
      <c r="F604" s="3">
        <v>0</v>
      </c>
      <c r="G604" s="3">
        <v>2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0</v>
      </c>
      <c r="BK604" s="3">
        <v>0</v>
      </c>
      <c r="BL604" s="3">
        <v>0</v>
      </c>
      <c r="BM604" s="3">
        <v>0</v>
      </c>
      <c r="BN604" s="3">
        <v>0</v>
      </c>
      <c r="BO604" s="3">
        <v>0</v>
      </c>
      <c r="BP604" s="3">
        <v>0</v>
      </c>
      <c r="BQ604" s="3">
        <v>0</v>
      </c>
      <c r="BR604" s="3">
        <v>0</v>
      </c>
      <c r="BS604" s="3">
        <v>0</v>
      </c>
      <c r="BT604" s="3">
        <v>0</v>
      </c>
      <c r="BU604" s="3">
        <v>0</v>
      </c>
    </row>
    <row r="605" spans="1:73" x14ac:dyDescent="0.25">
      <c r="A605" s="2" t="s">
        <v>108</v>
      </c>
      <c r="B605" s="4">
        <v>34</v>
      </c>
      <c r="C605" s="4">
        <v>2</v>
      </c>
      <c r="D605" s="4">
        <v>1</v>
      </c>
      <c r="E605" s="4">
        <v>1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2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</row>
    <row r="606" spans="1:73" x14ac:dyDescent="0.25">
      <c r="A606" s="2" t="s">
        <v>108</v>
      </c>
      <c r="B606" s="4">
        <v>34</v>
      </c>
      <c r="C606" s="4">
        <v>2</v>
      </c>
      <c r="D606" s="4">
        <v>1</v>
      </c>
      <c r="E606" s="4">
        <v>2</v>
      </c>
      <c r="F606" s="3">
        <v>0</v>
      </c>
      <c r="G606" s="3">
        <v>0</v>
      </c>
      <c r="H606" s="3">
        <v>0</v>
      </c>
      <c r="I606" s="3">
        <v>0</v>
      </c>
      <c r="J606" s="3">
        <v>1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2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1</v>
      </c>
      <c r="BG606" s="3">
        <v>0</v>
      </c>
      <c r="BH606" s="3">
        <v>0</v>
      </c>
      <c r="BI606" s="3">
        <v>2</v>
      </c>
      <c r="BJ606" s="3">
        <v>0</v>
      </c>
      <c r="BK606" s="3">
        <v>0</v>
      </c>
      <c r="BL606" s="3">
        <v>0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3">
        <v>0</v>
      </c>
      <c r="BS606" s="3">
        <v>0</v>
      </c>
      <c r="BT606" s="3">
        <v>2</v>
      </c>
      <c r="BU606" s="3">
        <v>0</v>
      </c>
    </row>
    <row r="607" spans="1:73" x14ac:dyDescent="0.25">
      <c r="A607" s="2" t="s">
        <v>108</v>
      </c>
      <c r="B607" s="4">
        <v>34</v>
      </c>
      <c r="C607" s="4">
        <v>2</v>
      </c>
      <c r="D607" s="4">
        <v>1</v>
      </c>
      <c r="E607" s="4">
        <v>3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1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1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1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</row>
    <row r="608" spans="1:73" x14ac:dyDescent="0.25">
      <c r="A608" s="2" t="s">
        <v>108</v>
      </c>
      <c r="B608" s="4">
        <v>34</v>
      </c>
      <c r="C608" s="4">
        <v>2</v>
      </c>
      <c r="D608" s="4">
        <v>2</v>
      </c>
      <c r="E608" s="4">
        <v>1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0</v>
      </c>
      <c r="BU608" s="3">
        <v>0</v>
      </c>
    </row>
    <row r="609" spans="1:73" x14ac:dyDescent="0.25">
      <c r="A609" s="2" t="s">
        <v>108</v>
      </c>
      <c r="B609" s="4">
        <v>34</v>
      </c>
      <c r="C609" s="4">
        <v>2</v>
      </c>
      <c r="D609" s="4">
        <v>2</v>
      </c>
      <c r="E609" s="4">
        <v>2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1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</row>
    <row r="610" spans="1:73" x14ac:dyDescent="0.25">
      <c r="A610" s="2" t="s">
        <v>108</v>
      </c>
      <c r="B610" s="4">
        <v>34</v>
      </c>
      <c r="C610" s="4">
        <v>2</v>
      </c>
      <c r="D610" s="4">
        <v>2</v>
      </c>
      <c r="E610" s="4">
        <v>3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2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0</v>
      </c>
      <c r="BR610" s="3">
        <v>0</v>
      </c>
      <c r="BS610" s="3">
        <v>0</v>
      </c>
      <c r="BT610" s="3">
        <v>0</v>
      </c>
      <c r="BU610" s="3">
        <v>0</v>
      </c>
    </row>
    <row r="611" spans="1:73" x14ac:dyDescent="0.25">
      <c r="A611" s="2" t="s">
        <v>108</v>
      </c>
      <c r="B611" s="4">
        <v>34</v>
      </c>
      <c r="C611" s="4">
        <v>2</v>
      </c>
      <c r="D611" s="4">
        <v>3</v>
      </c>
      <c r="E611" s="4">
        <v>1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</row>
    <row r="612" spans="1:73" x14ac:dyDescent="0.25">
      <c r="A612" s="2" t="s">
        <v>108</v>
      </c>
      <c r="B612" s="4">
        <v>34</v>
      </c>
      <c r="C612" s="4">
        <v>2</v>
      </c>
      <c r="D612" s="4">
        <v>3</v>
      </c>
      <c r="E612" s="4">
        <v>2</v>
      </c>
      <c r="F612" s="3">
        <v>0</v>
      </c>
      <c r="G612" s="3">
        <v>1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1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  <c r="BN612" s="3">
        <v>0</v>
      </c>
      <c r="BO612" s="3">
        <v>0</v>
      </c>
      <c r="BP612" s="3">
        <v>0</v>
      </c>
      <c r="BQ612" s="3">
        <v>0</v>
      </c>
      <c r="BR612" s="3">
        <v>0</v>
      </c>
      <c r="BS612" s="3">
        <v>0</v>
      </c>
      <c r="BT612" s="3">
        <v>0</v>
      </c>
      <c r="BU612" s="3">
        <v>0</v>
      </c>
    </row>
    <row r="613" spans="1:73" x14ac:dyDescent="0.25">
      <c r="A613" s="2" t="s">
        <v>108</v>
      </c>
      <c r="B613" s="4">
        <v>34</v>
      </c>
      <c r="C613" s="4">
        <v>2</v>
      </c>
      <c r="D613" s="4">
        <v>3</v>
      </c>
      <c r="E613" s="4">
        <v>3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1</v>
      </c>
      <c r="BU613" s="3">
        <v>0</v>
      </c>
    </row>
    <row r="614" spans="1:73" x14ac:dyDescent="0.25">
      <c r="A614" s="2" t="s">
        <v>109</v>
      </c>
      <c r="B614" s="4">
        <v>35</v>
      </c>
      <c r="C614" s="4">
        <v>1</v>
      </c>
      <c r="D614" s="4">
        <v>1</v>
      </c>
      <c r="E614" s="4">
        <v>1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1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3">
        <v>0</v>
      </c>
      <c r="BS614" s="3">
        <v>0</v>
      </c>
      <c r="BT614" s="3">
        <v>0</v>
      </c>
      <c r="BU614" s="3">
        <v>0</v>
      </c>
    </row>
    <row r="615" spans="1:73" x14ac:dyDescent="0.25">
      <c r="A615" s="2" t="s">
        <v>109</v>
      </c>
      <c r="B615" s="4">
        <v>35</v>
      </c>
      <c r="C615" s="4">
        <v>1</v>
      </c>
      <c r="D615" s="4">
        <v>1</v>
      </c>
      <c r="E615" s="4">
        <v>2</v>
      </c>
      <c r="F615" s="3">
        <v>0</v>
      </c>
      <c r="G615" s="3">
        <v>0</v>
      </c>
      <c r="H615" s="3">
        <v>0</v>
      </c>
      <c r="I615" s="3">
        <v>0</v>
      </c>
      <c r="J615" s="3">
        <v>1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2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1</v>
      </c>
      <c r="AK615" s="3">
        <v>0</v>
      </c>
      <c r="AL615" s="3">
        <v>1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2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1</v>
      </c>
      <c r="BS615" s="3">
        <v>0</v>
      </c>
      <c r="BT615" s="3">
        <v>0</v>
      </c>
      <c r="BU615" s="3">
        <v>0</v>
      </c>
    </row>
    <row r="616" spans="1:73" x14ac:dyDescent="0.25">
      <c r="A616" s="2" t="s">
        <v>109</v>
      </c>
      <c r="B616" s="4">
        <v>35</v>
      </c>
      <c r="C616" s="4">
        <v>1</v>
      </c>
      <c r="D616" s="4">
        <v>1</v>
      </c>
      <c r="E616" s="4">
        <v>3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1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1</v>
      </c>
      <c r="BL616" s="3">
        <v>0</v>
      </c>
      <c r="BM616" s="3">
        <v>0</v>
      </c>
      <c r="BN616" s="3">
        <v>0</v>
      </c>
      <c r="BO616" s="3">
        <v>0</v>
      </c>
      <c r="BP616" s="3">
        <v>0</v>
      </c>
      <c r="BQ616" s="3">
        <v>0</v>
      </c>
      <c r="BR616" s="3">
        <v>0</v>
      </c>
      <c r="BS616" s="3">
        <v>0</v>
      </c>
      <c r="BT616" s="3">
        <v>2</v>
      </c>
      <c r="BU616" s="3">
        <v>0</v>
      </c>
    </row>
    <row r="617" spans="1:73" x14ac:dyDescent="0.25">
      <c r="A617" s="2" t="s">
        <v>109</v>
      </c>
      <c r="B617" s="4">
        <v>35</v>
      </c>
      <c r="C617" s="4">
        <v>1</v>
      </c>
      <c r="D617" s="4">
        <v>2</v>
      </c>
      <c r="E617" s="4">
        <v>1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2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</row>
    <row r="618" spans="1:73" x14ac:dyDescent="0.25">
      <c r="A618" s="2" t="s">
        <v>109</v>
      </c>
      <c r="B618" s="4">
        <v>35</v>
      </c>
      <c r="C618" s="4">
        <v>1</v>
      </c>
      <c r="D618" s="4">
        <v>2</v>
      </c>
      <c r="E618" s="4">
        <v>2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0</v>
      </c>
      <c r="BT618" s="3">
        <v>0</v>
      </c>
      <c r="BU618" s="3">
        <v>0</v>
      </c>
    </row>
    <row r="619" spans="1:73" x14ac:dyDescent="0.25">
      <c r="A619" s="2" t="s">
        <v>109</v>
      </c>
      <c r="B619" s="4">
        <v>35</v>
      </c>
      <c r="C619" s="4">
        <v>1</v>
      </c>
      <c r="D619" s="4">
        <v>2</v>
      </c>
      <c r="E619" s="4">
        <v>3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</row>
    <row r="620" spans="1:73" x14ac:dyDescent="0.25">
      <c r="A620" s="2" t="s">
        <v>109</v>
      </c>
      <c r="B620" s="4">
        <v>35</v>
      </c>
      <c r="C620" s="4">
        <v>1</v>
      </c>
      <c r="D620" s="4">
        <v>3</v>
      </c>
      <c r="E620" s="4">
        <v>1</v>
      </c>
      <c r="F620" s="3">
        <v>0</v>
      </c>
      <c r="G620" s="3">
        <v>2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1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</row>
    <row r="621" spans="1:73" x14ac:dyDescent="0.25">
      <c r="A621" s="2" t="s">
        <v>109</v>
      </c>
      <c r="B621" s="4">
        <v>35</v>
      </c>
      <c r="C621" s="4">
        <v>1</v>
      </c>
      <c r="D621" s="4">
        <v>3</v>
      </c>
      <c r="E621" s="4">
        <v>2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</row>
    <row r="622" spans="1:73" x14ac:dyDescent="0.25">
      <c r="A622" s="2" t="s">
        <v>109</v>
      </c>
      <c r="B622" s="4">
        <v>35</v>
      </c>
      <c r="C622" s="4">
        <v>1</v>
      </c>
      <c r="D622" s="4">
        <v>3</v>
      </c>
      <c r="E622" s="4">
        <v>3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1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0</v>
      </c>
      <c r="BQ622" s="3">
        <v>0</v>
      </c>
      <c r="BR622" s="3">
        <v>0</v>
      </c>
      <c r="BS622" s="3">
        <v>0</v>
      </c>
      <c r="BT622" s="3">
        <v>0</v>
      </c>
      <c r="BU622" s="3">
        <v>0</v>
      </c>
    </row>
    <row r="623" spans="1:73" x14ac:dyDescent="0.25">
      <c r="A623" s="2" t="s">
        <v>109</v>
      </c>
      <c r="B623" s="4">
        <v>35</v>
      </c>
      <c r="C623" s="4">
        <v>2</v>
      </c>
      <c r="D623" s="4">
        <v>1</v>
      </c>
      <c r="E623" s="4">
        <v>1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1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</row>
    <row r="624" spans="1:73" x14ac:dyDescent="0.25">
      <c r="A624" s="2" t="s">
        <v>109</v>
      </c>
      <c r="B624" s="4">
        <v>35</v>
      </c>
      <c r="C624" s="4">
        <v>2</v>
      </c>
      <c r="D624" s="4">
        <v>1</v>
      </c>
      <c r="E624" s="4">
        <v>2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1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1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0</v>
      </c>
      <c r="BQ624" s="3">
        <v>0</v>
      </c>
      <c r="BR624" s="3">
        <v>0</v>
      </c>
      <c r="BS624" s="3">
        <v>0</v>
      </c>
      <c r="BT624" s="3">
        <v>1</v>
      </c>
      <c r="BU624" s="3">
        <v>0</v>
      </c>
    </row>
    <row r="625" spans="1:73" x14ac:dyDescent="0.25">
      <c r="A625" s="2" t="s">
        <v>109</v>
      </c>
      <c r="B625" s="4">
        <v>35</v>
      </c>
      <c r="C625" s="4">
        <v>2</v>
      </c>
      <c r="D625" s="4">
        <v>1</v>
      </c>
      <c r="E625" s="4">
        <v>3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3">
        <v>0</v>
      </c>
    </row>
    <row r="626" spans="1:73" x14ac:dyDescent="0.25">
      <c r="A626" s="2" t="s">
        <v>109</v>
      </c>
      <c r="B626" s="4">
        <v>35</v>
      </c>
      <c r="C626" s="4">
        <v>2</v>
      </c>
      <c r="D626" s="4">
        <v>2</v>
      </c>
      <c r="E626" s="4">
        <v>1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2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1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</v>
      </c>
      <c r="BU626" s="3">
        <v>0</v>
      </c>
    </row>
    <row r="627" spans="1:73" x14ac:dyDescent="0.25">
      <c r="A627" s="2" t="s">
        <v>109</v>
      </c>
      <c r="B627" s="4">
        <v>35</v>
      </c>
      <c r="C627" s="4">
        <v>2</v>
      </c>
      <c r="D627" s="4">
        <v>2</v>
      </c>
      <c r="E627" s="4">
        <v>2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</row>
    <row r="628" spans="1:73" x14ac:dyDescent="0.25">
      <c r="A628" s="2" t="s">
        <v>109</v>
      </c>
      <c r="B628" s="4">
        <v>35</v>
      </c>
      <c r="C628" s="4">
        <v>2</v>
      </c>
      <c r="D628" s="4">
        <v>2</v>
      </c>
      <c r="E628" s="4">
        <v>3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0</v>
      </c>
      <c r="BT628" s="3">
        <v>0</v>
      </c>
      <c r="BU628" s="3">
        <v>0</v>
      </c>
    </row>
    <row r="629" spans="1:73" x14ac:dyDescent="0.25">
      <c r="A629" s="2" t="s">
        <v>109</v>
      </c>
      <c r="B629" s="4">
        <v>35</v>
      </c>
      <c r="C629" s="4">
        <v>2</v>
      </c>
      <c r="D629" s="4">
        <v>3</v>
      </c>
      <c r="E629" s="4">
        <v>1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1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1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</row>
    <row r="630" spans="1:73" x14ac:dyDescent="0.25">
      <c r="A630" s="2" t="s">
        <v>109</v>
      </c>
      <c r="B630" s="4">
        <v>35</v>
      </c>
      <c r="C630" s="4">
        <v>2</v>
      </c>
      <c r="D630" s="4">
        <v>3</v>
      </c>
      <c r="E630" s="4">
        <v>2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1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1</v>
      </c>
      <c r="BG630" s="3">
        <v>0</v>
      </c>
      <c r="BH630" s="3">
        <v>0</v>
      </c>
      <c r="BI630" s="3">
        <v>0</v>
      </c>
      <c r="BJ630" s="3">
        <v>1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0</v>
      </c>
      <c r="BT630" s="3">
        <v>0</v>
      </c>
      <c r="BU630" s="3">
        <v>0</v>
      </c>
    </row>
    <row r="631" spans="1:73" x14ac:dyDescent="0.25">
      <c r="A631" s="2" t="s">
        <v>109</v>
      </c>
      <c r="B631" s="4">
        <v>35</v>
      </c>
      <c r="C631" s="4">
        <v>2</v>
      </c>
      <c r="D631" s="4">
        <v>3</v>
      </c>
      <c r="E631" s="4">
        <v>3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1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0</v>
      </c>
      <c r="BU631" s="3">
        <v>0</v>
      </c>
    </row>
    <row r="632" spans="1:73" x14ac:dyDescent="0.25">
      <c r="A632" s="2" t="s">
        <v>110</v>
      </c>
      <c r="B632" s="4">
        <v>36</v>
      </c>
      <c r="C632" s="4">
        <v>1</v>
      </c>
      <c r="D632" s="4">
        <v>1</v>
      </c>
      <c r="E632" s="4">
        <v>1</v>
      </c>
      <c r="F632" s="3">
        <v>0</v>
      </c>
      <c r="G632" s="3">
        <v>1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1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2</v>
      </c>
      <c r="BG632" s="3">
        <v>0</v>
      </c>
      <c r="BH632" s="3">
        <v>0</v>
      </c>
      <c r="BI632" s="3">
        <v>0</v>
      </c>
      <c r="BJ632" s="3">
        <v>2</v>
      </c>
      <c r="BK632" s="3">
        <v>0</v>
      </c>
      <c r="BL632" s="3">
        <v>0</v>
      </c>
      <c r="BM632" s="3">
        <v>0</v>
      </c>
      <c r="BN632" s="3">
        <v>0</v>
      </c>
      <c r="BO632" s="3">
        <v>0</v>
      </c>
      <c r="BP632" s="3">
        <v>0</v>
      </c>
      <c r="BQ632" s="3">
        <v>0</v>
      </c>
      <c r="BR632" s="3">
        <v>0</v>
      </c>
      <c r="BS632" s="3">
        <v>0</v>
      </c>
      <c r="BT632" s="3">
        <v>1</v>
      </c>
      <c r="BU632" s="3">
        <v>0</v>
      </c>
    </row>
    <row r="633" spans="1:73" x14ac:dyDescent="0.25">
      <c r="A633" s="2" t="s">
        <v>110</v>
      </c>
      <c r="B633" s="4">
        <v>36</v>
      </c>
      <c r="C633" s="4">
        <v>1</v>
      </c>
      <c r="D633" s="4">
        <v>1</v>
      </c>
      <c r="E633" s="4">
        <v>2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1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1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1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1</v>
      </c>
      <c r="BG633" s="3">
        <v>0</v>
      </c>
      <c r="BH633" s="3">
        <v>1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</row>
    <row r="634" spans="1:73" x14ac:dyDescent="0.25">
      <c r="A634" s="2" t="s">
        <v>110</v>
      </c>
      <c r="B634" s="4">
        <v>36</v>
      </c>
      <c r="C634" s="4">
        <v>1</v>
      </c>
      <c r="D634" s="4">
        <v>1</v>
      </c>
      <c r="E634" s="4">
        <v>3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1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0</v>
      </c>
      <c r="BN634" s="3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0</v>
      </c>
      <c r="BT634" s="3">
        <v>0</v>
      </c>
      <c r="BU634" s="3">
        <v>0</v>
      </c>
    </row>
    <row r="635" spans="1:73" x14ac:dyDescent="0.25">
      <c r="A635" s="2" t="s">
        <v>110</v>
      </c>
      <c r="B635" s="4">
        <v>36</v>
      </c>
      <c r="C635" s="4">
        <v>1</v>
      </c>
      <c r="D635" s="4">
        <v>2</v>
      </c>
      <c r="E635" s="4">
        <v>1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</row>
    <row r="636" spans="1:73" x14ac:dyDescent="0.25">
      <c r="A636" s="2" t="s">
        <v>110</v>
      </c>
      <c r="B636" s="4">
        <v>36</v>
      </c>
      <c r="C636" s="4">
        <v>1</v>
      </c>
      <c r="D636" s="4">
        <v>2</v>
      </c>
      <c r="E636" s="4">
        <v>2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2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1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1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</v>
      </c>
      <c r="BT636" s="3">
        <v>0</v>
      </c>
      <c r="BU636" s="3">
        <v>0</v>
      </c>
    </row>
    <row r="637" spans="1:73" x14ac:dyDescent="0.25">
      <c r="A637" s="2" t="s">
        <v>110</v>
      </c>
      <c r="B637" s="4">
        <v>36</v>
      </c>
      <c r="C637" s="4">
        <v>1</v>
      </c>
      <c r="D637" s="4">
        <v>2</v>
      </c>
      <c r="E637" s="4">
        <v>3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</row>
    <row r="638" spans="1:73" x14ac:dyDescent="0.25">
      <c r="A638" s="2" t="s">
        <v>110</v>
      </c>
      <c r="B638" s="4">
        <v>36</v>
      </c>
      <c r="C638" s="4">
        <v>1</v>
      </c>
      <c r="D638" s="4">
        <v>3</v>
      </c>
      <c r="E638" s="4">
        <v>1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0</v>
      </c>
      <c r="BL638" s="3">
        <v>0</v>
      </c>
      <c r="BM638" s="3">
        <v>0</v>
      </c>
      <c r="BN638" s="3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0</v>
      </c>
      <c r="BU638" s="3">
        <v>0</v>
      </c>
    </row>
    <row r="639" spans="1:73" x14ac:dyDescent="0.25">
      <c r="A639" s="2" t="s">
        <v>110</v>
      </c>
      <c r="B639" s="4">
        <v>36</v>
      </c>
      <c r="C639" s="4">
        <v>1</v>
      </c>
      <c r="D639" s="4">
        <v>3</v>
      </c>
      <c r="E639" s="4">
        <v>2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1</v>
      </c>
      <c r="BU639" s="3">
        <v>0</v>
      </c>
    </row>
    <row r="640" spans="1:73" x14ac:dyDescent="0.25">
      <c r="A640" s="2" t="s">
        <v>110</v>
      </c>
      <c r="B640" s="4">
        <v>36</v>
      </c>
      <c r="C640" s="4">
        <v>1</v>
      </c>
      <c r="D640" s="4">
        <v>3</v>
      </c>
      <c r="E640" s="4">
        <v>3</v>
      </c>
      <c r="F640" s="3">
        <v>0</v>
      </c>
      <c r="G640" s="3">
        <v>0</v>
      </c>
      <c r="H640" s="3">
        <v>0</v>
      </c>
      <c r="I640" s="3">
        <v>0</v>
      </c>
      <c r="J640" s="3">
        <v>1</v>
      </c>
      <c r="K640" s="3">
        <v>0</v>
      </c>
      <c r="L640" s="3">
        <v>0</v>
      </c>
      <c r="M640" s="3">
        <v>0</v>
      </c>
      <c r="N640" s="3">
        <v>1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1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0</v>
      </c>
      <c r="BN640" s="3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</v>
      </c>
      <c r="BU640" s="3">
        <v>0</v>
      </c>
    </row>
    <row r="641" spans="1:73" x14ac:dyDescent="0.25">
      <c r="A641" s="2" t="s">
        <v>110</v>
      </c>
      <c r="B641" s="4">
        <v>36</v>
      </c>
      <c r="C641" s="4">
        <v>2</v>
      </c>
      <c r="D641" s="4">
        <v>1</v>
      </c>
      <c r="E641" s="4">
        <v>1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2</v>
      </c>
      <c r="BG641" s="3">
        <v>0</v>
      </c>
      <c r="BH641" s="3">
        <v>0</v>
      </c>
      <c r="BI641" s="3">
        <v>1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</row>
    <row r="642" spans="1:73" x14ac:dyDescent="0.25">
      <c r="A642" s="2" t="s">
        <v>110</v>
      </c>
      <c r="B642" s="4">
        <v>36</v>
      </c>
      <c r="C642" s="4">
        <v>2</v>
      </c>
      <c r="D642" s="4">
        <v>1</v>
      </c>
      <c r="E642" s="4">
        <v>2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1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1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2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</v>
      </c>
      <c r="BU642" s="3">
        <v>0</v>
      </c>
    </row>
    <row r="643" spans="1:73" x14ac:dyDescent="0.25">
      <c r="A643" s="2" t="s">
        <v>110</v>
      </c>
      <c r="B643" s="4">
        <v>36</v>
      </c>
      <c r="C643" s="4">
        <v>2</v>
      </c>
      <c r="D643" s="4">
        <v>1</v>
      </c>
      <c r="E643" s="4">
        <v>3</v>
      </c>
      <c r="F643" s="3">
        <v>0</v>
      </c>
      <c r="G643" s="3">
        <v>0</v>
      </c>
      <c r="H643" s="3">
        <v>0</v>
      </c>
      <c r="I643" s="3">
        <v>0</v>
      </c>
      <c r="J643" s="3">
        <v>1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0</v>
      </c>
    </row>
    <row r="644" spans="1:73" x14ac:dyDescent="0.25">
      <c r="A644" s="2" t="s">
        <v>110</v>
      </c>
      <c r="B644" s="4">
        <v>36</v>
      </c>
      <c r="C644" s="4">
        <v>2</v>
      </c>
      <c r="D644" s="4">
        <v>2</v>
      </c>
      <c r="E644" s="4">
        <v>1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0</v>
      </c>
      <c r="BL644" s="3">
        <v>0</v>
      </c>
      <c r="BM644" s="3">
        <v>0</v>
      </c>
      <c r="BN644" s="3">
        <v>0</v>
      </c>
      <c r="BO644" s="3">
        <v>0</v>
      </c>
      <c r="BP644" s="3">
        <v>0</v>
      </c>
      <c r="BQ644" s="3">
        <v>0</v>
      </c>
      <c r="BR644" s="3">
        <v>0</v>
      </c>
      <c r="BS644" s="3">
        <v>0</v>
      </c>
      <c r="BT644" s="3">
        <v>0</v>
      </c>
      <c r="BU644" s="3">
        <v>0</v>
      </c>
    </row>
    <row r="645" spans="1:73" x14ac:dyDescent="0.25">
      <c r="A645" s="2" t="s">
        <v>110</v>
      </c>
      <c r="B645" s="4">
        <v>36</v>
      </c>
      <c r="C645" s="4">
        <v>2</v>
      </c>
      <c r="D645" s="4">
        <v>2</v>
      </c>
      <c r="E645" s="4">
        <v>2</v>
      </c>
      <c r="F645" s="3">
        <v>0</v>
      </c>
      <c r="G645" s="3">
        <v>1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</row>
    <row r="646" spans="1:73" x14ac:dyDescent="0.25">
      <c r="A646" s="2" t="s">
        <v>110</v>
      </c>
      <c r="B646" s="4">
        <v>36</v>
      </c>
      <c r="C646" s="4">
        <v>2</v>
      </c>
      <c r="D646" s="4">
        <v>2</v>
      </c>
      <c r="E646" s="4">
        <v>3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2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</v>
      </c>
      <c r="BU646" s="3">
        <v>0</v>
      </c>
    </row>
    <row r="647" spans="1:73" x14ac:dyDescent="0.25">
      <c r="A647" s="2" t="s">
        <v>110</v>
      </c>
      <c r="B647" s="4">
        <v>36</v>
      </c>
      <c r="C647" s="4">
        <v>2</v>
      </c>
      <c r="D647" s="4">
        <v>3</v>
      </c>
      <c r="E647" s="4">
        <v>1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2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1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</row>
    <row r="648" spans="1:73" x14ac:dyDescent="0.25">
      <c r="A648" s="2" t="s">
        <v>110</v>
      </c>
      <c r="B648" s="4">
        <v>36</v>
      </c>
      <c r="C648" s="4">
        <v>2</v>
      </c>
      <c r="D648" s="4">
        <v>3</v>
      </c>
      <c r="E648" s="4">
        <v>2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1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1</v>
      </c>
      <c r="BQ648" s="3">
        <v>0</v>
      </c>
      <c r="BR648" s="3">
        <v>0</v>
      </c>
      <c r="BS648" s="3">
        <v>0</v>
      </c>
      <c r="BT648" s="3">
        <v>1</v>
      </c>
      <c r="BU648" s="3">
        <v>0</v>
      </c>
    </row>
    <row r="649" spans="1:73" x14ac:dyDescent="0.25">
      <c r="A649" s="2" t="s">
        <v>110</v>
      </c>
      <c r="B649" s="4">
        <v>36</v>
      </c>
      <c r="C649" s="4">
        <v>2</v>
      </c>
      <c r="D649" s="4">
        <v>3</v>
      </c>
      <c r="E649" s="4">
        <v>3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1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1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</row>
    <row r="650" spans="1:73" x14ac:dyDescent="0.25">
      <c r="A650" s="2" t="s">
        <v>111</v>
      </c>
      <c r="B650" s="4">
        <v>37</v>
      </c>
      <c r="C650" s="4">
        <v>1</v>
      </c>
      <c r="D650" s="4">
        <v>1</v>
      </c>
      <c r="E650" s="4">
        <v>1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2</v>
      </c>
      <c r="BG650" s="3">
        <v>0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0</v>
      </c>
      <c r="BU650" s="3">
        <v>0</v>
      </c>
    </row>
    <row r="651" spans="1:73" x14ac:dyDescent="0.25">
      <c r="A651" s="2" t="s">
        <v>111</v>
      </c>
      <c r="B651" s="4">
        <v>37</v>
      </c>
      <c r="C651" s="4">
        <v>1</v>
      </c>
      <c r="D651" s="4">
        <v>1</v>
      </c>
      <c r="E651" s="4">
        <v>2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1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2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1</v>
      </c>
      <c r="BU651" s="3">
        <v>0</v>
      </c>
    </row>
    <row r="652" spans="1:73" x14ac:dyDescent="0.25">
      <c r="A652" s="2" t="s">
        <v>111</v>
      </c>
      <c r="B652" s="4">
        <v>37</v>
      </c>
      <c r="C652" s="4">
        <v>1</v>
      </c>
      <c r="D652" s="4">
        <v>1</v>
      </c>
      <c r="E652" s="4">
        <v>3</v>
      </c>
      <c r="F652" s="3">
        <v>0</v>
      </c>
      <c r="G652" s="3">
        <v>0</v>
      </c>
      <c r="H652" s="3">
        <v>0</v>
      </c>
      <c r="I652" s="3">
        <v>0</v>
      </c>
      <c r="J652" s="3">
        <v>1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1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1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1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2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3">
        <v>0</v>
      </c>
      <c r="BO652" s="3">
        <v>0</v>
      </c>
      <c r="BP652" s="3">
        <v>0</v>
      </c>
      <c r="BQ652" s="3">
        <v>0</v>
      </c>
      <c r="BR652" s="3">
        <v>0</v>
      </c>
      <c r="BS652" s="3">
        <v>0</v>
      </c>
      <c r="BT652" s="3">
        <v>0</v>
      </c>
      <c r="BU652" s="3">
        <v>0</v>
      </c>
    </row>
    <row r="653" spans="1:73" x14ac:dyDescent="0.25">
      <c r="A653" s="2" t="s">
        <v>111</v>
      </c>
      <c r="B653" s="4">
        <v>37</v>
      </c>
      <c r="C653" s="4">
        <v>1</v>
      </c>
      <c r="D653" s="4">
        <v>2</v>
      </c>
      <c r="E653" s="4">
        <v>1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0</v>
      </c>
      <c r="BU653" s="3">
        <v>0</v>
      </c>
    </row>
    <row r="654" spans="1:73" x14ac:dyDescent="0.25">
      <c r="A654" s="2" t="s">
        <v>111</v>
      </c>
      <c r="B654" s="4">
        <v>37</v>
      </c>
      <c r="C654" s="4">
        <v>1</v>
      </c>
      <c r="D654" s="4">
        <v>2</v>
      </c>
      <c r="E654" s="4">
        <v>2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3">
        <v>0</v>
      </c>
    </row>
    <row r="655" spans="1:73" x14ac:dyDescent="0.25">
      <c r="A655" s="2" t="s">
        <v>111</v>
      </c>
      <c r="B655" s="4">
        <v>37</v>
      </c>
      <c r="C655" s="4">
        <v>1</v>
      </c>
      <c r="D655" s="4">
        <v>2</v>
      </c>
      <c r="E655" s="4">
        <v>3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1</v>
      </c>
      <c r="AA655" s="3">
        <v>0</v>
      </c>
      <c r="AB655" s="3">
        <v>1</v>
      </c>
      <c r="AC655" s="3">
        <v>0</v>
      </c>
      <c r="AD655" s="3">
        <v>0</v>
      </c>
      <c r="AE655" s="3">
        <v>1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2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1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0</v>
      </c>
    </row>
    <row r="656" spans="1:73" x14ac:dyDescent="0.25">
      <c r="A656" s="2" t="s">
        <v>111</v>
      </c>
      <c r="B656" s="4">
        <v>37</v>
      </c>
      <c r="C656" s="4">
        <v>1</v>
      </c>
      <c r="D656" s="4">
        <v>3</v>
      </c>
      <c r="E656" s="4">
        <v>1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3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0</v>
      </c>
      <c r="BT656" s="3">
        <v>0</v>
      </c>
      <c r="BU656" s="3">
        <v>0</v>
      </c>
    </row>
    <row r="657" spans="1:73" x14ac:dyDescent="0.25">
      <c r="A657" s="2" t="s">
        <v>111</v>
      </c>
      <c r="B657" s="4">
        <v>37</v>
      </c>
      <c r="C657" s="4">
        <v>1</v>
      </c>
      <c r="D657" s="4">
        <v>3</v>
      </c>
      <c r="E657" s="4">
        <v>2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0</v>
      </c>
    </row>
    <row r="658" spans="1:73" x14ac:dyDescent="0.25">
      <c r="A658" s="2" t="s">
        <v>111</v>
      </c>
      <c r="B658" s="4">
        <v>37</v>
      </c>
      <c r="C658" s="4">
        <v>1</v>
      </c>
      <c r="D658" s="4">
        <v>3</v>
      </c>
      <c r="E658" s="4">
        <v>3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2</v>
      </c>
      <c r="Y658" s="3">
        <v>0</v>
      </c>
      <c r="Z658" s="3">
        <v>0</v>
      </c>
      <c r="AA658" s="3">
        <v>0</v>
      </c>
      <c r="AB658" s="3">
        <v>1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1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1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2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0</v>
      </c>
      <c r="BQ658" s="3">
        <v>0</v>
      </c>
      <c r="BR658" s="3">
        <v>0</v>
      </c>
      <c r="BS658" s="3">
        <v>0</v>
      </c>
      <c r="BT658" s="3">
        <v>0</v>
      </c>
      <c r="BU658" s="3">
        <v>0</v>
      </c>
    </row>
    <row r="659" spans="1:73" x14ac:dyDescent="0.25">
      <c r="A659" s="2" t="s">
        <v>111</v>
      </c>
      <c r="B659" s="4">
        <v>37</v>
      </c>
      <c r="C659" s="4">
        <v>2</v>
      </c>
      <c r="D659" s="4">
        <v>1</v>
      </c>
      <c r="E659" s="4">
        <v>1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2</v>
      </c>
      <c r="BG659" s="3">
        <v>0</v>
      </c>
      <c r="BH659" s="3">
        <v>0</v>
      </c>
      <c r="BI659" s="3">
        <v>0</v>
      </c>
      <c r="BJ659" s="3">
        <v>2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0</v>
      </c>
    </row>
    <row r="660" spans="1:73" x14ac:dyDescent="0.25">
      <c r="A660" s="2" t="s">
        <v>111</v>
      </c>
      <c r="B660" s="4">
        <v>37</v>
      </c>
      <c r="C660" s="4">
        <v>2</v>
      </c>
      <c r="D660" s="4">
        <v>1</v>
      </c>
      <c r="E660" s="4">
        <v>2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1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7</v>
      </c>
      <c r="BG660" s="3">
        <v>0</v>
      </c>
      <c r="BH660" s="3">
        <v>1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0</v>
      </c>
      <c r="BQ660" s="3">
        <v>0</v>
      </c>
      <c r="BR660" s="3">
        <v>0</v>
      </c>
      <c r="BS660" s="3">
        <v>0</v>
      </c>
      <c r="BT660" s="3">
        <v>1</v>
      </c>
      <c r="BU660" s="3">
        <v>0</v>
      </c>
    </row>
    <row r="661" spans="1:73" x14ac:dyDescent="0.25">
      <c r="A661" s="2" t="s">
        <v>111</v>
      </c>
      <c r="B661" s="4">
        <v>37</v>
      </c>
      <c r="C661" s="4">
        <v>2</v>
      </c>
      <c r="D661" s="4">
        <v>1</v>
      </c>
      <c r="E661" s="4">
        <v>3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>
        <v>0</v>
      </c>
    </row>
    <row r="662" spans="1:73" x14ac:dyDescent="0.25">
      <c r="A662" s="2" t="s">
        <v>111</v>
      </c>
      <c r="B662" s="4">
        <v>37</v>
      </c>
      <c r="C662" s="4">
        <v>2</v>
      </c>
      <c r="D662" s="4">
        <v>2</v>
      </c>
      <c r="E662" s="4">
        <v>1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>
        <v>0</v>
      </c>
    </row>
    <row r="663" spans="1:73" x14ac:dyDescent="0.25">
      <c r="A663" s="2" t="s">
        <v>111</v>
      </c>
      <c r="B663" s="4">
        <v>37</v>
      </c>
      <c r="C663" s="4">
        <v>2</v>
      </c>
      <c r="D663" s="4">
        <v>2</v>
      </c>
      <c r="E663" s="4">
        <v>2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</row>
    <row r="664" spans="1:73" x14ac:dyDescent="0.25">
      <c r="A664" s="2" t="s">
        <v>111</v>
      </c>
      <c r="B664" s="4">
        <v>37</v>
      </c>
      <c r="C664" s="4">
        <v>2</v>
      </c>
      <c r="D664" s="4">
        <v>2</v>
      </c>
      <c r="E664" s="4">
        <v>3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3">
        <v>0</v>
      </c>
      <c r="BL664" s="3">
        <v>0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3">
        <v>0</v>
      </c>
      <c r="BS664" s="3">
        <v>0</v>
      </c>
      <c r="BT664" s="3">
        <v>0</v>
      </c>
      <c r="BU664" s="3">
        <v>0</v>
      </c>
    </row>
    <row r="665" spans="1:73" x14ac:dyDescent="0.25">
      <c r="A665" s="2" t="s">
        <v>111</v>
      </c>
      <c r="B665" s="4">
        <v>37</v>
      </c>
      <c r="C665" s="4">
        <v>2</v>
      </c>
      <c r="D665" s="4">
        <v>3</v>
      </c>
      <c r="E665" s="4">
        <v>1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</row>
    <row r="666" spans="1:73" x14ac:dyDescent="0.25">
      <c r="A666" s="2" t="s">
        <v>111</v>
      </c>
      <c r="B666" s="4">
        <v>37</v>
      </c>
      <c r="C666" s="4">
        <v>2</v>
      </c>
      <c r="D666" s="4">
        <v>3</v>
      </c>
      <c r="E666" s="4">
        <v>2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5</v>
      </c>
      <c r="Y666" s="3">
        <v>0</v>
      </c>
      <c r="Z666" s="3">
        <v>1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1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0</v>
      </c>
      <c r="BS666" s="3">
        <v>0</v>
      </c>
      <c r="BT666" s="3">
        <v>0</v>
      </c>
      <c r="BU666" s="3">
        <v>0</v>
      </c>
    </row>
    <row r="667" spans="1:73" x14ac:dyDescent="0.25">
      <c r="A667" s="2" t="s">
        <v>111</v>
      </c>
      <c r="B667" s="4">
        <v>37</v>
      </c>
      <c r="C667" s="4">
        <v>2</v>
      </c>
      <c r="D667" s="4">
        <v>3</v>
      </c>
      <c r="E667" s="4">
        <v>3</v>
      </c>
      <c r="F667" s="3">
        <v>0</v>
      </c>
      <c r="G667" s="3">
        <v>0</v>
      </c>
      <c r="H667" s="3">
        <v>0</v>
      </c>
      <c r="I667" s="3">
        <v>0</v>
      </c>
      <c r="J667" s="3">
        <v>1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</row>
    <row r="668" spans="1:73" x14ac:dyDescent="0.25">
      <c r="A668" s="2" t="s">
        <v>112</v>
      </c>
      <c r="B668" s="4">
        <v>38</v>
      </c>
      <c r="C668" s="4">
        <v>1</v>
      </c>
      <c r="D668" s="4">
        <v>1</v>
      </c>
      <c r="E668" s="4">
        <v>1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0</v>
      </c>
      <c r="BS668" s="3">
        <v>0</v>
      </c>
      <c r="BT668" s="3">
        <v>0</v>
      </c>
      <c r="BU668" s="3">
        <v>0</v>
      </c>
    </row>
    <row r="669" spans="1:73" x14ac:dyDescent="0.25">
      <c r="A669" s="2" t="s">
        <v>112</v>
      </c>
      <c r="B669" s="4">
        <v>38</v>
      </c>
      <c r="C669" s="4">
        <v>1</v>
      </c>
      <c r="D669" s="4">
        <v>1</v>
      </c>
      <c r="E669" s="4">
        <v>2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1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1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>
        <v>0</v>
      </c>
    </row>
    <row r="670" spans="1:73" x14ac:dyDescent="0.25">
      <c r="A670" s="2" t="s">
        <v>112</v>
      </c>
      <c r="B670" s="4">
        <v>38</v>
      </c>
      <c r="C670" s="4">
        <v>1</v>
      </c>
      <c r="D670" s="4">
        <v>1</v>
      </c>
      <c r="E670" s="4">
        <v>3</v>
      </c>
      <c r="F670" s="3">
        <v>0</v>
      </c>
      <c r="G670" s="3">
        <v>1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2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1</v>
      </c>
      <c r="AA670" s="3">
        <v>0</v>
      </c>
      <c r="AB670" s="3">
        <v>1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1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1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1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1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1</v>
      </c>
      <c r="BO670" s="3">
        <v>0</v>
      </c>
      <c r="BP670" s="3">
        <v>0</v>
      </c>
      <c r="BQ670" s="3">
        <v>0</v>
      </c>
      <c r="BR670" s="3">
        <v>0</v>
      </c>
      <c r="BS670" s="3">
        <v>0</v>
      </c>
      <c r="BT670" s="3">
        <v>1</v>
      </c>
      <c r="BU670" s="3">
        <v>0</v>
      </c>
    </row>
    <row r="671" spans="1:73" x14ac:dyDescent="0.25">
      <c r="A671" s="2" t="s">
        <v>112</v>
      </c>
      <c r="B671" s="4">
        <v>38</v>
      </c>
      <c r="C671" s="4">
        <v>1</v>
      </c>
      <c r="D671" s="4">
        <v>2</v>
      </c>
      <c r="E671" s="4">
        <v>1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</row>
    <row r="672" spans="1:73" x14ac:dyDescent="0.25">
      <c r="A672" s="2" t="s">
        <v>112</v>
      </c>
      <c r="B672" s="4">
        <v>38</v>
      </c>
      <c r="C672" s="4">
        <v>1</v>
      </c>
      <c r="D672" s="4">
        <v>2</v>
      </c>
      <c r="E672" s="4">
        <v>2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1</v>
      </c>
      <c r="BU672" s="3">
        <v>0</v>
      </c>
    </row>
    <row r="673" spans="1:73" x14ac:dyDescent="0.25">
      <c r="A673" s="2" t="s">
        <v>112</v>
      </c>
      <c r="B673" s="4">
        <v>38</v>
      </c>
      <c r="C673" s="4">
        <v>1</v>
      </c>
      <c r="D673" s="4">
        <v>2</v>
      </c>
      <c r="E673" s="4">
        <v>3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1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1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2</v>
      </c>
      <c r="AF673" s="3">
        <v>0</v>
      </c>
      <c r="AG673" s="3">
        <v>0</v>
      </c>
      <c r="AH673" s="3">
        <v>1</v>
      </c>
      <c r="AI673" s="3">
        <v>1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</row>
    <row r="674" spans="1:73" x14ac:dyDescent="0.25">
      <c r="A674" s="2" t="s">
        <v>112</v>
      </c>
      <c r="B674" s="4">
        <v>38</v>
      </c>
      <c r="C674" s="4">
        <v>1</v>
      </c>
      <c r="D674" s="4">
        <v>3</v>
      </c>
      <c r="E674" s="4">
        <v>1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1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3">
        <v>0</v>
      </c>
      <c r="BO674" s="3">
        <v>0</v>
      </c>
      <c r="BP674" s="3">
        <v>0</v>
      </c>
      <c r="BQ674" s="3">
        <v>0</v>
      </c>
      <c r="BR674" s="3">
        <v>0</v>
      </c>
      <c r="BS674" s="3">
        <v>0</v>
      </c>
      <c r="BT674" s="3">
        <v>0</v>
      </c>
      <c r="BU674" s="3">
        <v>0</v>
      </c>
    </row>
    <row r="675" spans="1:73" x14ac:dyDescent="0.25">
      <c r="A675" s="2" t="s">
        <v>112</v>
      </c>
      <c r="B675" s="4">
        <v>38</v>
      </c>
      <c r="C675" s="4">
        <v>1</v>
      </c>
      <c r="D675" s="4">
        <v>3</v>
      </c>
      <c r="E675" s="4">
        <v>2</v>
      </c>
      <c r="F675" s="3">
        <v>0</v>
      </c>
      <c r="G675" s="3">
        <v>0</v>
      </c>
      <c r="H675" s="3">
        <v>0</v>
      </c>
      <c r="I675" s="3">
        <v>0</v>
      </c>
      <c r="J675" s="3">
        <v>2</v>
      </c>
      <c r="K675" s="3">
        <v>1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1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1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</row>
    <row r="676" spans="1:73" x14ac:dyDescent="0.25">
      <c r="A676" s="2" t="s">
        <v>112</v>
      </c>
      <c r="B676" s="4">
        <v>38</v>
      </c>
      <c r="C676" s="4">
        <v>1</v>
      </c>
      <c r="D676" s="4">
        <v>3</v>
      </c>
      <c r="E676" s="4">
        <v>3</v>
      </c>
      <c r="F676" s="3">
        <v>2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2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0</v>
      </c>
      <c r="BK676" s="3">
        <v>1</v>
      </c>
      <c r="BL676" s="3">
        <v>0</v>
      </c>
      <c r="BM676" s="3">
        <v>0</v>
      </c>
      <c r="BN676" s="3">
        <v>0</v>
      </c>
      <c r="BO676" s="3">
        <v>0</v>
      </c>
      <c r="BP676" s="3">
        <v>0</v>
      </c>
      <c r="BQ676" s="3">
        <v>0</v>
      </c>
      <c r="BR676" s="3">
        <v>0</v>
      </c>
      <c r="BS676" s="3">
        <v>0</v>
      </c>
      <c r="BT676" s="3">
        <v>0</v>
      </c>
      <c r="BU676" s="3">
        <v>0</v>
      </c>
    </row>
    <row r="677" spans="1:73" x14ac:dyDescent="0.25">
      <c r="A677" s="2" t="s">
        <v>112</v>
      </c>
      <c r="B677" s="4">
        <v>38</v>
      </c>
      <c r="C677" s="4">
        <v>2</v>
      </c>
      <c r="D677" s="4">
        <v>1</v>
      </c>
      <c r="E677" s="4">
        <v>1</v>
      </c>
      <c r="F677" s="3">
        <v>0</v>
      </c>
      <c r="G677" s="3">
        <v>1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1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1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1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1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>
        <v>0</v>
      </c>
    </row>
    <row r="678" spans="1:73" x14ac:dyDescent="0.25">
      <c r="A678" s="2" t="s">
        <v>112</v>
      </c>
      <c r="B678" s="4">
        <v>38</v>
      </c>
      <c r="C678" s="4">
        <v>2</v>
      </c>
      <c r="D678" s="4">
        <v>1</v>
      </c>
      <c r="E678" s="4">
        <v>2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1</v>
      </c>
      <c r="BI678" s="3">
        <v>0</v>
      </c>
      <c r="BJ678" s="3">
        <v>8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3">
        <v>0</v>
      </c>
    </row>
    <row r="679" spans="1:73" x14ac:dyDescent="0.25">
      <c r="A679" s="2" t="s">
        <v>112</v>
      </c>
      <c r="B679" s="4">
        <v>38</v>
      </c>
      <c r="C679" s="4">
        <v>2</v>
      </c>
      <c r="D679" s="4">
        <v>1</v>
      </c>
      <c r="E679" s="4">
        <v>3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1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2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1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>
        <v>0</v>
      </c>
      <c r="BU679" s="3">
        <v>0</v>
      </c>
    </row>
    <row r="680" spans="1:73" x14ac:dyDescent="0.25">
      <c r="A680" s="2" t="s">
        <v>112</v>
      </c>
      <c r="B680" s="4">
        <v>38</v>
      </c>
      <c r="C680" s="4">
        <v>2</v>
      </c>
      <c r="D680" s="4">
        <v>2</v>
      </c>
      <c r="E680" s="4">
        <v>1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0</v>
      </c>
      <c r="BQ680" s="3">
        <v>0</v>
      </c>
      <c r="BR680" s="3">
        <v>0</v>
      </c>
      <c r="BS680" s="3">
        <v>0</v>
      </c>
      <c r="BT680" s="3">
        <v>0</v>
      </c>
      <c r="BU680" s="3">
        <v>0</v>
      </c>
    </row>
    <row r="681" spans="1:73" x14ac:dyDescent="0.25">
      <c r="A681" s="2" t="s">
        <v>112</v>
      </c>
      <c r="B681" s="4">
        <v>38</v>
      </c>
      <c r="C681" s="4">
        <v>2</v>
      </c>
      <c r="D681" s="4">
        <v>2</v>
      </c>
      <c r="E681" s="4">
        <v>2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1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0</v>
      </c>
      <c r="BQ681" s="3">
        <v>0</v>
      </c>
      <c r="BR681" s="3">
        <v>0</v>
      </c>
      <c r="BS681" s="3">
        <v>0</v>
      </c>
      <c r="BT681" s="3">
        <v>0</v>
      </c>
      <c r="BU681" s="3">
        <v>0</v>
      </c>
    </row>
    <row r="682" spans="1:73" x14ac:dyDescent="0.25">
      <c r="A682" s="2" t="s">
        <v>112</v>
      </c>
      <c r="B682" s="4">
        <v>38</v>
      </c>
      <c r="C682" s="4">
        <v>2</v>
      </c>
      <c r="D682" s="4">
        <v>2</v>
      </c>
      <c r="E682" s="4">
        <v>3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1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1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  <c r="BN682" s="3">
        <v>0</v>
      </c>
      <c r="BO682" s="3">
        <v>0</v>
      </c>
      <c r="BP682" s="3">
        <v>0</v>
      </c>
      <c r="BQ682" s="3">
        <v>0</v>
      </c>
      <c r="BR682" s="3">
        <v>0</v>
      </c>
      <c r="BS682" s="3">
        <v>0</v>
      </c>
      <c r="BT682" s="3">
        <v>0</v>
      </c>
      <c r="BU682" s="3">
        <v>0</v>
      </c>
    </row>
    <row r="683" spans="1:73" x14ac:dyDescent="0.25">
      <c r="A683" s="2" t="s">
        <v>112</v>
      </c>
      <c r="B683" s="4">
        <v>38</v>
      </c>
      <c r="C683" s="4">
        <v>2</v>
      </c>
      <c r="D683" s="4">
        <v>3</v>
      </c>
      <c r="E683" s="4">
        <v>1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3">
        <v>0</v>
      </c>
      <c r="BQ683" s="3">
        <v>0</v>
      </c>
      <c r="BR683" s="3">
        <v>0</v>
      </c>
      <c r="BS683" s="3">
        <v>0</v>
      </c>
      <c r="BT683" s="3">
        <v>0</v>
      </c>
      <c r="BU683" s="3">
        <v>0</v>
      </c>
    </row>
    <row r="684" spans="1:73" x14ac:dyDescent="0.25">
      <c r="A684" s="2" t="s">
        <v>112</v>
      </c>
      <c r="B684" s="4">
        <v>38</v>
      </c>
      <c r="C684" s="4">
        <v>2</v>
      </c>
      <c r="D684" s="4">
        <v>3</v>
      </c>
      <c r="E684" s="4">
        <v>2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1</v>
      </c>
      <c r="AA684" s="3">
        <v>0</v>
      </c>
      <c r="AB684" s="3">
        <v>2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1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4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0</v>
      </c>
      <c r="BS684" s="3">
        <v>0</v>
      </c>
      <c r="BT684" s="3">
        <v>2</v>
      </c>
      <c r="BU684" s="3">
        <v>0</v>
      </c>
    </row>
    <row r="685" spans="1:73" x14ac:dyDescent="0.25">
      <c r="A685" s="2" t="s">
        <v>112</v>
      </c>
      <c r="B685" s="4">
        <v>38</v>
      </c>
      <c r="C685" s="4">
        <v>2</v>
      </c>
      <c r="D685" s="4">
        <v>3</v>
      </c>
      <c r="E685" s="4">
        <v>3</v>
      </c>
      <c r="F685" s="3">
        <v>0</v>
      </c>
      <c r="G685" s="3">
        <v>0</v>
      </c>
      <c r="H685" s="3">
        <v>0</v>
      </c>
      <c r="I685" s="3">
        <v>0</v>
      </c>
      <c r="J685" s="3">
        <v>1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1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1</v>
      </c>
      <c r="BA685" s="3">
        <v>1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1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>
        <v>0</v>
      </c>
      <c r="BU685" s="3">
        <v>0</v>
      </c>
    </row>
    <row r="686" spans="1:73" x14ac:dyDescent="0.25">
      <c r="A686" s="2" t="s">
        <v>113</v>
      </c>
      <c r="B686" s="4">
        <v>39</v>
      </c>
      <c r="C686" s="4">
        <v>1</v>
      </c>
      <c r="D686" s="4">
        <v>1</v>
      </c>
      <c r="E686" s="4">
        <v>1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3">
        <v>0</v>
      </c>
      <c r="BO686" s="3">
        <v>0</v>
      </c>
      <c r="BP686" s="3">
        <v>0</v>
      </c>
      <c r="BQ686" s="3">
        <v>0</v>
      </c>
      <c r="BR686" s="3">
        <v>0</v>
      </c>
      <c r="BS686" s="3">
        <v>0</v>
      </c>
      <c r="BT686" s="3">
        <v>0</v>
      </c>
      <c r="BU686" s="3">
        <v>0</v>
      </c>
    </row>
    <row r="687" spans="1:73" x14ac:dyDescent="0.25">
      <c r="A687" s="2" t="s">
        <v>113</v>
      </c>
      <c r="B687" s="4">
        <v>39</v>
      </c>
      <c r="C687" s="4">
        <v>1</v>
      </c>
      <c r="D687" s="4">
        <v>1</v>
      </c>
      <c r="E687" s="4">
        <v>2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2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0</v>
      </c>
    </row>
    <row r="688" spans="1:73" x14ac:dyDescent="0.25">
      <c r="A688" s="2" t="s">
        <v>113</v>
      </c>
      <c r="B688" s="4">
        <v>39</v>
      </c>
      <c r="C688" s="4">
        <v>1</v>
      </c>
      <c r="D688" s="4">
        <v>1</v>
      </c>
      <c r="E688" s="4">
        <v>3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1</v>
      </c>
      <c r="O688" s="3">
        <v>0</v>
      </c>
      <c r="P688" s="3">
        <v>0</v>
      </c>
      <c r="Q688" s="3">
        <v>2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1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1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1</v>
      </c>
      <c r="BB688" s="3">
        <v>0</v>
      </c>
      <c r="BC688" s="3">
        <v>0</v>
      </c>
      <c r="BD688" s="3">
        <v>0</v>
      </c>
      <c r="BE688" s="3">
        <v>0</v>
      </c>
      <c r="BF688" s="3">
        <v>3</v>
      </c>
      <c r="BG688" s="3">
        <v>0</v>
      </c>
      <c r="BH688" s="3">
        <v>0</v>
      </c>
      <c r="BI688" s="3">
        <v>0</v>
      </c>
      <c r="BJ688" s="3">
        <v>1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0</v>
      </c>
      <c r="BR688" s="3">
        <v>0</v>
      </c>
      <c r="BS688" s="3">
        <v>0</v>
      </c>
      <c r="BT688" s="3">
        <v>0</v>
      </c>
      <c r="BU688" s="3">
        <v>0</v>
      </c>
    </row>
    <row r="689" spans="1:73" x14ac:dyDescent="0.25">
      <c r="A689" s="2" t="s">
        <v>113</v>
      </c>
      <c r="B689" s="4">
        <v>39</v>
      </c>
      <c r="C689" s="4">
        <v>1</v>
      </c>
      <c r="D689" s="4">
        <v>2</v>
      </c>
      <c r="E689" s="4">
        <v>1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1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3">
        <v>0</v>
      </c>
      <c r="BT689" s="3">
        <v>0</v>
      </c>
      <c r="BU689" s="3">
        <v>0</v>
      </c>
    </row>
    <row r="690" spans="1:73" x14ac:dyDescent="0.25">
      <c r="A690" s="2" t="s">
        <v>113</v>
      </c>
      <c r="B690" s="4">
        <v>39</v>
      </c>
      <c r="C690" s="4">
        <v>1</v>
      </c>
      <c r="D690" s="4">
        <v>2</v>
      </c>
      <c r="E690" s="4">
        <v>2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2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3">
        <v>0</v>
      </c>
      <c r="BQ690" s="3">
        <v>0</v>
      </c>
      <c r="BR690" s="3">
        <v>0</v>
      </c>
      <c r="BS690" s="3">
        <v>0</v>
      </c>
      <c r="BT690" s="3">
        <v>0</v>
      </c>
      <c r="BU690" s="3">
        <v>0</v>
      </c>
    </row>
    <row r="691" spans="1:73" x14ac:dyDescent="0.25">
      <c r="A691" s="2" t="s">
        <v>113</v>
      </c>
      <c r="B691" s="4">
        <v>39</v>
      </c>
      <c r="C691" s="4">
        <v>1</v>
      </c>
      <c r="D691" s="4">
        <v>2</v>
      </c>
      <c r="E691" s="4">
        <v>3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1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1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3">
        <v>1</v>
      </c>
      <c r="BU691" s="3">
        <v>0</v>
      </c>
    </row>
    <row r="692" spans="1:73" x14ac:dyDescent="0.25">
      <c r="A692" s="2" t="s">
        <v>113</v>
      </c>
      <c r="B692" s="4">
        <v>39</v>
      </c>
      <c r="C692" s="4">
        <v>1</v>
      </c>
      <c r="D692" s="4">
        <v>3</v>
      </c>
      <c r="E692" s="4">
        <v>1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0</v>
      </c>
      <c r="BK692" s="3">
        <v>0</v>
      </c>
      <c r="BL692" s="3">
        <v>0</v>
      </c>
      <c r="BM692" s="3">
        <v>0</v>
      </c>
      <c r="BN692" s="3">
        <v>0</v>
      </c>
      <c r="BO692" s="3">
        <v>0</v>
      </c>
      <c r="BP692" s="3">
        <v>0</v>
      </c>
      <c r="BQ692" s="3">
        <v>0</v>
      </c>
      <c r="BR692" s="3">
        <v>0</v>
      </c>
      <c r="BS692" s="3">
        <v>0</v>
      </c>
      <c r="BT692" s="3">
        <v>0</v>
      </c>
      <c r="BU692" s="3">
        <v>0</v>
      </c>
    </row>
    <row r="693" spans="1:73" x14ac:dyDescent="0.25">
      <c r="A693" s="2" t="s">
        <v>113</v>
      </c>
      <c r="B693" s="4">
        <v>39</v>
      </c>
      <c r="C693" s="4">
        <v>1</v>
      </c>
      <c r="D693" s="4">
        <v>3</v>
      </c>
      <c r="E693" s="4">
        <v>2</v>
      </c>
      <c r="F693" s="3">
        <v>0</v>
      </c>
      <c r="G693" s="3">
        <v>0</v>
      </c>
      <c r="H693" s="3">
        <v>0</v>
      </c>
      <c r="I693" s="3">
        <v>0</v>
      </c>
      <c r="J693" s="3">
        <v>1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</row>
    <row r="694" spans="1:73" x14ac:dyDescent="0.25">
      <c r="A694" s="2" t="s">
        <v>113</v>
      </c>
      <c r="B694" s="4">
        <v>39</v>
      </c>
      <c r="C694" s="4">
        <v>1</v>
      </c>
      <c r="D694" s="4">
        <v>3</v>
      </c>
      <c r="E694" s="4">
        <v>3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3">
        <v>0</v>
      </c>
      <c r="BO694" s="3">
        <v>0</v>
      </c>
      <c r="BP694" s="3">
        <v>0</v>
      </c>
      <c r="BQ694" s="3">
        <v>0</v>
      </c>
      <c r="BR694" s="3">
        <v>0</v>
      </c>
      <c r="BS694" s="3">
        <v>0</v>
      </c>
      <c r="BT694" s="3">
        <v>0</v>
      </c>
      <c r="BU694" s="3">
        <v>0</v>
      </c>
    </row>
    <row r="695" spans="1:73" x14ac:dyDescent="0.25">
      <c r="A695" s="2" t="s">
        <v>113</v>
      </c>
      <c r="B695" s="4">
        <v>39</v>
      </c>
      <c r="C695" s="4">
        <v>2</v>
      </c>
      <c r="D695" s="4">
        <v>1</v>
      </c>
      <c r="E695" s="4">
        <v>1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5</v>
      </c>
      <c r="BG695" s="3">
        <v>0</v>
      </c>
      <c r="BH695" s="3">
        <v>0</v>
      </c>
      <c r="BI695" s="3">
        <v>0</v>
      </c>
      <c r="BJ695" s="3">
        <v>2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</row>
    <row r="696" spans="1:73" x14ac:dyDescent="0.25">
      <c r="A696" s="2" t="s">
        <v>113</v>
      </c>
      <c r="B696" s="4">
        <v>39</v>
      </c>
      <c r="C696" s="4">
        <v>2</v>
      </c>
      <c r="D696" s="4">
        <v>1</v>
      </c>
      <c r="E696" s="4">
        <v>2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1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1</v>
      </c>
      <c r="BI696" s="3">
        <v>0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0</v>
      </c>
      <c r="BR696" s="3">
        <v>0</v>
      </c>
      <c r="BS696" s="3">
        <v>0</v>
      </c>
      <c r="BT696" s="3">
        <v>0</v>
      </c>
      <c r="BU696" s="3">
        <v>0</v>
      </c>
    </row>
    <row r="697" spans="1:73" x14ac:dyDescent="0.25">
      <c r="A697" s="2" t="s">
        <v>113</v>
      </c>
      <c r="B697" s="4">
        <v>39</v>
      </c>
      <c r="C697" s="4">
        <v>2</v>
      </c>
      <c r="D697" s="4">
        <v>1</v>
      </c>
      <c r="E697" s="4">
        <v>3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1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1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0</v>
      </c>
      <c r="BU697" s="3">
        <v>0</v>
      </c>
    </row>
    <row r="698" spans="1:73" x14ac:dyDescent="0.25">
      <c r="A698" s="2" t="s">
        <v>113</v>
      </c>
      <c r="B698" s="4">
        <v>39</v>
      </c>
      <c r="C698" s="4">
        <v>2</v>
      </c>
      <c r="D698" s="4">
        <v>2</v>
      </c>
      <c r="E698" s="4">
        <v>1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</v>
      </c>
      <c r="BT698" s="3">
        <v>0</v>
      </c>
      <c r="BU698" s="3">
        <v>0</v>
      </c>
    </row>
    <row r="699" spans="1:73" x14ac:dyDescent="0.25">
      <c r="A699" s="2" t="s">
        <v>113</v>
      </c>
      <c r="B699" s="4">
        <v>39</v>
      </c>
      <c r="C699" s="4">
        <v>2</v>
      </c>
      <c r="D699" s="4">
        <v>2</v>
      </c>
      <c r="E699" s="4">
        <v>2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</row>
    <row r="700" spans="1:73" x14ac:dyDescent="0.25">
      <c r="A700" s="2" t="s">
        <v>113</v>
      </c>
      <c r="B700" s="4">
        <v>39</v>
      </c>
      <c r="C700" s="4">
        <v>2</v>
      </c>
      <c r="D700" s="4">
        <v>2</v>
      </c>
      <c r="E700" s="4">
        <v>3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0</v>
      </c>
      <c r="BQ700" s="3">
        <v>0</v>
      </c>
      <c r="BR700" s="3">
        <v>0</v>
      </c>
      <c r="BS700" s="3">
        <v>0</v>
      </c>
      <c r="BT700" s="3">
        <v>0</v>
      </c>
      <c r="BU700" s="3">
        <v>0</v>
      </c>
    </row>
    <row r="701" spans="1:73" x14ac:dyDescent="0.25">
      <c r="A701" s="2" t="s">
        <v>113</v>
      </c>
      <c r="B701" s="4">
        <v>39</v>
      </c>
      <c r="C701" s="4">
        <v>2</v>
      </c>
      <c r="D701" s="4">
        <v>3</v>
      </c>
      <c r="E701" s="4">
        <v>1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0</v>
      </c>
      <c r="BU701" s="3">
        <v>0</v>
      </c>
    </row>
    <row r="702" spans="1:73" x14ac:dyDescent="0.25">
      <c r="A702" s="2" t="s">
        <v>113</v>
      </c>
      <c r="B702" s="4">
        <v>39</v>
      </c>
      <c r="C702" s="4">
        <v>2</v>
      </c>
      <c r="D702" s="4">
        <v>3</v>
      </c>
      <c r="E702" s="4">
        <v>2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1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0</v>
      </c>
      <c r="BN702" s="3">
        <v>0</v>
      </c>
      <c r="BO702" s="3">
        <v>0</v>
      </c>
      <c r="BP702" s="3">
        <v>0</v>
      </c>
      <c r="BQ702" s="3">
        <v>0</v>
      </c>
      <c r="BR702" s="3">
        <v>0</v>
      </c>
      <c r="BS702" s="3">
        <v>0</v>
      </c>
      <c r="BT702" s="3">
        <v>0</v>
      </c>
      <c r="BU702" s="3">
        <v>0</v>
      </c>
    </row>
    <row r="703" spans="1:73" x14ac:dyDescent="0.25">
      <c r="A703" s="2" t="s">
        <v>113</v>
      </c>
      <c r="B703" s="4">
        <v>39</v>
      </c>
      <c r="C703" s="4">
        <v>2</v>
      </c>
      <c r="D703" s="4">
        <v>3</v>
      </c>
      <c r="E703" s="4">
        <v>3</v>
      </c>
      <c r="F703" s="3">
        <v>0</v>
      </c>
      <c r="G703" s="3">
        <v>1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3">
        <v>0</v>
      </c>
    </row>
    <row r="704" spans="1:73" x14ac:dyDescent="0.25">
      <c r="A704" s="2" t="s">
        <v>114</v>
      </c>
      <c r="B704" s="4">
        <v>40</v>
      </c>
      <c r="C704" s="4">
        <v>1</v>
      </c>
      <c r="D704" s="4">
        <v>1</v>
      </c>
      <c r="E704" s="4">
        <v>1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1</v>
      </c>
      <c r="BG704" s="3">
        <v>0</v>
      </c>
      <c r="BH704" s="3">
        <v>0</v>
      </c>
      <c r="BI704" s="3">
        <v>0</v>
      </c>
      <c r="BJ704" s="3">
        <v>0</v>
      </c>
      <c r="BK704" s="3">
        <v>0</v>
      </c>
      <c r="BL704" s="3">
        <v>0</v>
      </c>
      <c r="BM704" s="3">
        <v>0</v>
      </c>
      <c r="BN704" s="3">
        <v>0</v>
      </c>
      <c r="BO704" s="3">
        <v>0</v>
      </c>
      <c r="BP704" s="3">
        <v>0</v>
      </c>
      <c r="BQ704" s="3">
        <v>0</v>
      </c>
      <c r="BR704" s="3">
        <v>0</v>
      </c>
      <c r="BS704" s="3">
        <v>0</v>
      </c>
      <c r="BT704" s="3">
        <v>0</v>
      </c>
      <c r="BU704" s="3">
        <v>0</v>
      </c>
    </row>
    <row r="705" spans="1:73" x14ac:dyDescent="0.25">
      <c r="A705" s="2" t="s">
        <v>114</v>
      </c>
      <c r="B705" s="4">
        <v>40</v>
      </c>
      <c r="C705" s="4">
        <v>1</v>
      </c>
      <c r="D705" s="4">
        <v>1</v>
      </c>
      <c r="E705" s="4">
        <v>2</v>
      </c>
      <c r="F705" s="3">
        <v>0</v>
      </c>
      <c r="G705" s="3">
        <v>0</v>
      </c>
      <c r="H705" s="3">
        <v>0</v>
      </c>
      <c r="I705" s="3">
        <v>0</v>
      </c>
      <c r="J705" s="3">
        <v>1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2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1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1</v>
      </c>
      <c r="BB705" s="3">
        <v>0</v>
      </c>
      <c r="BC705" s="3">
        <v>0</v>
      </c>
      <c r="BD705" s="3">
        <v>0</v>
      </c>
      <c r="BE705" s="3">
        <v>0</v>
      </c>
      <c r="BF705" s="3">
        <v>1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0</v>
      </c>
      <c r="BU705" s="3">
        <v>0</v>
      </c>
    </row>
    <row r="706" spans="1:73" x14ac:dyDescent="0.25">
      <c r="A706" s="2" t="s">
        <v>114</v>
      </c>
      <c r="B706" s="4">
        <v>40</v>
      </c>
      <c r="C706" s="4">
        <v>1</v>
      </c>
      <c r="D706" s="4">
        <v>1</v>
      </c>
      <c r="E706" s="4">
        <v>3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1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1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0</v>
      </c>
      <c r="BN706" s="3">
        <v>0</v>
      </c>
      <c r="BO706" s="3">
        <v>0</v>
      </c>
      <c r="BP706" s="3">
        <v>0</v>
      </c>
      <c r="BQ706" s="3">
        <v>0</v>
      </c>
      <c r="BR706" s="3">
        <v>0</v>
      </c>
      <c r="BS706" s="3">
        <v>0</v>
      </c>
      <c r="BT706" s="3">
        <v>0</v>
      </c>
      <c r="BU706" s="3">
        <v>0</v>
      </c>
    </row>
    <row r="707" spans="1:73" x14ac:dyDescent="0.25">
      <c r="A707" s="2" t="s">
        <v>114</v>
      </c>
      <c r="B707" s="4">
        <v>40</v>
      </c>
      <c r="C707" s="4">
        <v>1</v>
      </c>
      <c r="D707" s="4">
        <v>2</v>
      </c>
      <c r="E707" s="4">
        <v>1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</row>
    <row r="708" spans="1:73" x14ac:dyDescent="0.25">
      <c r="A708" s="2" t="s">
        <v>114</v>
      </c>
      <c r="B708" s="4">
        <v>40</v>
      </c>
      <c r="C708" s="4">
        <v>1</v>
      </c>
      <c r="D708" s="4">
        <v>2</v>
      </c>
      <c r="E708" s="4">
        <v>2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1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1</v>
      </c>
      <c r="BI708" s="3">
        <v>0</v>
      </c>
      <c r="BJ708" s="3">
        <v>0</v>
      </c>
      <c r="BK708" s="3">
        <v>0</v>
      </c>
      <c r="BL708" s="3">
        <v>0</v>
      </c>
      <c r="BM708" s="3">
        <v>0</v>
      </c>
      <c r="BN708" s="3">
        <v>0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3">
        <v>0</v>
      </c>
    </row>
    <row r="709" spans="1:73" x14ac:dyDescent="0.25">
      <c r="A709" s="2" t="s">
        <v>114</v>
      </c>
      <c r="B709" s="4">
        <v>40</v>
      </c>
      <c r="C709" s="4">
        <v>1</v>
      </c>
      <c r="D709" s="4">
        <v>2</v>
      </c>
      <c r="E709" s="4">
        <v>3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1</v>
      </c>
      <c r="AF709" s="3">
        <v>0</v>
      </c>
      <c r="AG709" s="3">
        <v>0</v>
      </c>
      <c r="AH709" s="3">
        <v>1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3">
        <v>0</v>
      </c>
    </row>
    <row r="710" spans="1:73" x14ac:dyDescent="0.25">
      <c r="A710" s="2" t="s">
        <v>114</v>
      </c>
      <c r="B710" s="4">
        <v>40</v>
      </c>
      <c r="C710" s="4">
        <v>1</v>
      </c>
      <c r="D710" s="4">
        <v>3</v>
      </c>
      <c r="E710" s="4">
        <v>1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3">
        <v>0</v>
      </c>
      <c r="BN710" s="3">
        <v>0</v>
      </c>
      <c r="BO710" s="3">
        <v>0</v>
      </c>
      <c r="BP710" s="3">
        <v>0</v>
      </c>
      <c r="BQ710" s="3">
        <v>0</v>
      </c>
      <c r="BR710" s="3">
        <v>0</v>
      </c>
      <c r="BS710" s="3">
        <v>0</v>
      </c>
      <c r="BT710" s="3">
        <v>0</v>
      </c>
      <c r="BU710" s="3">
        <v>0</v>
      </c>
    </row>
    <row r="711" spans="1:73" x14ac:dyDescent="0.25">
      <c r="A711" s="2" t="s">
        <v>114</v>
      </c>
      <c r="B711" s="4">
        <v>40</v>
      </c>
      <c r="C711" s="4">
        <v>1</v>
      </c>
      <c r="D711" s="4">
        <v>3</v>
      </c>
      <c r="E711" s="4">
        <v>2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4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0</v>
      </c>
    </row>
    <row r="712" spans="1:73" x14ac:dyDescent="0.25">
      <c r="A712" s="2" t="s">
        <v>114</v>
      </c>
      <c r="B712" s="4">
        <v>40</v>
      </c>
      <c r="C712" s="4">
        <v>1</v>
      </c>
      <c r="D712" s="4">
        <v>3</v>
      </c>
      <c r="E712" s="4">
        <v>3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1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1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  <c r="BN712" s="3">
        <v>0</v>
      </c>
      <c r="BO712" s="3">
        <v>0</v>
      </c>
      <c r="BP712" s="3">
        <v>0</v>
      </c>
      <c r="BQ712" s="3">
        <v>0</v>
      </c>
      <c r="BR712" s="3">
        <v>0</v>
      </c>
      <c r="BS712" s="3">
        <v>0</v>
      </c>
      <c r="BT712" s="3">
        <v>0</v>
      </c>
      <c r="BU712" s="3">
        <v>0</v>
      </c>
    </row>
    <row r="713" spans="1:73" x14ac:dyDescent="0.25">
      <c r="A713" s="2" t="s">
        <v>114</v>
      </c>
      <c r="B713" s="4">
        <v>40</v>
      </c>
      <c r="C713" s="4">
        <v>2</v>
      </c>
      <c r="D713" s="4">
        <v>1</v>
      </c>
      <c r="E713" s="4">
        <v>1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1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1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2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>
        <v>0</v>
      </c>
      <c r="BU713" s="3">
        <v>0</v>
      </c>
    </row>
    <row r="714" spans="1:73" x14ac:dyDescent="0.25">
      <c r="A714" s="2" t="s">
        <v>114</v>
      </c>
      <c r="B714" s="4">
        <v>40</v>
      </c>
      <c r="C714" s="4">
        <v>2</v>
      </c>
      <c r="D714" s="4">
        <v>1</v>
      </c>
      <c r="E714" s="4">
        <v>2</v>
      </c>
      <c r="F714" s="3">
        <v>0</v>
      </c>
      <c r="G714" s="3">
        <v>2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1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3</v>
      </c>
      <c r="BG714" s="3">
        <v>0</v>
      </c>
      <c r="BH714" s="3">
        <v>0</v>
      </c>
      <c r="BI714" s="3">
        <v>0</v>
      </c>
      <c r="BJ714" s="3">
        <v>0</v>
      </c>
      <c r="BK714" s="3">
        <v>0</v>
      </c>
      <c r="BL714" s="3">
        <v>0</v>
      </c>
      <c r="BM714" s="3">
        <v>0</v>
      </c>
      <c r="BN714" s="3">
        <v>0</v>
      </c>
      <c r="BO714" s="3">
        <v>0</v>
      </c>
      <c r="BP714" s="3">
        <v>0</v>
      </c>
      <c r="BQ714" s="3">
        <v>0</v>
      </c>
      <c r="BR714" s="3">
        <v>0</v>
      </c>
      <c r="BS714" s="3">
        <v>0</v>
      </c>
      <c r="BT714" s="3">
        <v>0</v>
      </c>
      <c r="BU714" s="3">
        <v>0</v>
      </c>
    </row>
    <row r="715" spans="1:73" x14ac:dyDescent="0.25">
      <c r="A715" s="2" t="s">
        <v>114</v>
      </c>
      <c r="B715" s="4">
        <v>40</v>
      </c>
      <c r="C715" s="4">
        <v>2</v>
      </c>
      <c r="D715" s="4">
        <v>1</v>
      </c>
      <c r="E715" s="4">
        <v>3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1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1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0</v>
      </c>
      <c r="BR715" s="3">
        <v>0</v>
      </c>
      <c r="BS715" s="3">
        <v>0</v>
      </c>
      <c r="BT715" s="3">
        <v>0</v>
      </c>
      <c r="BU715" s="3">
        <v>0</v>
      </c>
    </row>
    <row r="716" spans="1:73" x14ac:dyDescent="0.25">
      <c r="A716" s="2" t="s">
        <v>114</v>
      </c>
      <c r="B716" s="4">
        <v>40</v>
      </c>
      <c r="C716" s="4">
        <v>2</v>
      </c>
      <c r="D716" s="4">
        <v>2</v>
      </c>
      <c r="E716" s="4">
        <v>1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3">
        <v>0</v>
      </c>
      <c r="BQ716" s="3">
        <v>0</v>
      </c>
      <c r="BR716" s="3">
        <v>0</v>
      </c>
      <c r="BS716" s="3">
        <v>0</v>
      </c>
      <c r="BT716" s="3">
        <v>0</v>
      </c>
      <c r="BU716" s="3">
        <v>0</v>
      </c>
    </row>
    <row r="717" spans="1:73" x14ac:dyDescent="0.25">
      <c r="A717" s="2" t="s">
        <v>114</v>
      </c>
      <c r="B717" s="4">
        <v>40</v>
      </c>
      <c r="C717" s="4">
        <v>2</v>
      </c>
      <c r="D717" s="4">
        <v>2</v>
      </c>
      <c r="E717" s="4">
        <v>2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0</v>
      </c>
      <c r="BU717" s="3">
        <v>0</v>
      </c>
    </row>
    <row r="718" spans="1:73" x14ac:dyDescent="0.25">
      <c r="A718" s="2" t="s">
        <v>114</v>
      </c>
      <c r="B718" s="4">
        <v>40</v>
      </c>
      <c r="C718" s="4">
        <v>2</v>
      </c>
      <c r="D718" s="4">
        <v>2</v>
      </c>
      <c r="E718" s="4">
        <v>3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1</v>
      </c>
      <c r="BI718" s="3">
        <v>0</v>
      </c>
      <c r="BJ718" s="3">
        <v>0</v>
      </c>
      <c r="BK718" s="3">
        <v>0</v>
      </c>
      <c r="BL718" s="3">
        <v>0</v>
      </c>
      <c r="BM718" s="3">
        <v>0</v>
      </c>
      <c r="BN718" s="3">
        <v>0</v>
      </c>
      <c r="BO718" s="3">
        <v>0</v>
      </c>
      <c r="BP718" s="3">
        <v>0</v>
      </c>
      <c r="BQ718" s="3">
        <v>0</v>
      </c>
      <c r="BR718" s="3">
        <v>0</v>
      </c>
      <c r="BS718" s="3">
        <v>0</v>
      </c>
      <c r="BT718" s="3">
        <v>0</v>
      </c>
      <c r="BU718" s="3">
        <v>0</v>
      </c>
    </row>
    <row r="719" spans="1:73" x14ac:dyDescent="0.25">
      <c r="A719" s="2" t="s">
        <v>114</v>
      </c>
      <c r="B719" s="4">
        <v>40</v>
      </c>
      <c r="C719" s="4">
        <v>2</v>
      </c>
      <c r="D719" s="4">
        <v>3</v>
      </c>
      <c r="E719" s="4">
        <v>1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</row>
    <row r="720" spans="1:73" x14ac:dyDescent="0.25">
      <c r="A720" s="2" t="s">
        <v>114</v>
      </c>
      <c r="B720" s="4">
        <v>40</v>
      </c>
      <c r="C720" s="4">
        <v>2</v>
      </c>
      <c r="D720" s="4">
        <v>3</v>
      </c>
      <c r="E720" s="4">
        <v>2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0</v>
      </c>
      <c r="BK720" s="3">
        <v>0</v>
      </c>
      <c r="BL720" s="3">
        <v>0</v>
      </c>
      <c r="BM720" s="3">
        <v>0</v>
      </c>
      <c r="BN720" s="3">
        <v>0</v>
      </c>
      <c r="BO720" s="3">
        <v>0</v>
      </c>
      <c r="BP720" s="3">
        <v>0</v>
      </c>
      <c r="BQ720" s="3">
        <v>0</v>
      </c>
      <c r="BR720" s="3">
        <v>0</v>
      </c>
      <c r="BS720" s="3">
        <v>0</v>
      </c>
      <c r="BT720" s="3">
        <v>0</v>
      </c>
      <c r="BU720" s="3">
        <v>0</v>
      </c>
    </row>
    <row r="721" spans="1:73" x14ac:dyDescent="0.25">
      <c r="A721" s="2" t="s">
        <v>114</v>
      </c>
      <c r="B721" s="4">
        <v>40</v>
      </c>
      <c r="C721" s="4">
        <v>2</v>
      </c>
      <c r="D721" s="4">
        <v>3</v>
      </c>
      <c r="E721" s="4">
        <v>3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1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0</v>
      </c>
    </row>
    <row r="722" spans="1:73" x14ac:dyDescent="0.25">
      <c r="A722" s="2" t="s">
        <v>115</v>
      </c>
      <c r="B722" s="4">
        <v>41</v>
      </c>
      <c r="C722" s="4">
        <v>1</v>
      </c>
      <c r="D722" s="4">
        <v>1</v>
      </c>
      <c r="E722" s="4">
        <v>1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1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2</v>
      </c>
      <c r="BK722" s="3">
        <v>0</v>
      </c>
      <c r="BL722" s="3">
        <v>0</v>
      </c>
      <c r="BM722" s="3">
        <v>0</v>
      </c>
      <c r="BN722" s="3">
        <v>0</v>
      </c>
      <c r="BO722" s="3">
        <v>0</v>
      </c>
      <c r="BP722" s="3">
        <v>0</v>
      </c>
      <c r="BQ722" s="3">
        <v>0</v>
      </c>
      <c r="BR722" s="3">
        <v>0</v>
      </c>
      <c r="BS722" s="3">
        <v>0</v>
      </c>
      <c r="BT722" s="3">
        <v>1</v>
      </c>
      <c r="BU722" s="3">
        <v>0</v>
      </c>
    </row>
    <row r="723" spans="1:73" x14ac:dyDescent="0.25">
      <c r="A723" s="2" t="s">
        <v>115</v>
      </c>
      <c r="B723" s="4">
        <v>41</v>
      </c>
      <c r="C723" s="4">
        <v>1</v>
      </c>
      <c r="D723" s="4">
        <v>1</v>
      </c>
      <c r="E723" s="4">
        <v>2</v>
      </c>
      <c r="F723" s="3">
        <v>0</v>
      </c>
      <c r="G723" s="3">
        <v>0</v>
      </c>
      <c r="H723" s="3">
        <v>0</v>
      </c>
      <c r="I723" s="3">
        <v>0</v>
      </c>
      <c r="J723" s="3">
        <v>1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1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3</v>
      </c>
      <c r="BG723" s="3">
        <v>0</v>
      </c>
      <c r="BH723" s="3">
        <v>1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>
        <v>0</v>
      </c>
      <c r="BU723" s="3">
        <v>0</v>
      </c>
    </row>
    <row r="724" spans="1:73" x14ac:dyDescent="0.25">
      <c r="A724" s="2" t="s">
        <v>115</v>
      </c>
      <c r="B724" s="4">
        <v>41</v>
      </c>
      <c r="C724" s="4">
        <v>1</v>
      </c>
      <c r="D724" s="4">
        <v>1</v>
      </c>
      <c r="E724" s="4">
        <v>3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2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1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0</v>
      </c>
      <c r="BQ724" s="3">
        <v>0</v>
      </c>
      <c r="BR724" s="3">
        <v>0</v>
      </c>
      <c r="BS724" s="3">
        <v>0</v>
      </c>
      <c r="BT724" s="3">
        <v>0</v>
      </c>
      <c r="BU724" s="3">
        <v>0</v>
      </c>
    </row>
    <row r="725" spans="1:73" x14ac:dyDescent="0.25">
      <c r="A725" s="2" t="s">
        <v>115</v>
      </c>
      <c r="B725" s="4">
        <v>41</v>
      </c>
      <c r="C725" s="4">
        <v>1</v>
      </c>
      <c r="D725" s="4">
        <v>2</v>
      </c>
      <c r="E725" s="4">
        <v>1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>
        <v>0</v>
      </c>
      <c r="BU725" s="3">
        <v>0</v>
      </c>
    </row>
    <row r="726" spans="1:73" x14ac:dyDescent="0.25">
      <c r="A726" s="2" t="s">
        <v>115</v>
      </c>
      <c r="B726" s="4">
        <v>41</v>
      </c>
      <c r="C726" s="4">
        <v>1</v>
      </c>
      <c r="D726" s="4">
        <v>2</v>
      </c>
      <c r="E726" s="4">
        <v>2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1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</row>
    <row r="727" spans="1:73" x14ac:dyDescent="0.25">
      <c r="A727" s="2" t="s">
        <v>115</v>
      </c>
      <c r="B727" s="4">
        <v>41</v>
      </c>
      <c r="C727" s="4">
        <v>1</v>
      </c>
      <c r="D727" s="4">
        <v>2</v>
      </c>
      <c r="E727" s="4">
        <v>3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1</v>
      </c>
      <c r="S727" s="3">
        <v>1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</row>
    <row r="728" spans="1:73" x14ac:dyDescent="0.25">
      <c r="A728" s="2" t="s">
        <v>115</v>
      </c>
      <c r="B728" s="4">
        <v>41</v>
      </c>
      <c r="C728" s="4">
        <v>1</v>
      </c>
      <c r="D728" s="4">
        <v>3</v>
      </c>
      <c r="E728" s="4">
        <v>1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2</v>
      </c>
      <c r="P728" s="3">
        <v>0</v>
      </c>
      <c r="Q728" s="3">
        <v>1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0</v>
      </c>
      <c r="BK728" s="3">
        <v>0</v>
      </c>
      <c r="BL728" s="3">
        <v>0</v>
      </c>
      <c r="BM728" s="3">
        <v>0</v>
      </c>
      <c r="BN728" s="3">
        <v>0</v>
      </c>
      <c r="BO728" s="3">
        <v>0</v>
      </c>
      <c r="BP728" s="3">
        <v>0</v>
      </c>
      <c r="BQ728" s="3">
        <v>0</v>
      </c>
      <c r="BR728" s="3">
        <v>0</v>
      </c>
      <c r="BS728" s="3">
        <v>0</v>
      </c>
      <c r="BT728" s="3">
        <v>0</v>
      </c>
      <c r="BU728" s="3">
        <v>0</v>
      </c>
    </row>
    <row r="729" spans="1:73" x14ac:dyDescent="0.25">
      <c r="A729" s="2" t="s">
        <v>115</v>
      </c>
      <c r="B729" s="4">
        <v>41</v>
      </c>
      <c r="C729" s="4">
        <v>1</v>
      </c>
      <c r="D729" s="4">
        <v>3</v>
      </c>
      <c r="E729" s="4">
        <v>2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1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3">
        <v>0</v>
      </c>
    </row>
    <row r="730" spans="1:73" x14ac:dyDescent="0.25">
      <c r="A730" s="2" t="s">
        <v>115</v>
      </c>
      <c r="B730" s="4">
        <v>41</v>
      </c>
      <c r="C730" s="4">
        <v>1</v>
      </c>
      <c r="D730" s="4">
        <v>3</v>
      </c>
      <c r="E730" s="4">
        <v>3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1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1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0</v>
      </c>
      <c r="BQ730" s="3">
        <v>0</v>
      </c>
      <c r="BR730" s="3">
        <v>0</v>
      </c>
      <c r="BS730" s="3">
        <v>0</v>
      </c>
      <c r="BT730" s="3">
        <v>0</v>
      </c>
      <c r="BU730" s="3">
        <v>0</v>
      </c>
    </row>
    <row r="731" spans="1:73" x14ac:dyDescent="0.25">
      <c r="A731" s="2" t="s">
        <v>115</v>
      </c>
      <c r="B731" s="4">
        <v>41</v>
      </c>
      <c r="C731" s="4">
        <v>2</v>
      </c>
      <c r="D731" s="4">
        <v>1</v>
      </c>
      <c r="E731" s="4">
        <v>1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1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</row>
    <row r="732" spans="1:73" x14ac:dyDescent="0.25">
      <c r="A732" s="2" t="s">
        <v>115</v>
      </c>
      <c r="B732" s="4">
        <v>41</v>
      </c>
      <c r="C732" s="4">
        <v>2</v>
      </c>
      <c r="D732" s="4">
        <v>1</v>
      </c>
      <c r="E732" s="4">
        <v>2</v>
      </c>
      <c r="F732" s="3">
        <v>0</v>
      </c>
      <c r="G732" s="3">
        <v>0</v>
      </c>
      <c r="H732" s="3">
        <v>0</v>
      </c>
      <c r="I732" s="3">
        <v>0</v>
      </c>
      <c r="J732" s="3">
        <v>1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1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1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2</v>
      </c>
      <c r="BG732" s="3">
        <v>0</v>
      </c>
      <c r="BH732" s="3">
        <v>0</v>
      </c>
      <c r="BI732" s="3">
        <v>0</v>
      </c>
      <c r="BJ732" s="3">
        <v>0</v>
      </c>
      <c r="BK732" s="3">
        <v>0</v>
      </c>
      <c r="BL732" s="3">
        <v>0</v>
      </c>
      <c r="BM732" s="3">
        <v>0</v>
      </c>
      <c r="BN732" s="3">
        <v>0</v>
      </c>
      <c r="BO732" s="3">
        <v>0</v>
      </c>
      <c r="BP732" s="3">
        <v>0</v>
      </c>
      <c r="BQ732" s="3">
        <v>0</v>
      </c>
      <c r="BR732" s="3">
        <v>0</v>
      </c>
      <c r="BS732" s="3">
        <v>0</v>
      </c>
      <c r="BT732" s="3">
        <v>0</v>
      </c>
      <c r="BU732" s="3">
        <v>0</v>
      </c>
    </row>
    <row r="733" spans="1:73" x14ac:dyDescent="0.25">
      <c r="A733" s="2" t="s">
        <v>115</v>
      </c>
      <c r="B733" s="4">
        <v>41</v>
      </c>
      <c r="C733" s="4">
        <v>2</v>
      </c>
      <c r="D733" s="4">
        <v>1</v>
      </c>
      <c r="E733" s="4">
        <v>3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0</v>
      </c>
    </row>
    <row r="734" spans="1:73" x14ac:dyDescent="0.25">
      <c r="A734" s="2" t="s">
        <v>115</v>
      </c>
      <c r="B734" s="4">
        <v>41</v>
      </c>
      <c r="C734" s="4">
        <v>2</v>
      </c>
      <c r="D734" s="4">
        <v>2</v>
      </c>
      <c r="E734" s="4">
        <v>1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3">
        <v>0</v>
      </c>
      <c r="BO734" s="3">
        <v>0</v>
      </c>
      <c r="BP734" s="3">
        <v>0</v>
      </c>
      <c r="BQ734" s="3">
        <v>0</v>
      </c>
      <c r="BR734" s="3">
        <v>0</v>
      </c>
      <c r="BS734" s="3">
        <v>0</v>
      </c>
      <c r="BT734" s="3">
        <v>0</v>
      </c>
      <c r="BU734" s="3">
        <v>0</v>
      </c>
    </row>
    <row r="735" spans="1:73" x14ac:dyDescent="0.25">
      <c r="A735" s="2" t="s">
        <v>115</v>
      </c>
      <c r="B735" s="4">
        <v>41</v>
      </c>
      <c r="C735" s="4">
        <v>2</v>
      </c>
      <c r="D735" s="4">
        <v>2</v>
      </c>
      <c r="E735" s="4">
        <v>2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</v>
      </c>
      <c r="BT735" s="3">
        <v>0</v>
      </c>
      <c r="BU735" s="3">
        <v>0</v>
      </c>
    </row>
    <row r="736" spans="1:73" x14ac:dyDescent="0.25">
      <c r="A736" s="2" t="s">
        <v>115</v>
      </c>
      <c r="B736" s="4">
        <v>41</v>
      </c>
      <c r="C736" s="4">
        <v>2</v>
      </c>
      <c r="D736" s="4">
        <v>2</v>
      </c>
      <c r="E736" s="4">
        <v>3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3">
        <v>0</v>
      </c>
      <c r="BN736" s="3">
        <v>0</v>
      </c>
      <c r="BO736" s="3">
        <v>0</v>
      </c>
      <c r="BP736" s="3">
        <v>0</v>
      </c>
      <c r="BQ736" s="3">
        <v>0</v>
      </c>
      <c r="BR736" s="3">
        <v>0</v>
      </c>
      <c r="BS736" s="3">
        <v>0</v>
      </c>
      <c r="BT736" s="3">
        <v>0</v>
      </c>
      <c r="BU736" s="3">
        <v>0</v>
      </c>
    </row>
    <row r="737" spans="1:73" x14ac:dyDescent="0.25">
      <c r="A737" s="2" t="s">
        <v>115</v>
      </c>
      <c r="B737" s="4">
        <v>41</v>
      </c>
      <c r="C737" s="4">
        <v>2</v>
      </c>
      <c r="D737" s="4">
        <v>3</v>
      </c>
      <c r="E737" s="4">
        <v>1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3">
        <v>0</v>
      </c>
      <c r="BU737" s="3">
        <v>0</v>
      </c>
    </row>
    <row r="738" spans="1:73" x14ac:dyDescent="0.25">
      <c r="A738" s="2" t="s">
        <v>115</v>
      </c>
      <c r="B738" s="4">
        <v>41</v>
      </c>
      <c r="C738" s="4">
        <v>2</v>
      </c>
      <c r="D738" s="4">
        <v>3</v>
      </c>
      <c r="E738" s="4">
        <v>2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0</v>
      </c>
      <c r="BL738" s="3">
        <v>0</v>
      </c>
      <c r="BM738" s="3">
        <v>0</v>
      </c>
      <c r="BN738" s="3">
        <v>0</v>
      </c>
      <c r="BO738" s="3">
        <v>0</v>
      </c>
      <c r="BP738" s="3">
        <v>0</v>
      </c>
      <c r="BQ738" s="3">
        <v>0</v>
      </c>
      <c r="BR738" s="3">
        <v>0</v>
      </c>
      <c r="BS738" s="3">
        <v>0</v>
      </c>
      <c r="BT738" s="3">
        <v>0</v>
      </c>
      <c r="BU738" s="3">
        <v>0</v>
      </c>
    </row>
    <row r="739" spans="1:73" x14ac:dyDescent="0.25">
      <c r="A739" s="2" t="s">
        <v>115</v>
      </c>
      <c r="B739" s="4">
        <v>41</v>
      </c>
      <c r="C739" s="4">
        <v>2</v>
      </c>
      <c r="D739" s="4">
        <v>3</v>
      </c>
      <c r="E739" s="4">
        <v>3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1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1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0</v>
      </c>
      <c r="BU739" s="3">
        <v>0</v>
      </c>
    </row>
    <row r="740" spans="1:73" x14ac:dyDescent="0.25">
      <c r="A740" s="2" t="s">
        <v>116</v>
      </c>
      <c r="B740" s="4">
        <v>42</v>
      </c>
      <c r="C740" s="4">
        <v>1</v>
      </c>
      <c r="D740" s="4">
        <v>1</v>
      </c>
      <c r="E740" s="4">
        <v>1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0</v>
      </c>
      <c r="BK740" s="3">
        <v>0</v>
      </c>
      <c r="BL740" s="3">
        <v>0</v>
      </c>
      <c r="BM740" s="3">
        <v>0</v>
      </c>
      <c r="BN740" s="3">
        <v>0</v>
      </c>
      <c r="BO740" s="3">
        <v>0</v>
      </c>
      <c r="BP740" s="3">
        <v>0</v>
      </c>
      <c r="BQ740" s="3">
        <v>0</v>
      </c>
      <c r="BR740" s="3">
        <v>0</v>
      </c>
      <c r="BS740" s="3">
        <v>0</v>
      </c>
      <c r="BT740" s="3">
        <v>0</v>
      </c>
      <c r="BU740" s="3">
        <v>0</v>
      </c>
    </row>
    <row r="741" spans="1:73" x14ac:dyDescent="0.25">
      <c r="A741" s="2" t="s">
        <v>116</v>
      </c>
      <c r="B741" s="4">
        <v>42</v>
      </c>
      <c r="C741" s="4">
        <v>1</v>
      </c>
      <c r="D741" s="4">
        <v>1</v>
      </c>
      <c r="E741" s="4">
        <v>2</v>
      </c>
      <c r="F741" s="3">
        <v>0</v>
      </c>
      <c r="G741" s="3">
        <v>2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2</v>
      </c>
      <c r="AF741" s="3">
        <v>0</v>
      </c>
      <c r="AG741" s="3">
        <v>0</v>
      </c>
      <c r="AH741" s="3">
        <v>1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1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1</v>
      </c>
      <c r="BG741" s="3">
        <v>0</v>
      </c>
      <c r="BH741" s="3">
        <v>1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1</v>
      </c>
      <c r="BU741" s="3">
        <v>0</v>
      </c>
    </row>
    <row r="742" spans="1:73" x14ac:dyDescent="0.25">
      <c r="A742" s="2" t="s">
        <v>116</v>
      </c>
      <c r="B742" s="4">
        <v>42</v>
      </c>
      <c r="C742" s="4">
        <v>1</v>
      </c>
      <c r="D742" s="4">
        <v>1</v>
      </c>
      <c r="E742" s="4">
        <v>3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1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1</v>
      </c>
      <c r="BG742" s="3">
        <v>0</v>
      </c>
      <c r="BH742" s="3">
        <v>0</v>
      </c>
      <c r="BI742" s="3">
        <v>0</v>
      </c>
      <c r="BJ742" s="3">
        <v>0</v>
      </c>
      <c r="BK742" s="3">
        <v>0</v>
      </c>
      <c r="BL742" s="3">
        <v>0</v>
      </c>
      <c r="BM742" s="3">
        <v>0</v>
      </c>
      <c r="BN742" s="3">
        <v>0</v>
      </c>
      <c r="BO742" s="3">
        <v>0</v>
      </c>
      <c r="BP742" s="3">
        <v>0</v>
      </c>
      <c r="BQ742" s="3">
        <v>0</v>
      </c>
      <c r="BR742" s="3">
        <v>0</v>
      </c>
      <c r="BS742" s="3">
        <v>0</v>
      </c>
      <c r="BT742" s="3">
        <v>0</v>
      </c>
      <c r="BU742" s="3">
        <v>0</v>
      </c>
    </row>
    <row r="743" spans="1:73" x14ac:dyDescent="0.25">
      <c r="A743" s="2" t="s">
        <v>116</v>
      </c>
      <c r="B743" s="4">
        <v>42</v>
      </c>
      <c r="C743" s="4">
        <v>1</v>
      </c>
      <c r="D743" s="4">
        <v>2</v>
      </c>
      <c r="E743" s="4">
        <v>1</v>
      </c>
      <c r="F743" s="3">
        <v>0</v>
      </c>
      <c r="G743" s="3">
        <v>0</v>
      </c>
      <c r="H743" s="3">
        <v>0</v>
      </c>
      <c r="I743" s="3">
        <v>0</v>
      </c>
      <c r="J743" s="3">
        <v>1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0</v>
      </c>
    </row>
    <row r="744" spans="1:73" x14ac:dyDescent="0.25">
      <c r="A744" s="2" t="s">
        <v>116</v>
      </c>
      <c r="B744" s="4">
        <v>42</v>
      </c>
      <c r="C744" s="4">
        <v>1</v>
      </c>
      <c r="D744" s="4">
        <v>2</v>
      </c>
      <c r="E744" s="4">
        <v>2</v>
      </c>
      <c r="F744" s="3">
        <v>0</v>
      </c>
      <c r="G744" s="3">
        <v>0</v>
      </c>
      <c r="H744" s="3">
        <v>0</v>
      </c>
      <c r="I744" s="3">
        <v>0</v>
      </c>
      <c r="J744" s="3">
        <v>1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1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1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3">
        <v>0</v>
      </c>
      <c r="BO744" s="3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0</v>
      </c>
      <c r="BU744" s="3">
        <v>0</v>
      </c>
    </row>
    <row r="745" spans="1:73" x14ac:dyDescent="0.25">
      <c r="A745" s="2" t="s">
        <v>116</v>
      </c>
      <c r="B745" s="4">
        <v>42</v>
      </c>
      <c r="C745" s="4">
        <v>1</v>
      </c>
      <c r="D745" s="4">
        <v>2</v>
      </c>
      <c r="E745" s="4">
        <v>3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1</v>
      </c>
      <c r="BU745" s="3">
        <v>0</v>
      </c>
    </row>
    <row r="746" spans="1:73" x14ac:dyDescent="0.25">
      <c r="A746" s="2" t="s">
        <v>116</v>
      </c>
      <c r="B746" s="4">
        <v>42</v>
      </c>
      <c r="C746" s="4">
        <v>1</v>
      </c>
      <c r="D746" s="4">
        <v>3</v>
      </c>
      <c r="E746" s="4">
        <v>1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1</v>
      </c>
      <c r="BG746" s="3">
        <v>0</v>
      </c>
      <c r="BH746" s="3">
        <v>2</v>
      </c>
      <c r="BI746" s="3">
        <v>0</v>
      </c>
      <c r="BJ746" s="3">
        <v>0</v>
      </c>
      <c r="BK746" s="3">
        <v>0</v>
      </c>
      <c r="BL746" s="3">
        <v>0</v>
      </c>
      <c r="BM746" s="3">
        <v>0</v>
      </c>
      <c r="BN746" s="3">
        <v>0</v>
      </c>
      <c r="BO746" s="3">
        <v>0</v>
      </c>
      <c r="BP746" s="3">
        <v>0</v>
      </c>
      <c r="BQ746" s="3">
        <v>0</v>
      </c>
      <c r="BR746" s="3">
        <v>0</v>
      </c>
      <c r="BS746" s="3">
        <v>0</v>
      </c>
      <c r="BT746" s="3">
        <v>0</v>
      </c>
      <c r="BU746" s="3">
        <v>0</v>
      </c>
    </row>
    <row r="747" spans="1:73" x14ac:dyDescent="0.25">
      <c r="A747" s="2" t="s">
        <v>116</v>
      </c>
      <c r="B747" s="4">
        <v>42</v>
      </c>
      <c r="C747" s="4">
        <v>1</v>
      </c>
      <c r="D747" s="4">
        <v>3</v>
      </c>
      <c r="E747" s="4">
        <v>2</v>
      </c>
      <c r="F747" s="3">
        <v>0</v>
      </c>
      <c r="G747" s="3">
        <v>0</v>
      </c>
      <c r="H747" s="3">
        <v>0</v>
      </c>
      <c r="I747" s="3">
        <v>0</v>
      </c>
      <c r="J747" s="3">
        <v>1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1</v>
      </c>
      <c r="AU747" s="3">
        <v>1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1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3">
        <v>0</v>
      </c>
    </row>
    <row r="748" spans="1:73" x14ac:dyDescent="0.25">
      <c r="A748" s="2" t="s">
        <v>116</v>
      </c>
      <c r="B748" s="4">
        <v>42</v>
      </c>
      <c r="C748" s="4">
        <v>1</v>
      </c>
      <c r="D748" s="4">
        <v>3</v>
      </c>
      <c r="E748" s="4">
        <v>3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1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3">
        <v>0</v>
      </c>
    </row>
    <row r="749" spans="1:73" x14ac:dyDescent="0.25">
      <c r="A749" s="2" t="s">
        <v>116</v>
      </c>
      <c r="B749" s="4">
        <v>42</v>
      </c>
      <c r="C749" s="4">
        <v>2</v>
      </c>
      <c r="D749" s="4">
        <v>1</v>
      </c>
      <c r="E749" s="4">
        <v>1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1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1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0</v>
      </c>
      <c r="BP749" s="3">
        <v>1</v>
      </c>
      <c r="BQ749" s="3">
        <v>0</v>
      </c>
      <c r="BR749" s="3">
        <v>0</v>
      </c>
      <c r="BS749" s="3">
        <v>0</v>
      </c>
      <c r="BT749" s="3">
        <v>1</v>
      </c>
      <c r="BU749" s="3">
        <v>0</v>
      </c>
    </row>
    <row r="750" spans="1:73" x14ac:dyDescent="0.25">
      <c r="A750" s="2" t="s">
        <v>116</v>
      </c>
      <c r="B750" s="4">
        <v>42</v>
      </c>
      <c r="C750" s="4">
        <v>2</v>
      </c>
      <c r="D750" s="4">
        <v>1</v>
      </c>
      <c r="E750" s="4">
        <v>2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1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0</v>
      </c>
      <c r="BL750" s="3">
        <v>0</v>
      </c>
      <c r="BM750" s="3">
        <v>0</v>
      </c>
      <c r="BN750" s="3">
        <v>0</v>
      </c>
      <c r="BO750" s="3">
        <v>0</v>
      </c>
      <c r="BP750" s="3">
        <v>1</v>
      </c>
      <c r="BQ750" s="3">
        <v>0</v>
      </c>
      <c r="BR750" s="3">
        <v>0</v>
      </c>
      <c r="BS750" s="3">
        <v>0</v>
      </c>
      <c r="BT750" s="3">
        <v>1</v>
      </c>
      <c r="BU750" s="3">
        <v>0</v>
      </c>
    </row>
    <row r="751" spans="1:73" x14ac:dyDescent="0.25">
      <c r="A751" s="2" t="s">
        <v>116</v>
      </c>
      <c r="B751" s="4">
        <v>42</v>
      </c>
      <c r="C751" s="4">
        <v>2</v>
      </c>
      <c r="D751" s="4">
        <v>1</v>
      </c>
      <c r="E751" s="4">
        <v>3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1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1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1</v>
      </c>
      <c r="BK751" s="3">
        <v>0</v>
      </c>
      <c r="BL751" s="3">
        <v>0</v>
      </c>
      <c r="BM751" s="3">
        <v>1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3">
        <v>0</v>
      </c>
    </row>
    <row r="752" spans="1:73" x14ac:dyDescent="0.25">
      <c r="A752" s="2" t="s">
        <v>116</v>
      </c>
      <c r="B752" s="4">
        <v>42</v>
      </c>
      <c r="C752" s="4">
        <v>2</v>
      </c>
      <c r="D752" s="4">
        <v>2</v>
      </c>
      <c r="E752" s="4">
        <v>1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0</v>
      </c>
      <c r="BK752" s="3">
        <v>0</v>
      </c>
      <c r="BL752" s="3">
        <v>0</v>
      </c>
      <c r="BM752" s="3">
        <v>0</v>
      </c>
      <c r="BN752" s="3">
        <v>0</v>
      </c>
      <c r="BO752" s="3">
        <v>0</v>
      </c>
      <c r="BP752" s="3">
        <v>0</v>
      </c>
      <c r="BQ752" s="3">
        <v>0</v>
      </c>
      <c r="BR752" s="3">
        <v>0</v>
      </c>
      <c r="BS752" s="3">
        <v>0</v>
      </c>
      <c r="BT752" s="3">
        <v>0</v>
      </c>
      <c r="BU752" s="3">
        <v>0</v>
      </c>
    </row>
    <row r="753" spans="1:73" x14ac:dyDescent="0.25">
      <c r="A753" s="2" t="s">
        <v>116</v>
      </c>
      <c r="B753" s="4">
        <v>42</v>
      </c>
      <c r="C753" s="4">
        <v>2</v>
      </c>
      <c r="D753" s="4">
        <v>2</v>
      </c>
      <c r="E753" s="4">
        <v>2</v>
      </c>
      <c r="F753" s="3">
        <v>0</v>
      </c>
      <c r="G753" s="3">
        <v>0</v>
      </c>
      <c r="H753" s="3">
        <v>0</v>
      </c>
      <c r="I753" s="3">
        <v>0</v>
      </c>
      <c r="J753" s="3">
        <v>1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3">
        <v>0</v>
      </c>
    </row>
    <row r="754" spans="1:73" x14ac:dyDescent="0.25">
      <c r="A754" s="2" t="s">
        <v>116</v>
      </c>
      <c r="B754" s="4">
        <v>42</v>
      </c>
      <c r="C754" s="4">
        <v>2</v>
      </c>
      <c r="D754" s="4">
        <v>2</v>
      </c>
      <c r="E754" s="4">
        <v>3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1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0</v>
      </c>
    </row>
    <row r="755" spans="1:73" x14ac:dyDescent="0.25">
      <c r="A755" s="2" t="s">
        <v>116</v>
      </c>
      <c r="B755" s="4">
        <v>42</v>
      </c>
      <c r="C755" s="4">
        <v>2</v>
      </c>
      <c r="D755" s="4">
        <v>3</v>
      </c>
      <c r="E755" s="4">
        <v>1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3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</row>
    <row r="756" spans="1:73" x14ac:dyDescent="0.25">
      <c r="A756" s="2" t="s">
        <v>116</v>
      </c>
      <c r="B756" s="4">
        <v>42</v>
      </c>
      <c r="C756" s="4">
        <v>2</v>
      </c>
      <c r="D756" s="4">
        <v>3</v>
      </c>
      <c r="E756" s="4">
        <v>2</v>
      </c>
      <c r="F756" s="3">
        <v>0</v>
      </c>
      <c r="G756" s="3">
        <v>1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0</v>
      </c>
      <c r="BK756" s="3">
        <v>0</v>
      </c>
      <c r="BL756" s="3">
        <v>0</v>
      </c>
      <c r="BM756" s="3">
        <v>0</v>
      </c>
      <c r="BN756" s="3">
        <v>0</v>
      </c>
      <c r="BO756" s="3">
        <v>0</v>
      </c>
      <c r="BP756" s="3">
        <v>0</v>
      </c>
      <c r="BQ756" s="3">
        <v>0</v>
      </c>
      <c r="BR756" s="3">
        <v>0</v>
      </c>
      <c r="BS756" s="3">
        <v>0</v>
      </c>
      <c r="BT756" s="3">
        <v>0</v>
      </c>
      <c r="BU756" s="3">
        <v>0</v>
      </c>
    </row>
    <row r="757" spans="1:73" x14ac:dyDescent="0.25">
      <c r="A757" s="2" t="s">
        <v>116</v>
      </c>
      <c r="B757" s="4">
        <v>42</v>
      </c>
      <c r="C757" s="4">
        <v>2</v>
      </c>
      <c r="D757" s="4">
        <v>3</v>
      </c>
      <c r="E757" s="4">
        <v>3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1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1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0</v>
      </c>
      <c r="BU757" s="3">
        <v>0</v>
      </c>
    </row>
    <row r="758" spans="1:73" x14ac:dyDescent="0.25">
      <c r="A758" s="2" t="s">
        <v>117</v>
      </c>
      <c r="B758" s="4">
        <v>43</v>
      </c>
      <c r="C758" s="4">
        <v>1</v>
      </c>
      <c r="D758" s="4">
        <v>1</v>
      </c>
      <c r="E758" s="4">
        <v>1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0</v>
      </c>
      <c r="BM758" s="3">
        <v>0</v>
      </c>
      <c r="BN758" s="3">
        <v>0</v>
      </c>
      <c r="BO758" s="3">
        <v>0</v>
      </c>
      <c r="BP758" s="3">
        <v>0</v>
      </c>
      <c r="BQ758" s="3">
        <v>0</v>
      </c>
      <c r="BR758" s="3">
        <v>0</v>
      </c>
      <c r="BS758" s="3">
        <v>0</v>
      </c>
      <c r="BT758" s="3">
        <v>0</v>
      </c>
      <c r="BU758" s="3">
        <v>0</v>
      </c>
    </row>
    <row r="759" spans="1:73" x14ac:dyDescent="0.25">
      <c r="A759" s="2" t="s">
        <v>117</v>
      </c>
      <c r="B759" s="4">
        <v>43</v>
      </c>
      <c r="C759" s="4">
        <v>1</v>
      </c>
      <c r="D759" s="4">
        <v>1</v>
      </c>
      <c r="E759" s="4">
        <v>2</v>
      </c>
      <c r="F759" s="3">
        <v>0</v>
      </c>
      <c r="G759" s="3">
        <v>2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1</v>
      </c>
      <c r="P759" s="3">
        <v>2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1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1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1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0</v>
      </c>
      <c r="BR759" s="3">
        <v>0</v>
      </c>
      <c r="BS759" s="3">
        <v>0</v>
      </c>
      <c r="BT759" s="3">
        <v>1</v>
      </c>
      <c r="BU759" s="3">
        <v>0</v>
      </c>
    </row>
    <row r="760" spans="1:73" x14ac:dyDescent="0.25">
      <c r="A760" s="2" t="s">
        <v>117</v>
      </c>
      <c r="B760" s="4">
        <v>43</v>
      </c>
      <c r="C760" s="4">
        <v>1</v>
      </c>
      <c r="D760" s="4">
        <v>1</v>
      </c>
      <c r="E760" s="4">
        <v>3</v>
      </c>
      <c r="F760" s="3">
        <v>0</v>
      </c>
      <c r="G760" s="3">
        <v>0</v>
      </c>
      <c r="H760" s="3">
        <v>0</v>
      </c>
      <c r="I760" s="3">
        <v>0</v>
      </c>
      <c r="J760" s="3">
        <v>1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1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1</v>
      </c>
      <c r="AA760" s="3">
        <v>0</v>
      </c>
      <c r="AB760" s="3">
        <v>0</v>
      </c>
      <c r="AC760" s="3">
        <v>0</v>
      </c>
      <c r="AD760" s="3">
        <v>0</v>
      </c>
      <c r="AE760" s="3">
        <v>1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1</v>
      </c>
      <c r="AU760" s="3">
        <v>1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4</v>
      </c>
      <c r="BG760" s="3">
        <v>0</v>
      </c>
      <c r="BH760" s="3">
        <v>0</v>
      </c>
      <c r="BI760" s="3">
        <v>0</v>
      </c>
      <c r="BJ760" s="3">
        <v>0</v>
      </c>
      <c r="BK760" s="3">
        <v>0</v>
      </c>
      <c r="BL760" s="3">
        <v>0</v>
      </c>
      <c r="BM760" s="3">
        <v>0</v>
      </c>
      <c r="BN760" s="3">
        <v>0</v>
      </c>
      <c r="BO760" s="3">
        <v>0</v>
      </c>
      <c r="BP760" s="3">
        <v>0</v>
      </c>
      <c r="BQ760" s="3">
        <v>1</v>
      </c>
      <c r="BR760" s="3">
        <v>0</v>
      </c>
      <c r="BS760" s="3">
        <v>0</v>
      </c>
      <c r="BT760" s="3">
        <v>1</v>
      </c>
      <c r="BU760" s="3">
        <v>0</v>
      </c>
    </row>
    <row r="761" spans="1:73" x14ac:dyDescent="0.25">
      <c r="A761" s="2" t="s">
        <v>117</v>
      </c>
      <c r="B761" s="4">
        <v>43</v>
      </c>
      <c r="C761" s="4">
        <v>1</v>
      </c>
      <c r="D761" s="4">
        <v>2</v>
      </c>
      <c r="E761" s="4">
        <v>1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>
        <v>0</v>
      </c>
      <c r="BU761" s="3">
        <v>0</v>
      </c>
    </row>
    <row r="762" spans="1:73" x14ac:dyDescent="0.25">
      <c r="A762" s="2" t="s">
        <v>117</v>
      </c>
      <c r="B762" s="4">
        <v>43</v>
      </c>
      <c r="C762" s="4">
        <v>1</v>
      </c>
      <c r="D762" s="4">
        <v>2</v>
      </c>
      <c r="E762" s="4">
        <v>2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1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0</v>
      </c>
      <c r="BK762" s="3">
        <v>0</v>
      </c>
      <c r="BL762" s="3">
        <v>0</v>
      </c>
      <c r="BM762" s="3">
        <v>0</v>
      </c>
      <c r="BN762" s="3">
        <v>0</v>
      </c>
      <c r="BO762" s="3">
        <v>0</v>
      </c>
      <c r="BP762" s="3">
        <v>0</v>
      </c>
      <c r="BQ762" s="3">
        <v>0</v>
      </c>
      <c r="BR762" s="3">
        <v>0</v>
      </c>
      <c r="BS762" s="3">
        <v>0</v>
      </c>
      <c r="BT762" s="3">
        <v>0</v>
      </c>
      <c r="BU762" s="3">
        <v>0</v>
      </c>
    </row>
    <row r="763" spans="1:73" x14ac:dyDescent="0.25">
      <c r="A763" s="2" t="s">
        <v>117</v>
      </c>
      <c r="B763" s="4">
        <v>43</v>
      </c>
      <c r="C763" s="4">
        <v>1</v>
      </c>
      <c r="D763" s="4">
        <v>2</v>
      </c>
      <c r="E763" s="4">
        <v>3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3">
        <v>0</v>
      </c>
      <c r="BU763" s="3">
        <v>0</v>
      </c>
    </row>
    <row r="764" spans="1:73" x14ac:dyDescent="0.25">
      <c r="A764" s="2" t="s">
        <v>117</v>
      </c>
      <c r="B764" s="4">
        <v>43</v>
      </c>
      <c r="C764" s="4">
        <v>1</v>
      </c>
      <c r="D764" s="4">
        <v>3</v>
      </c>
      <c r="E764" s="4">
        <v>1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0</v>
      </c>
      <c r="BK764" s="3">
        <v>0</v>
      </c>
      <c r="BL764" s="3">
        <v>0</v>
      </c>
      <c r="BM764" s="3">
        <v>0</v>
      </c>
      <c r="BN764" s="3">
        <v>0</v>
      </c>
      <c r="BO764" s="3">
        <v>0</v>
      </c>
      <c r="BP764" s="3">
        <v>0</v>
      </c>
      <c r="BQ764" s="3">
        <v>0</v>
      </c>
      <c r="BR764" s="3">
        <v>0</v>
      </c>
      <c r="BS764" s="3">
        <v>0</v>
      </c>
      <c r="BT764" s="3">
        <v>0</v>
      </c>
      <c r="BU764" s="3">
        <v>0</v>
      </c>
    </row>
    <row r="765" spans="1:73" x14ac:dyDescent="0.25">
      <c r="A765" s="2" t="s">
        <v>117</v>
      </c>
      <c r="B765" s="4">
        <v>43</v>
      </c>
      <c r="C765" s="4">
        <v>1</v>
      </c>
      <c r="D765" s="4">
        <v>3</v>
      </c>
      <c r="E765" s="4">
        <v>2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1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3">
        <v>0</v>
      </c>
    </row>
    <row r="766" spans="1:73" x14ac:dyDescent="0.25">
      <c r="A766" s="2" t="s">
        <v>117</v>
      </c>
      <c r="B766" s="4">
        <v>43</v>
      </c>
      <c r="C766" s="4">
        <v>1</v>
      </c>
      <c r="D766" s="4">
        <v>3</v>
      </c>
      <c r="E766" s="4">
        <v>3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1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1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0</v>
      </c>
      <c r="BK766" s="3">
        <v>0</v>
      </c>
      <c r="BL766" s="3">
        <v>0</v>
      </c>
      <c r="BM766" s="3">
        <v>0</v>
      </c>
      <c r="BN766" s="3">
        <v>0</v>
      </c>
      <c r="BO766" s="3">
        <v>0</v>
      </c>
      <c r="BP766" s="3">
        <v>0</v>
      </c>
      <c r="BQ766" s="3">
        <v>0</v>
      </c>
      <c r="BR766" s="3">
        <v>0</v>
      </c>
      <c r="BS766" s="3">
        <v>0</v>
      </c>
      <c r="BT766" s="3">
        <v>0</v>
      </c>
      <c r="BU766" s="3">
        <v>0</v>
      </c>
    </row>
    <row r="767" spans="1:73" x14ac:dyDescent="0.25">
      <c r="A767" s="2" t="s">
        <v>117</v>
      </c>
      <c r="B767" s="4">
        <v>43</v>
      </c>
      <c r="C767" s="4">
        <v>2</v>
      </c>
      <c r="D767" s="4">
        <v>1</v>
      </c>
      <c r="E767" s="4">
        <v>1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0</v>
      </c>
    </row>
    <row r="768" spans="1:73" x14ac:dyDescent="0.25">
      <c r="A768" s="2" t="s">
        <v>117</v>
      </c>
      <c r="B768" s="4">
        <v>43</v>
      </c>
      <c r="C768" s="4">
        <v>2</v>
      </c>
      <c r="D768" s="4">
        <v>1</v>
      </c>
      <c r="E768" s="4">
        <v>2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2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1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1</v>
      </c>
      <c r="BI768" s="3">
        <v>0</v>
      </c>
      <c r="BJ768" s="3">
        <v>0</v>
      </c>
      <c r="BK768" s="3">
        <v>0</v>
      </c>
      <c r="BL768" s="3">
        <v>0</v>
      </c>
      <c r="BM768" s="3">
        <v>0</v>
      </c>
      <c r="BN768" s="3">
        <v>0</v>
      </c>
      <c r="BO768" s="3">
        <v>0</v>
      </c>
      <c r="BP768" s="3">
        <v>0</v>
      </c>
      <c r="BQ768" s="3">
        <v>0</v>
      </c>
      <c r="BR768" s="3">
        <v>0</v>
      </c>
      <c r="BS768" s="3">
        <v>0</v>
      </c>
      <c r="BT768" s="3">
        <v>1</v>
      </c>
      <c r="BU768" s="3">
        <v>0</v>
      </c>
    </row>
    <row r="769" spans="1:73" x14ac:dyDescent="0.25">
      <c r="A769" s="2" t="s">
        <v>117</v>
      </c>
      <c r="B769" s="4">
        <v>43</v>
      </c>
      <c r="C769" s="4">
        <v>2</v>
      </c>
      <c r="D769" s="4">
        <v>1</v>
      </c>
      <c r="E769" s="4">
        <v>3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1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1</v>
      </c>
      <c r="AG769" s="3">
        <v>0</v>
      </c>
      <c r="AH769" s="3">
        <v>1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1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2</v>
      </c>
      <c r="BU769" s="3">
        <v>0</v>
      </c>
    </row>
    <row r="770" spans="1:73" x14ac:dyDescent="0.25">
      <c r="A770" s="2" t="s">
        <v>117</v>
      </c>
      <c r="B770" s="4">
        <v>43</v>
      </c>
      <c r="C770" s="4">
        <v>2</v>
      </c>
      <c r="D770" s="4">
        <v>2</v>
      </c>
      <c r="E770" s="4">
        <v>1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1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1</v>
      </c>
      <c r="BI770" s="3">
        <v>0</v>
      </c>
      <c r="BJ770" s="3">
        <v>0</v>
      </c>
      <c r="BK770" s="3">
        <v>0</v>
      </c>
      <c r="BL770" s="3">
        <v>0</v>
      </c>
      <c r="BM770" s="3">
        <v>0</v>
      </c>
      <c r="BN770" s="3">
        <v>0</v>
      </c>
      <c r="BO770" s="3">
        <v>0</v>
      </c>
      <c r="BP770" s="3">
        <v>0</v>
      </c>
      <c r="BQ770" s="3">
        <v>0</v>
      </c>
      <c r="BR770" s="3">
        <v>0</v>
      </c>
      <c r="BS770" s="3">
        <v>0</v>
      </c>
      <c r="BT770" s="3">
        <v>0</v>
      </c>
      <c r="BU770" s="3">
        <v>0</v>
      </c>
    </row>
    <row r="771" spans="1:73" x14ac:dyDescent="0.25">
      <c r="A771" s="2" t="s">
        <v>117</v>
      </c>
      <c r="B771" s="4">
        <v>43</v>
      </c>
      <c r="C771" s="4">
        <v>2</v>
      </c>
      <c r="D771" s="4">
        <v>2</v>
      </c>
      <c r="E771" s="4">
        <v>2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0</v>
      </c>
      <c r="BR771" s="3">
        <v>0</v>
      </c>
      <c r="BS771" s="3">
        <v>0</v>
      </c>
      <c r="BT771" s="3">
        <v>0</v>
      </c>
      <c r="BU771" s="3">
        <v>0</v>
      </c>
    </row>
    <row r="772" spans="1:73" x14ac:dyDescent="0.25">
      <c r="A772" s="2" t="s">
        <v>117</v>
      </c>
      <c r="B772" s="4">
        <v>43</v>
      </c>
      <c r="C772" s="4">
        <v>2</v>
      </c>
      <c r="D772" s="4">
        <v>2</v>
      </c>
      <c r="E772" s="4">
        <v>3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1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  <c r="BK772" s="3">
        <v>0</v>
      </c>
      <c r="BL772" s="3">
        <v>0</v>
      </c>
      <c r="BM772" s="3">
        <v>0</v>
      </c>
      <c r="BN772" s="3">
        <v>0</v>
      </c>
      <c r="BO772" s="3">
        <v>0</v>
      </c>
      <c r="BP772" s="3">
        <v>0</v>
      </c>
      <c r="BQ772" s="3">
        <v>0</v>
      </c>
      <c r="BR772" s="3">
        <v>0</v>
      </c>
      <c r="BS772" s="3">
        <v>0</v>
      </c>
      <c r="BT772" s="3">
        <v>0</v>
      </c>
      <c r="BU772" s="3">
        <v>0</v>
      </c>
    </row>
    <row r="773" spans="1:73" x14ac:dyDescent="0.25">
      <c r="A773" s="2" t="s">
        <v>117</v>
      </c>
      <c r="B773" s="4">
        <v>43</v>
      </c>
      <c r="C773" s="4">
        <v>2</v>
      </c>
      <c r="D773" s="4">
        <v>3</v>
      </c>
      <c r="E773" s="4">
        <v>1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1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1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0</v>
      </c>
      <c r="BU773" s="3">
        <v>0</v>
      </c>
    </row>
    <row r="774" spans="1:73" x14ac:dyDescent="0.25">
      <c r="A774" s="2" t="s">
        <v>117</v>
      </c>
      <c r="B774" s="4">
        <v>43</v>
      </c>
      <c r="C774" s="4">
        <v>2</v>
      </c>
      <c r="D774" s="4">
        <v>3</v>
      </c>
      <c r="E774" s="4">
        <v>2</v>
      </c>
      <c r="F774" s="3">
        <v>0</v>
      </c>
      <c r="G774" s="3">
        <v>1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2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0</v>
      </c>
      <c r="BM774" s="3">
        <v>0</v>
      </c>
      <c r="BN774" s="3">
        <v>0</v>
      </c>
      <c r="BO774" s="3">
        <v>0</v>
      </c>
      <c r="BP774" s="3">
        <v>0</v>
      </c>
      <c r="BQ774" s="3">
        <v>0</v>
      </c>
      <c r="BR774" s="3">
        <v>0</v>
      </c>
      <c r="BS774" s="3">
        <v>0</v>
      </c>
      <c r="BT774" s="3">
        <v>0</v>
      </c>
      <c r="BU774" s="3">
        <v>0</v>
      </c>
    </row>
    <row r="775" spans="1:73" x14ac:dyDescent="0.25">
      <c r="A775" s="2" t="s">
        <v>117</v>
      </c>
      <c r="B775" s="4">
        <v>43</v>
      </c>
      <c r="C775" s="4">
        <v>2</v>
      </c>
      <c r="D775" s="4">
        <v>3</v>
      </c>
      <c r="E775" s="4">
        <v>3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0</v>
      </c>
      <c r="BU775" s="3">
        <v>0</v>
      </c>
    </row>
    <row r="776" spans="1:73" x14ac:dyDescent="0.25">
      <c r="A776" s="2" t="s">
        <v>118</v>
      </c>
      <c r="B776" s="4">
        <v>44</v>
      </c>
      <c r="C776" s="4">
        <v>1</v>
      </c>
      <c r="D776" s="4">
        <v>1</v>
      </c>
      <c r="E776" s="4">
        <v>1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1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0</v>
      </c>
      <c r="BK776" s="3">
        <v>0</v>
      </c>
      <c r="BL776" s="3">
        <v>0</v>
      </c>
      <c r="BM776" s="3">
        <v>0</v>
      </c>
      <c r="BN776" s="3">
        <v>0</v>
      </c>
      <c r="BO776" s="3">
        <v>0</v>
      </c>
      <c r="BP776" s="3">
        <v>0</v>
      </c>
      <c r="BQ776" s="3">
        <v>0</v>
      </c>
      <c r="BR776" s="3">
        <v>0</v>
      </c>
      <c r="BS776" s="3">
        <v>0</v>
      </c>
      <c r="BT776" s="3">
        <v>0</v>
      </c>
      <c r="BU776" s="3">
        <v>0</v>
      </c>
    </row>
    <row r="777" spans="1:73" x14ac:dyDescent="0.25">
      <c r="A777" s="2" t="s">
        <v>118</v>
      </c>
      <c r="B777" s="4">
        <v>44</v>
      </c>
      <c r="C777" s="4">
        <v>1</v>
      </c>
      <c r="D777" s="4">
        <v>1</v>
      </c>
      <c r="E777" s="4">
        <v>2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2</v>
      </c>
      <c r="AA777" s="3">
        <v>0</v>
      </c>
      <c r="AB777" s="3">
        <v>0</v>
      </c>
      <c r="AC777" s="3">
        <v>0</v>
      </c>
      <c r="AD777" s="3">
        <v>0</v>
      </c>
      <c r="AE777" s="3">
        <v>1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1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2</v>
      </c>
      <c r="BU777" s="3">
        <v>0</v>
      </c>
    </row>
    <row r="778" spans="1:73" x14ac:dyDescent="0.25">
      <c r="A778" s="2" t="s">
        <v>118</v>
      </c>
      <c r="B778" s="4">
        <v>44</v>
      </c>
      <c r="C778" s="4">
        <v>1</v>
      </c>
      <c r="D778" s="4">
        <v>1</v>
      </c>
      <c r="E778" s="4">
        <v>3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1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1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1</v>
      </c>
      <c r="BL778" s="3">
        <v>0</v>
      </c>
      <c r="BM778" s="3">
        <v>0</v>
      </c>
      <c r="BN778" s="3">
        <v>0</v>
      </c>
      <c r="BO778" s="3">
        <v>0</v>
      </c>
      <c r="BP778" s="3">
        <v>0</v>
      </c>
      <c r="BQ778" s="3">
        <v>1</v>
      </c>
      <c r="BR778" s="3">
        <v>0</v>
      </c>
      <c r="BS778" s="3">
        <v>0</v>
      </c>
      <c r="BT778" s="3">
        <v>0</v>
      </c>
      <c r="BU778" s="3">
        <v>0</v>
      </c>
    </row>
    <row r="779" spans="1:73" x14ac:dyDescent="0.25">
      <c r="A779" s="2" t="s">
        <v>118</v>
      </c>
      <c r="B779" s="4">
        <v>44</v>
      </c>
      <c r="C779" s="4">
        <v>1</v>
      </c>
      <c r="D779" s="4">
        <v>2</v>
      </c>
      <c r="E779" s="4">
        <v>1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</row>
    <row r="780" spans="1:73" x14ac:dyDescent="0.25">
      <c r="A780" s="2" t="s">
        <v>118</v>
      </c>
      <c r="B780" s="4">
        <v>44</v>
      </c>
      <c r="C780" s="4">
        <v>1</v>
      </c>
      <c r="D780" s="4">
        <v>2</v>
      </c>
      <c r="E780" s="4">
        <v>2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1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0</v>
      </c>
      <c r="BP780" s="3">
        <v>0</v>
      </c>
      <c r="BQ780" s="3">
        <v>0</v>
      </c>
      <c r="BR780" s="3">
        <v>0</v>
      </c>
      <c r="BS780" s="3">
        <v>0</v>
      </c>
      <c r="BT780" s="3">
        <v>0</v>
      </c>
      <c r="BU780" s="3">
        <v>0</v>
      </c>
    </row>
    <row r="781" spans="1:73" x14ac:dyDescent="0.25">
      <c r="A781" s="2" t="s">
        <v>118</v>
      </c>
      <c r="B781" s="4">
        <v>44</v>
      </c>
      <c r="C781" s="4">
        <v>1</v>
      </c>
      <c r="D781" s="4">
        <v>2</v>
      </c>
      <c r="E781" s="4">
        <v>3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0</v>
      </c>
    </row>
    <row r="782" spans="1:73" x14ac:dyDescent="0.25">
      <c r="A782" s="2" t="s">
        <v>118</v>
      </c>
      <c r="B782" s="4">
        <v>44</v>
      </c>
      <c r="C782" s="4">
        <v>1</v>
      </c>
      <c r="D782" s="4">
        <v>3</v>
      </c>
      <c r="E782" s="4">
        <v>1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0</v>
      </c>
      <c r="BQ782" s="3">
        <v>0</v>
      </c>
      <c r="BR782" s="3">
        <v>0</v>
      </c>
      <c r="BS782" s="3">
        <v>0</v>
      </c>
      <c r="BT782" s="3">
        <v>0</v>
      </c>
      <c r="BU782" s="3">
        <v>0</v>
      </c>
    </row>
    <row r="783" spans="1:73" x14ac:dyDescent="0.25">
      <c r="A783" s="2" t="s">
        <v>118</v>
      </c>
      <c r="B783" s="4">
        <v>44</v>
      </c>
      <c r="C783" s="4">
        <v>1</v>
      </c>
      <c r="D783" s="4">
        <v>3</v>
      </c>
      <c r="E783" s="4">
        <v>2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1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1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3">
        <v>0</v>
      </c>
    </row>
    <row r="784" spans="1:73" x14ac:dyDescent="0.25">
      <c r="A784" s="2" t="s">
        <v>118</v>
      </c>
      <c r="B784" s="4">
        <v>44</v>
      </c>
      <c r="C784" s="4">
        <v>1</v>
      </c>
      <c r="D784" s="4">
        <v>3</v>
      </c>
      <c r="E784" s="4">
        <v>3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1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0</v>
      </c>
      <c r="BK784" s="3">
        <v>0</v>
      </c>
      <c r="BL784" s="3">
        <v>0</v>
      </c>
      <c r="BM784" s="3">
        <v>0</v>
      </c>
      <c r="BN784" s="3">
        <v>0</v>
      </c>
      <c r="BO784" s="3">
        <v>0</v>
      </c>
      <c r="BP784" s="3">
        <v>0</v>
      </c>
      <c r="BQ784" s="3">
        <v>0</v>
      </c>
      <c r="BR784" s="3">
        <v>0</v>
      </c>
      <c r="BS784" s="3">
        <v>0</v>
      </c>
      <c r="BT784" s="3">
        <v>0</v>
      </c>
      <c r="BU784" s="3">
        <v>0</v>
      </c>
    </row>
    <row r="785" spans="1:73" x14ac:dyDescent="0.25">
      <c r="A785" s="2" t="s">
        <v>118</v>
      </c>
      <c r="B785" s="4">
        <v>44</v>
      </c>
      <c r="C785" s="4">
        <v>2</v>
      </c>
      <c r="D785" s="4">
        <v>1</v>
      </c>
      <c r="E785" s="4">
        <v>1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2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3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1</v>
      </c>
      <c r="BQ785" s="3">
        <v>0</v>
      </c>
      <c r="BR785" s="3">
        <v>0</v>
      </c>
      <c r="BS785" s="3">
        <v>0</v>
      </c>
      <c r="BT785" s="3">
        <v>5</v>
      </c>
      <c r="BU785" s="3">
        <v>0</v>
      </c>
    </row>
    <row r="786" spans="1:73" x14ac:dyDescent="0.25">
      <c r="A786" s="2" t="s">
        <v>118</v>
      </c>
      <c r="B786" s="4">
        <v>44</v>
      </c>
      <c r="C786" s="4">
        <v>2</v>
      </c>
      <c r="D786" s="4">
        <v>1</v>
      </c>
      <c r="E786" s="4">
        <v>2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1</v>
      </c>
      <c r="AA786" s="3">
        <v>0</v>
      </c>
      <c r="AB786" s="3">
        <v>0</v>
      </c>
      <c r="AC786" s="3">
        <v>0</v>
      </c>
      <c r="AD786" s="3">
        <v>0</v>
      </c>
      <c r="AE786" s="3">
        <v>1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3">
        <v>0</v>
      </c>
      <c r="BO786" s="3">
        <v>0</v>
      </c>
      <c r="BP786" s="3">
        <v>0</v>
      </c>
      <c r="BQ786" s="3">
        <v>0</v>
      </c>
      <c r="BR786" s="3">
        <v>0</v>
      </c>
      <c r="BS786" s="3">
        <v>0</v>
      </c>
      <c r="BT786" s="3">
        <v>0</v>
      </c>
      <c r="BU786" s="3">
        <v>0</v>
      </c>
    </row>
    <row r="787" spans="1:73" x14ac:dyDescent="0.25">
      <c r="A787" s="2" t="s">
        <v>118</v>
      </c>
      <c r="B787" s="4">
        <v>44</v>
      </c>
      <c r="C787" s="4">
        <v>2</v>
      </c>
      <c r="D787" s="4">
        <v>1</v>
      </c>
      <c r="E787" s="4">
        <v>3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0</v>
      </c>
    </row>
    <row r="788" spans="1:73" x14ac:dyDescent="0.25">
      <c r="A788" s="2" t="s">
        <v>118</v>
      </c>
      <c r="B788" s="4">
        <v>44</v>
      </c>
      <c r="C788" s="4">
        <v>2</v>
      </c>
      <c r="D788" s="4">
        <v>2</v>
      </c>
      <c r="E788" s="4">
        <v>1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>
        <v>0</v>
      </c>
      <c r="BK788" s="3">
        <v>0</v>
      </c>
      <c r="BL788" s="3">
        <v>0</v>
      </c>
      <c r="BM788" s="3">
        <v>0</v>
      </c>
      <c r="BN788" s="3">
        <v>0</v>
      </c>
      <c r="BO788" s="3">
        <v>0</v>
      </c>
      <c r="BP788" s="3">
        <v>0</v>
      </c>
      <c r="BQ788" s="3">
        <v>0</v>
      </c>
      <c r="BR788" s="3">
        <v>0</v>
      </c>
      <c r="BS788" s="3">
        <v>0</v>
      </c>
      <c r="BT788" s="3">
        <v>0</v>
      </c>
      <c r="BU788" s="3">
        <v>0</v>
      </c>
    </row>
    <row r="789" spans="1:73" x14ac:dyDescent="0.25">
      <c r="A789" s="2" t="s">
        <v>118</v>
      </c>
      <c r="B789" s="4">
        <v>44</v>
      </c>
      <c r="C789" s="4">
        <v>2</v>
      </c>
      <c r="D789" s="4">
        <v>2</v>
      </c>
      <c r="E789" s="4">
        <v>2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0</v>
      </c>
      <c r="BL789" s="3">
        <v>0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>
        <v>0</v>
      </c>
      <c r="BU789" s="3">
        <v>0</v>
      </c>
    </row>
    <row r="790" spans="1:73" x14ac:dyDescent="0.25">
      <c r="A790" s="2" t="s">
        <v>118</v>
      </c>
      <c r="B790" s="4">
        <v>44</v>
      </c>
      <c r="C790" s="4">
        <v>2</v>
      </c>
      <c r="D790" s="4">
        <v>2</v>
      </c>
      <c r="E790" s="4">
        <v>3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0</v>
      </c>
      <c r="BM790" s="3">
        <v>0</v>
      </c>
      <c r="BN790" s="3">
        <v>0</v>
      </c>
      <c r="BO790" s="3">
        <v>0</v>
      </c>
      <c r="BP790" s="3">
        <v>0</v>
      </c>
      <c r="BQ790" s="3">
        <v>0</v>
      </c>
      <c r="BR790" s="3">
        <v>0</v>
      </c>
      <c r="BS790" s="3">
        <v>0</v>
      </c>
      <c r="BT790" s="3">
        <v>0</v>
      </c>
      <c r="BU790" s="3">
        <v>0</v>
      </c>
    </row>
    <row r="791" spans="1:73" x14ac:dyDescent="0.25">
      <c r="A791" s="2" t="s">
        <v>118</v>
      </c>
      <c r="B791" s="4">
        <v>44</v>
      </c>
      <c r="C791" s="4">
        <v>2</v>
      </c>
      <c r="D791" s="4">
        <v>3</v>
      </c>
      <c r="E791" s="4">
        <v>1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1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3">
        <v>0</v>
      </c>
    </row>
    <row r="792" spans="1:73" x14ac:dyDescent="0.25">
      <c r="A792" s="2" t="s">
        <v>118</v>
      </c>
      <c r="B792" s="4">
        <v>44</v>
      </c>
      <c r="C792" s="4">
        <v>2</v>
      </c>
      <c r="D792" s="4">
        <v>3</v>
      </c>
      <c r="E792" s="4">
        <v>2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1</v>
      </c>
      <c r="AF792" s="3">
        <v>0</v>
      </c>
      <c r="AG792" s="3">
        <v>0</v>
      </c>
      <c r="AH792" s="3">
        <v>0</v>
      </c>
      <c r="AI792" s="3">
        <v>0</v>
      </c>
      <c r="AJ792" s="3">
        <v>1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3">
        <v>0</v>
      </c>
      <c r="BK792" s="3">
        <v>0</v>
      </c>
      <c r="BL792" s="3">
        <v>0</v>
      </c>
      <c r="BM792" s="3">
        <v>0</v>
      </c>
      <c r="BN792" s="3">
        <v>0</v>
      </c>
      <c r="BO792" s="3">
        <v>0</v>
      </c>
      <c r="BP792" s="3">
        <v>0</v>
      </c>
      <c r="BQ792" s="3">
        <v>0</v>
      </c>
      <c r="BR792" s="3">
        <v>0</v>
      </c>
      <c r="BS792" s="3">
        <v>0</v>
      </c>
      <c r="BT792" s="3">
        <v>1</v>
      </c>
      <c r="BU792" s="3">
        <v>0</v>
      </c>
    </row>
    <row r="793" spans="1:73" x14ac:dyDescent="0.25">
      <c r="A793" s="2" t="s">
        <v>118</v>
      </c>
      <c r="B793" s="4">
        <v>44</v>
      </c>
      <c r="C793" s="4">
        <v>2</v>
      </c>
      <c r="D793" s="4">
        <v>3</v>
      </c>
      <c r="E793" s="4">
        <v>3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0</v>
      </c>
      <c r="BU793" s="3">
        <v>0</v>
      </c>
    </row>
    <row r="794" spans="1:73" x14ac:dyDescent="0.25">
      <c r="A794" s="2" t="s">
        <v>119</v>
      </c>
      <c r="B794" s="4">
        <v>45</v>
      </c>
      <c r="C794" s="4">
        <v>1</v>
      </c>
      <c r="D794" s="4">
        <v>1</v>
      </c>
      <c r="E794" s="4">
        <v>1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1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1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0</v>
      </c>
      <c r="BJ794" s="3">
        <v>2</v>
      </c>
      <c r="BK794" s="3">
        <v>0</v>
      </c>
      <c r="BL794" s="3">
        <v>0</v>
      </c>
      <c r="BM794" s="3">
        <v>0</v>
      </c>
      <c r="BN794" s="3">
        <v>0</v>
      </c>
      <c r="BO794" s="3">
        <v>0</v>
      </c>
      <c r="BP794" s="3">
        <v>0</v>
      </c>
      <c r="BQ794" s="3">
        <v>0</v>
      </c>
      <c r="BR794" s="3">
        <v>0</v>
      </c>
      <c r="BS794" s="3">
        <v>0</v>
      </c>
      <c r="BT794" s="3">
        <v>2</v>
      </c>
      <c r="BU794" s="3">
        <v>0</v>
      </c>
    </row>
    <row r="795" spans="1:73" x14ac:dyDescent="0.25">
      <c r="A795" s="2" t="s">
        <v>119</v>
      </c>
      <c r="B795" s="4">
        <v>45</v>
      </c>
      <c r="C795" s="4">
        <v>1</v>
      </c>
      <c r="D795" s="4">
        <v>1</v>
      </c>
      <c r="E795" s="4">
        <v>2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1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1</v>
      </c>
      <c r="BU795" s="3">
        <v>0</v>
      </c>
    </row>
    <row r="796" spans="1:73" x14ac:dyDescent="0.25">
      <c r="A796" s="2" t="s">
        <v>119</v>
      </c>
      <c r="B796" s="4">
        <v>45</v>
      </c>
      <c r="C796" s="4">
        <v>1</v>
      </c>
      <c r="D796" s="4">
        <v>1</v>
      </c>
      <c r="E796" s="4">
        <v>3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1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0</v>
      </c>
      <c r="BK796" s="3">
        <v>0</v>
      </c>
      <c r="BL796" s="3">
        <v>0</v>
      </c>
      <c r="BM796" s="3">
        <v>0</v>
      </c>
      <c r="BN796" s="3">
        <v>0</v>
      </c>
      <c r="BO796" s="3">
        <v>0</v>
      </c>
      <c r="BP796" s="3">
        <v>0</v>
      </c>
      <c r="BQ796" s="3">
        <v>0</v>
      </c>
      <c r="BR796" s="3">
        <v>0</v>
      </c>
      <c r="BS796" s="3">
        <v>0</v>
      </c>
      <c r="BT796" s="3">
        <v>1</v>
      </c>
      <c r="BU796" s="3">
        <v>0</v>
      </c>
    </row>
    <row r="797" spans="1:73" x14ac:dyDescent="0.25">
      <c r="A797" s="2" t="s">
        <v>119</v>
      </c>
      <c r="B797" s="4">
        <v>45</v>
      </c>
      <c r="C797" s="4">
        <v>1</v>
      </c>
      <c r="D797" s="4">
        <v>2</v>
      </c>
      <c r="E797" s="4">
        <v>1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0</v>
      </c>
    </row>
    <row r="798" spans="1:73" x14ac:dyDescent="0.25">
      <c r="A798" s="2" t="s">
        <v>119</v>
      </c>
      <c r="B798" s="4">
        <v>45</v>
      </c>
      <c r="C798" s="4">
        <v>1</v>
      </c>
      <c r="D798" s="4">
        <v>2</v>
      </c>
      <c r="E798" s="4">
        <v>2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0</v>
      </c>
      <c r="BL798" s="3">
        <v>0</v>
      </c>
      <c r="BM798" s="3">
        <v>0</v>
      </c>
      <c r="BN798" s="3">
        <v>0</v>
      </c>
      <c r="BO798" s="3">
        <v>0</v>
      </c>
      <c r="BP798" s="3">
        <v>0</v>
      </c>
      <c r="BQ798" s="3">
        <v>0</v>
      </c>
      <c r="BR798" s="3">
        <v>0</v>
      </c>
      <c r="BS798" s="3">
        <v>0</v>
      </c>
      <c r="BT798" s="3">
        <v>0</v>
      </c>
      <c r="BU798" s="3">
        <v>0</v>
      </c>
    </row>
    <row r="799" spans="1:73" x14ac:dyDescent="0.25">
      <c r="A799" s="2" t="s">
        <v>119</v>
      </c>
      <c r="B799" s="4">
        <v>45</v>
      </c>
      <c r="C799" s="4">
        <v>1</v>
      </c>
      <c r="D799" s="4">
        <v>2</v>
      </c>
      <c r="E799" s="4">
        <v>3</v>
      </c>
      <c r="F799" s="3">
        <v>1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2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0</v>
      </c>
      <c r="BU799" s="3">
        <v>0</v>
      </c>
    </row>
    <row r="800" spans="1:73" x14ac:dyDescent="0.25">
      <c r="A800" s="2" t="s">
        <v>119</v>
      </c>
      <c r="B800" s="4">
        <v>45</v>
      </c>
      <c r="C800" s="4">
        <v>1</v>
      </c>
      <c r="D800" s="4">
        <v>3</v>
      </c>
      <c r="E800" s="4">
        <v>1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0</v>
      </c>
      <c r="BK800" s="3">
        <v>0</v>
      </c>
      <c r="BL800" s="3">
        <v>0</v>
      </c>
      <c r="BM800" s="3">
        <v>0</v>
      </c>
      <c r="BN800" s="3">
        <v>0</v>
      </c>
      <c r="BO800" s="3">
        <v>0</v>
      </c>
      <c r="BP800" s="3">
        <v>0</v>
      </c>
      <c r="BQ800" s="3">
        <v>0</v>
      </c>
      <c r="BR800" s="3">
        <v>0</v>
      </c>
      <c r="BS800" s="3">
        <v>0</v>
      </c>
      <c r="BT800" s="3">
        <v>0</v>
      </c>
      <c r="BU800" s="3">
        <v>0</v>
      </c>
    </row>
    <row r="801" spans="1:73" x14ac:dyDescent="0.25">
      <c r="A801" s="2" t="s">
        <v>119</v>
      </c>
      <c r="B801" s="4">
        <v>45</v>
      </c>
      <c r="C801" s="4">
        <v>1</v>
      </c>
      <c r="D801" s="4">
        <v>3</v>
      </c>
      <c r="E801" s="4">
        <v>2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0</v>
      </c>
      <c r="BR801" s="3">
        <v>0</v>
      </c>
      <c r="BS801" s="3">
        <v>0</v>
      </c>
      <c r="BT801" s="3">
        <v>0</v>
      </c>
      <c r="BU801" s="3">
        <v>0</v>
      </c>
    </row>
    <row r="802" spans="1:73" x14ac:dyDescent="0.25">
      <c r="A802" s="2" t="s">
        <v>119</v>
      </c>
      <c r="B802" s="4">
        <v>45</v>
      </c>
      <c r="C802" s="4">
        <v>1</v>
      </c>
      <c r="D802" s="4">
        <v>3</v>
      </c>
      <c r="E802" s="4">
        <v>3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0</v>
      </c>
      <c r="BK802" s="3">
        <v>0</v>
      </c>
      <c r="BL802" s="3">
        <v>0</v>
      </c>
      <c r="BM802" s="3">
        <v>0</v>
      </c>
      <c r="BN802" s="3">
        <v>0</v>
      </c>
      <c r="BO802" s="3">
        <v>0</v>
      </c>
      <c r="BP802" s="3">
        <v>0</v>
      </c>
      <c r="BQ802" s="3">
        <v>0</v>
      </c>
      <c r="BR802" s="3">
        <v>0</v>
      </c>
      <c r="BS802" s="3">
        <v>0</v>
      </c>
      <c r="BT802" s="3">
        <v>0</v>
      </c>
      <c r="BU802" s="3">
        <v>0</v>
      </c>
    </row>
    <row r="803" spans="1:73" x14ac:dyDescent="0.25">
      <c r="A803" s="2" t="s">
        <v>119</v>
      </c>
      <c r="B803" s="4">
        <v>45</v>
      </c>
      <c r="C803" s="4">
        <v>2</v>
      </c>
      <c r="D803" s="4">
        <v>1</v>
      </c>
      <c r="E803" s="4">
        <v>1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1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1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1</v>
      </c>
      <c r="BQ803" s="3">
        <v>0</v>
      </c>
      <c r="BR803" s="3">
        <v>0</v>
      </c>
      <c r="BS803" s="3">
        <v>0</v>
      </c>
      <c r="BT803" s="3">
        <v>1</v>
      </c>
      <c r="BU803" s="3">
        <v>0</v>
      </c>
    </row>
    <row r="804" spans="1:73" x14ac:dyDescent="0.25">
      <c r="A804" s="2" t="s">
        <v>119</v>
      </c>
      <c r="B804" s="4">
        <v>45</v>
      </c>
      <c r="C804" s="4">
        <v>2</v>
      </c>
      <c r="D804" s="4">
        <v>1</v>
      </c>
      <c r="E804" s="4">
        <v>2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2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1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1</v>
      </c>
      <c r="BI804" s="3">
        <v>0</v>
      </c>
      <c r="BJ804" s="3">
        <v>1</v>
      </c>
      <c r="BK804" s="3">
        <v>0</v>
      </c>
      <c r="BL804" s="3">
        <v>0</v>
      </c>
      <c r="BM804" s="3">
        <v>0</v>
      </c>
      <c r="BN804" s="3">
        <v>0</v>
      </c>
      <c r="BO804" s="3">
        <v>0</v>
      </c>
      <c r="BP804" s="3">
        <v>0</v>
      </c>
      <c r="BQ804" s="3">
        <v>0</v>
      </c>
      <c r="BR804" s="3">
        <v>0</v>
      </c>
      <c r="BS804" s="3">
        <v>0</v>
      </c>
      <c r="BT804" s="3">
        <v>1</v>
      </c>
      <c r="BU804" s="3">
        <v>0</v>
      </c>
    </row>
    <row r="805" spans="1:73" x14ac:dyDescent="0.25">
      <c r="A805" s="2" t="s">
        <v>119</v>
      </c>
      <c r="B805" s="4">
        <v>45</v>
      </c>
      <c r="C805" s="4">
        <v>2</v>
      </c>
      <c r="D805" s="4">
        <v>1</v>
      </c>
      <c r="E805" s="4">
        <v>3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1</v>
      </c>
      <c r="AA805" s="3">
        <v>0</v>
      </c>
      <c r="AB805" s="3">
        <v>0</v>
      </c>
      <c r="AC805" s="3">
        <v>0</v>
      </c>
      <c r="AD805" s="3">
        <v>0</v>
      </c>
      <c r="AE805" s="3">
        <v>1</v>
      </c>
      <c r="AF805" s="3">
        <v>0</v>
      </c>
      <c r="AG805" s="3">
        <v>0</v>
      </c>
      <c r="AH805" s="3">
        <v>0</v>
      </c>
      <c r="AI805" s="3">
        <v>0</v>
      </c>
      <c r="AJ805" s="3">
        <v>1</v>
      </c>
      <c r="AK805" s="3">
        <v>0</v>
      </c>
      <c r="AL805" s="3">
        <v>1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1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>
        <v>0</v>
      </c>
    </row>
    <row r="806" spans="1:73" x14ac:dyDescent="0.25">
      <c r="A806" s="2" t="s">
        <v>119</v>
      </c>
      <c r="B806" s="4">
        <v>45</v>
      </c>
      <c r="C806" s="4">
        <v>2</v>
      </c>
      <c r="D806" s="4">
        <v>2</v>
      </c>
      <c r="E806" s="4">
        <v>1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0</v>
      </c>
      <c r="BK806" s="3">
        <v>0</v>
      </c>
      <c r="BL806" s="3">
        <v>0</v>
      </c>
      <c r="BM806" s="3">
        <v>0</v>
      </c>
      <c r="BN806" s="3">
        <v>0</v>
      </c>
      <c r="BO806" s="3">
        <v>0</v>
      </c>
      <c r="BP806" s="3">
        <v>0</v>
      </c>
      <c r="BQ806" s="3">
        <v>0</v>
      </c>
      <c r="BR806" s="3">
        <v>0</v>
      </c>
      <c r="BS806" s="3">
        <v>0</v>
      </c>
      <c r="BT806" s="3">
        <v>0</v>
      </c>
      <c r="BU806" s="3">
        <v>0</v>
      </c>
    </row>
    <row r="807" spans="1:73" x14ac:dyDescent="0.25">
      <c r="A807" s="2" t="s">
        <v>119</v>
      </c>
      <c r="B807" s="4">
        <v>45</v>
      </c>
      <c r="C807" s="4">
        <v>2</v>
      </c>
      <c r="D807" s="4">
        <v>2</v>
      </c>
      <c r="E807" s="4">
        <v>2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1</v>
      </c>
      <c r="AF807" s="3">
        <v>0</v>
      </c>
      <c r="AG807" s="3">
        <v>0</v>
      </c>
      <c r="AH807" s="3">
        <v>0</v>
      </c>
      <c r="AI807" s="3">
        <v>0</v>
      </c>
      <c r="AJ807" s="3">
        <v>1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1</v>
      </c>
      <c r="BU807" s="3">
        <v>0</v>
      </c>
    </row>
    <row r="808" spans="1:73" x14ac:dyDescent="0.25">
      <c r="A808" s="2" t="s">
        <v>119</v>
      </c>
      <c r="B808" s="4">
        <v>45</v>
      </c>
      <c r="C808" s="4">
        <v>2</v>
      </c>
      <c r="D808" s="4">
        <v>2</v>
      </c>
      <c r="E808" s="4">
        <v>3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>
        <v>0</v>
      </c>
      <c r="BK808" s="3">
        <v>0</v>
      </c>
      <c r="BL808" s="3">
        <v>0</v>
      </c>
      <c r="BM808" s="3">
        <v>0</v>
      </c>
      <c r="BN808" s="3">
        <v>0</v>
      </c>
      <c r="BO808" s="3">
        <v>0</v>
      </c>
      <c r="BP808" s="3">
        <v>0</v>
      </c>
      <c r="BQ808" s="3">
        <v>0</v>
      </c>
      <c r="BR808" s="3">
        <v>0</v>
      </c>
      <c r="BS808" s="3">
        <v>0</v>
      </c>
      <c r="BT808" s="3">
        <v>0</v>
      </c>
      <c r="BU808" s="3">
        <v>0</v>
      </c>
    </row>
    <row r="809" spans="1:73" x14ac:dyDescent="0.25">
      <c r="A809" s="2" t="s">
        <v>119</v>
      </c>
      <c r="B809" s="4">
        <v>45</v>
      </c>
      <c r="C809" s="4">
        <v>2</v>
      </c>
      <c r="D809" s="4">
        <v>3</v>
      </c>
      <c r="E809" s="4">
        <v>1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1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0</v>
      </c>
      <c r="BQ809" s="3">
        <v>0</v>
      </c>
      <c r="BR809" s="3">
        <v>0</v>
      </c>
      <c r="BS809" s="3">
        <v>0</v>
      </c>
      <c r="BT809" s="3">
        <v>1</v>
      </c>
      <c r="BU809" s="3">
        <v>0</v>
      </c>
    </row>
    <row r="810" spans="1:73" x14ac:dyDescent="0.25">
      <c r="A810" s="2" t="s">
        <v>119</v>
      </c>
      <c r="B810" s="4">
        <v>45</v>
      </c>
      <c r="C810" s="4">
        <v>2</v>
      </c>
      <c r="D810" s="4">
        <v>3</v>
      </c>
      <c r="E810" s="4">
        <v>2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1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1</v>
      </c>
      <c r="BG810" s="3">
        <v>0</v>
      </c>
      <c r="BH810" s="3">
        <v>0</v>
      </c>
      <c r="BI810" s="3">
        <v>0</v>
      </c>
      <c r="BJ810" s="3">
        <v>0</v>
      </c>
      <c r="BK810" s="3">
        <v>0</v>
      </c>
      <c r="BL810" s="3">
        <v>0</v>
      </c>
      <c r="BM810" s="3">
        <v>0</v>
      </c>
      <c r="BN810" s="3">
        <v>0</v>
      </c>
      <c r="BO810" s="3">
        <v>0</v>
      </c>
      <c r="BP810" s="3">
        <v>0</v>
      </c>
      <c r="BQ810" s="3">
        <v>0</v>
      </c>
      <c r="BR810" s="3">
        <v>0</v>
      </c>
      <c r="BS810" s="3">
        <v>0</v>
      </c>
      <c r="BT810" s="3">
        <v>1</v>
      </c>
      <c r="BU810" s="3">
        <v>0</v>
      </c>
    </row>
    <row r="811" spans="1:73" x14ac:dyDescent="0.25">
      <c r="A811" s="2" t="s">
        <v>119</v>
      </c>
      <c r="B811" s="4">
        <v>45</v>
      </c>
      <c r="C811" s="4">
        <v>2</v>
      </c>
      <c r="D811" s="4">
        <v>3</v>
      </c>
      <c r="E811" s="4">
        <v>3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0</v>
      </c>
      <c r="BT811" s="3">
        <v>0</v>
      </c>
      <c r="BU811" s="3">
        <v>0</v>
      </c>
    </row>
    <row r="812" spans="1:73" x14ac:dyDescent="0.25">
      <c r="A812" s="2" t="s">
        <v>120</v>
      </c>
      <c r="B812" s="4">
        <v>46</v>
      </c>
      <c r="C812" s="4">
        <v>1</v>
      </c>
      <c r="D812" s="4">
        <v>1</v>
      </c>
      <c r="E812" s="4">
        <v>1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1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1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1</v>
      </c>
      <c r="BG812" s="3">
        <v>0</v>
      </c>
      <c r="BH812" s="3">
        <v>0</v>
      </c>
      <c r="BI812" s="3">
        <v>0</v>
      </c>
      <c r="BJ812" s="3">
        <v>0</v>
      </c>
      <c r="BK812" s="3">
        <v>0</v>
      </c>
      <c r="BL812" s="3">
        <v>0</v>
      </c>
      <c r="BM812" s="3">
        <v>0</v>
      </c>
      <c r="BN812" s="3">
        <v>1</v>
      </c>
      <c r="BO812" s="3">
        <v>0</v>
      </c>
      <c r="BP812" s="3">
        <v>0</v>
      </c>
      <c r="BQ812" s="3">
        <v>0</v>
      </c>
      <c r="BR812" s="3">
        <v>0</v>
      </c>
      <c r="BS812" s="3">
        <v>0</v>
      </c>
      <c r="BT812" s="3">
        <v>1</v>
      </c>
      <c r="BU812" s="3">
        <v>0</v>
      </c>
    </row>
    <row r="813" spans="1:73" x14ac:dyDescent="0.25">
      <c r="A813" s="2" t="s">
        <v>120</v>
      </c>
      <c r="B813" s="4">
        <v>46</v>
      </c>
      <c r="C813" s="4">
        <v>1</v>
      </c>
      <c r="D813" s="4">
        <v>1</v>
      </c>
      <c r="E813" s="4">
        <v>2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1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1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1</v>
      </c>
      <c r="BG813" s="3">
        <v>0</v>
      </c>
      <c r="BH813" s="3">
        <v>0</v>
      </c>
      <c r="BI813" s="3">
        <v>0</v>
      </c>
      <c r="BJ813" s="3">
        <v>0</v>
      </c>
      <c r="BK813" s="3">
        <v>0</v>
      </c>
      <c r="BL813" s="3">
        <v>0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0</v>
      </c>
      <c r="BT813" s="3">
        <v>2</v>
      </c>
      <c r="BU813" s="3">
        <v>0</v>
      </c>
    </row>
    <row r="814" spans="1:73" x14ac:dyDescent="0.25">
      <c r="A814" s="2" t="s">
        <v>120</v>
      </c>
      <c r="B814" s="4">
        <v>46</v>
      </c>
      <c r="C814" s="4">
        <v>1</v>
      </c>
      <c r="D814" s="4">
        <v>1</v>
      </c>
      <c r="E814" s="4">
        <v>3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1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0</v>
      </c>
      <c r="BK814" s="3">
        <v>1</v>
      </c>
      <c r="BL814" s="3">
        <v>0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3">
        <v>0</v>
      </c>
      <c r="BS814" s="3">
        <v>0</v>
      </c>
      <c r="BT814" s="3">
        <v>0</v>
      </c>
      <c r="BU814" s="3">
        <v>0</v>
      </c>
    </row>
    <row r="815" spans="1:73" x14ac:dyDescent="0.25">
      <c r="A815" s="2" t="s">
        <v>120</v>
      </c>
      <c r="B815" s="4">
        <v>46</v>
      </c>
      <c r="C815" s="4">
        <v>1</v>
      </c>
      <c r="D815" s="4">
        <v>2</v>
      </c>
      <c r="E815" s="4">
        <v>1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1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>
        <v>0</v>
      </c>
    </row>
    <row r="816" spans="1:73" x14ac:dyDescent="0.25">
      <c r="A816" s="2" t="s">
        <v>120</v>
      </c>
      <c r="B816" s="4">
        <v>46</v>
      </c>
      <c r="C816" s="4">
        <v>1</v>
      </c>
      <c r="D816" s="4">
        <v>2</v>
      </c>
      <c r="E816" s="4">
        <v>2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  <c r="BK816" s="3">
        <v>0</v>
      </c>
      <c r="BL816" s="3">
        <v>0</v>
      </c>
      <c r="BM816" s="3">
        <v>0</v>
      </c>
      <c r="BN816" s="3">
        <v>0</v>
      </c>
      <c r="BO816" s="3">
        <v>0</v>
      </c>
      <c r="BP816" s="3">
        <v>0</v>
      </c>
      <c r="BQ816" s="3">
        <v>0</v>
      </c>
      <c r="BR816" s="3">
        <v>0</v>
      </c>
      <c r="BS816" s="3">
        <v>0</v>
      </c>
      <c r="BT816" s="3">
        <v>0</v>
      </c>
      <c r="BU816" s="3">
        <v>0</v>
      </c>
    </row>
    <row r="817" spans="1:73" x14ac:dyDescent="0.25">
      <c r="A817" s="2" t="s">
        <v>120</v>
      </c>
      <c r="B817" s="4">
        <v>46</v>
      </c>
      <c r="C817" s="4">
        <v>1</v>
      </c>
      <c r="D817" s="4">
        <v>2</v>
      </c>
      <c r="E817" s="4">
        <v>3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>
        <v>0</v>
      </c>
      <c r="BU817" s="3">
        <v>0</v>
      </c>
    </row>
    <row r="818" spans="1:73" x14ac:dyDescent="0.25">
      <c r="A818" s="2" t="s">
        <v>120</v>
      </c>
      <c r="B818" s="4">
        <v>46</v>
      </c>
      <c r="C818" s="4">
        <v>1</v>
      </c>
      <c r="D818" s="4">
        <v>3</v>
      </c>
      <c r="E818" s="4">
        <v>1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0</v>
      </c>
      <c r="BK818" s="3">
        <v>0</v>
      </c>
      <c r="BL818" s="3">
        <v>0</v>
      </c>
      <c r="BM818" s="3">
        <v>0</v>
      </c>
      <c r="BN818" s="3">
        <v>0</v>
      </c>
      <c r="BO818" s="3">
        <v>0</v>
      </c>
      <c r="BP818" s="3">
        <v>0</v>
      </c>
      <c r="BQ818" s="3">
        <v>0</v>
      </c>
      <c r="BR818" s="3">
        <v>0</v>
      </c>
      <c r="BS818" s="3">
        <v>0</v>
      </c>
      <c r="BT818" s="3">
        <v>0</v>
      </c>
      <c r="BU818" s="3">
        <v>0</v>
      </c>
    </row>
    <row r="819" spans="1:73" x14ac:dyDescent="0.25">
      <c r="A819" s="2" t="s">
        <v>120</v>
      </c>
      <c r="B819" s="4">
        <v>46</v>
      </c>
      <c r="C819" s="4">
        <v>1</v>
      </c>
      <c r="D819" s="4">
        <v>3</v>
      </c>
      <c r="E819" s="4">
        <v>2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1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>
        <v>0</v>
      </c>
      <c r="BU819" s="3">
        <v>0</v>
      </c>
    </row>
    <row r="820" spans="1:73" x14ac:dyDescent="0.25">
      <c r="A820" s="2" t="s">
        <v>120</v>
      </c>
      <c r="B820" s="4">
        <v>46</v>
      </c>
      <c r="C820" s="4">
        <v>1</v>
      </c>
      <c r="D820" s="4">
        <v>3</v>
      </c>
      <c r="E820" s="4">
        <v>3</v>
      </c>
      <c r="F820" s="3">
        <v>2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0</v>
      </c>
      <c r="BK820" s="3">
        <v>0</v>
      </c>
      <c r="BL820" s="3">
        <v>0</v>
      </c>
      <c r="BM820" s="3">
        <v>0</v>
      </c>
      <c r="BN820" s="3">
        <v>0</v>
      </c>
      <c r="BO820" s="3">
        <v>0</v>
      </c>
      <c r="BP820" s="3">
        <v>0</v>
      </c>
      <c r="BQ820" s="3">
        <v>0</v>
      </c>
      <c r="BR820" s="3">
        <v>0</v>
      </c>
      <c r="BS820" s="3">
        <v>0</v>
      </c>
      <c r="BT820" s="3">
        <v>0</v>
      </c>
      <c r="BU820" s="3">
        <v>0</v>
      </c>
    </row>
    <row r="821" spans="1:73" x14ac:dyDescent="0.25">
      <c r="A821" s="2" t="s">
        <v>120</v>
      </c>
      <c r="B821" s="4">
        <v>46</v>
      </c>
      <c r="C821" s="4">
        <v>2</v>
      </c>
      <c r="D821" s="4">
        <v>1</v>
      </c>
      <c r="E821" s="4">
        <v>1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2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2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1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2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1</v>
      </c>
      <c r="BU821" s="3">
        <v>0</v>
      </c>
    </row>
    <row r="822" spans="1:73" x14ac:dyDescent="0.25">
      <c r="A822" s="2" t="s">
        <v>120</v>
      </c>
      <c r="B822" s="4">
        <v>46</v>
      </c>
      <c r="C822" s="4">
        <v>2</v>
      </c>
      <c r="D822" s="4">
        <v>1</v>
      </c>
      <c r="E822" s="4">
        <v>2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3">
        <v>1</v>
      </c>
      <c r="BQ822" s="3">
        <v>0</v>
      </c>
      <c r="BR822" s="3">
        <v>0</v>
      </c>
      <c r="BS822" s="3">
        <v>0</v>
      </c>
      <c r="BT822" s="3">
        <v>3</v>
      </c>
      <c r="BU822" s="3">
        <v>0</v>
      </c>
    </row>
    <row r="823" spans="1:73" x14ac:dyDescent="0.25">
      <c r="A823" s="2" t="s">
        <v>120</v>
      </c>
      <c r="B823" s="4">
        <v>46</v>
      </c>
      <c r="C823" s="4">
        <v>2</v>
      </c>
      <c r="D823" s="4">
        <v>1</v>
      </c>
      <c r="E823" s="4">
        <v>3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3">
        <v>0</v>
      </c>
    </row>
    <row r="824" spans="1:73" x14ac:dyDescent="0.25">
      <c r="A824" s="2" t="s">
        <v>120</v>
      </c>
      <c r="B824" s="4">
        <v>46</v>
      </c>
      <c r="C824" s="4">
        <v>2</v>
      </c>
      <c r="D824" s="4">
        <v>2</v>
      </c>
      <c r="E824" s="4">
        <v>1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1</v>
      </c>
      <c r="BI824" s="3">
        <v>0</v>
      </c>
      <c r="BJ824" s="3">
        <v>0</v>
      </c>
      <c r="BK824" s="3">
        <v>0</v>
      </c>
      <c r="BL824" s="3">
        <v>0</v>
      </c>
      <c r="BM824" s="3">
        <v>0</v>
      </c>
      <c r="BN824" s="3">
        <v>0</v>
      </c>
      <c r="BO824" s="3">
        <v>0</v>
      </c>
      <c r="BP824" s="3">
        <v>0</v>
      </c>
      <c r="BQ824" s="3">
        <v>0</v>
      </c>
      <c r="BR824" s="3">
        <v>0</v>
      </c>
      <c r="BS824" s="3">
        <v>0</v>
      </c>
      <c r="BT824" s="3">
        <v>0</v>
      </c>
      <c r="BU824" s="3">
        <v>0</v>
      </c>
    </row>
    <row r="825" spans="1:73" x14ac:dyDescent="0.25">
      <c r="A825" s="2" t="s">
        <v>120</v>
      </c>
      <c r="B825" s="4">
        <v>46</v>
      </c>
      <c r="C825" s="4">
        <v>2</v>
      </c>
      <c r="D825" s="4">
        <v>2</v>
      </c>
      <c r="E825" s="4">
        <v>2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1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1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</row>
    <row r="826" spans="1:73" x14ac:dyDescent="0.25">
      <c r="A826" s="2" t="s">
        <v>120</v>
      </c>
      <c r="B826" s="4">
        <v>46</v>
      </c>
      <c r="C826" s="4">
        <v>2</v>
      </c>
      <c r="D826" s="4">
        <v>2</v>
      </c>
      <c r="E826" s="4">
        <v>3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1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0</v>
      </c>
      <c r="BK826" s="3">
        <v>0</v>
      </c>
      <c r="BL826" s="3">
        <v>0</v>
      </c>
      <c r="BM826" s="3">
        <v>0</v>
      </c>
      <c r="BN826" s="3">
        <v>0</v>
      </c>
      <c r="BO826" s="3">
        <v>0</v>
      </c>
      <c r="BP826" s="3">
        <v>0</v>
      </c>
      <c r="BQ826" s="3">
        <v>0</v>
      </c>
      <c r="BR826" s="3">
        <v>0</v>
      </c>
      <c r="BS826" s="3">
        <v>0</v>
      </c>
      <c r="BT826" s="3">
        <v>0</v>
      </c>
      <c r="BU826" s="3">
        <v>0</v>
      </c>
    </row>
    <row r="827" spans="1:73" x14ac:dyDescent="0.25">
      <c r="A827" s="2" t="s">
        <v>120</v>
      </c>
      <c r="B827" s="4">
        <v>46</v>
      </c>
      <c r="C827" s="4">
        <v>2</v>
      </c>
      <c r="D827" s="4">
        <v>3</v>
      </c>
      <c r="E827" s="4">
        <v>1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2</v>
      </c>
      <c r="W827" s="3">
        <v>0</v>
      </c>
      <c r="X827" s="3">
        <v>0</v>
      </c>
      <c r="Y827" s="3">
        <v>0</v>
      </c>
      <c r="Z827" s="3">
        <v>1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1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0</v>
      </c>
    </row>
    <row r="828" spans="1:73" x14ac:dyDescent="0.25">
      <c r="A828" s="2" t="s">
        <v>120</v>
      </c>
      <c r="B828" s="4">
        <v>46</v>
      </c>
      <c r="C828" s="4">
        <v>2</v>
      </c>
      <c r="D828" s="4">
        <v>3</v>
      </c>
      <c r="E828" s="4">
        <v>2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2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0</v>
      </c>
      <c r="BK828" s="3">
        <v>0</v>
      </c>
      <c r="BL828" s="3">
        <v>0</v>
      </c>
      <c r="BM828" s="3">
        <v>0</v>
      </c>
      <c r="BN828" s="3">
        <v>0</v>
      </c>
      <c r="BO828" s="3">
        <v>0</v>
      </c>
      <c r="BP828" s="3">
        <v>0</v>
      </c>
      <c r="BQ828" s="3">
        <v>0</v>
      </c>
      <c r="BR828" s="3">
        <v>0</v>
      </c>
      <c r="BS828" s="3">
        <v>0</v>
      </c>
      <c r="BT828" s="3">
        <v>0</v>
      </c>
      <c r="BU828" s="3">
        <v>0</v>
      </c>
    </row>
    <row r="829" spans="1:73" x14ac:dyDescent="0.25">
      <c r="A829" s="2" t="s">
        <v>120</v>
      </c>
      <c r="B829" s="4">
        <v>46</v>
      </c>
      <c r="C829" s="4">
        <v>2</v>
      </c>
      <c r="D829" s="4">
        <v>3</v>
      </c>
      <c r="E829" s="4">
        <v>3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1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3">
        <v>0</v>
      </c>
      <c r="BQ829" s="3">
        <v>0</v>
      </c>
      <c r="BR829" s="3">
        <v>0</v>
      </c>
      <c r="BS829" s="3">
        <v>0</v>
      </c>
      <c r="BT829" s="3">
        <v>0</v>
      </c>
      <c r="BU829" s="3">
        <v>0</v>
      </c>
    </row>
    <row r="830" spans="1:73" x14ac:dyDescent="0.25">
      <c r="A830" s="2" t="s">
        <v>121</v>
      </c>
      <c r="B830" s="4">
        <v>47</v>
      </c>
      <c r="C830" s="4">
        <v>1</v>
      </c>
      <c r="D830" s="4">
        <v>1</v>
      </c>
      <c r="E830" s="4">
        <v>1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1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1</v>
      </c>
      <c r="BK830" s="3">
        <v>0</v>
      </c>
      <c r="BL830" s="3">
        <v>0</v>
      </c>
      <c r="BM830" s="3">
        <v>0</v>
      </c>
      <c r="BN830" s="3">
        <v>0</v>
      </c>
      <c r="BO830" s="3">
        <v>0</v>
      </c>
      <c r="BP830" s="3">
        <v>0</v>
      </c>
      <c r="BQ830" s="3">
        <v>0</v>
      </c>
      <c r="BR830" s="3">
        <v>0</v>
      </c>
      <c r="BS830" s="3">
        <v>0</v>
      </c>
      <c r="BT830" s="3">
        <v>0</v>
      </c>
      <c r="BU830" s="3">
        <v>0</v>
      </c>
    </row>
    <row r="831" spans="1:73" x14ac:dyDescent="0.25">
      <c r="A831" s="2" t="s">
        <v>121</v>
      </c>
      <c r="B831" s="4">
        <v>47</v>
      </c>
      <c r="C831" s="4">
        <v>1</v>
      </c>
      <c r="D831" s="4">
        <v>1</v>
      </c>
      <c r="E831" s="4">
        <v>2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4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1</v>
      </c>
      <c r="BG831" s="3">
        <v>0</v>
      </c>
      <c r="BH831" s="3">
        <v>1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2</v>
      </c>
      <c r="BU831" s="3">
        <v>0</v>
      </c>
    </row>
    <row r="832" spans="1:73" x14ac:dyDescent="0.25">
      <c r="A832" s="2" t="s">
        <v>121</v>
      </c>
      <c r="B832" s="4">
        <v>47</v>
      </c>
      <c r="C832" s="4">
        <v>1</v>
      </c>
      <c r="D832" s="4">
        <v>1</v>
      </c>
      <c r="E832" s="4">
        <v>3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1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1</v>
      </c>
      <c r="BG832" s="3">
        <v>0</v>
      </c>
      <c r="BH832" s="3">
        <v>0</v>
      </c>
      <c r="BI832" s="3">
        <v>0</v>
      </c>
      <c r="BJ832" s="3">
        <v>0</v>
      </c>
      <c r="BK832" s="3">
        <v>0</v>
      </c>
      <c r="BL832" s="3">
        <v>0</v>
      </c>
      <c r="BM832" s="3">
        <v>0</v>
      </c>
      <c r="BN832" s="3">
        <v>0</v>
      </c>
      <c r="BO832" s="3">
        <v>0</v>
      </c>
      <c r="BP832" s="3">
        <v>0</v>
      </c>
      <c r="BQ832" s="3">
        <v>0</v>
      </c>
      <c r="BR832" s="3">
        <v>0</v>
      </c>
      <c r="BS832" s="3">
        <v>0</v>
      </c>
      <c r="BT832" s="3">
        <v>0</v>
      </c>
      <c r="BU832" s="3">
        <v>0</v>
      </c>
    </row>
    <row r="833" spans="1:73" x14ac:dyDescent="0.25">
      <c r="A833" s="2" t="s">
        <v>121</v>
      </c>
      <c r="B833" s="4">
        <v>47</v>
      </c>
      <c r="C833" s="4">
        <v>1</v>
      </c>
      <c r="D833" s="4">
        <v>2</v>
      </c>
      <c r="E833" s="4">
        <v>1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</row>
    <row r="834" spans="1:73" x14ac:dyDescent="0.25">
      <c r="A834" s="2" t="s">
        <v>121</v>
      </c>
      <c r="B834" s="4">
        <v>47</v>
      </c>
      <c r="C834" s="4">
        <v>1</v>
      </c>
      <c r="D834" s="4">
        <v>2</v>
      </c>
      <c r="E834" s="4">
        <v>2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1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1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0</v>
      </c>
      <c r="BK834" s="3">
        <v>0</v>
      </c>
      <c r="BL834" s="3">
        <v>0</v>
      </c>
      <c r="BM834" s="3">
        <v>0</v>
      </c>
      <c r="BN834" s="3">
        <v>0</v>
      </c>
      <c r="BO834" s="3">
        <v>0</v>
      </c>
      <c r="BP834" s="3">
        <v>0</v>
      </c>
      <c r="BQ834" s="3">
        <v>0</v>
      </c>
      <c r="BR834" s="3">
        <v>0</v>
      </c>
      <c r="BS834" s="3">
        <v>0</v>
      </c>
      <c r="BT834" s="3">
        <v>0</v>
      </c>
      <c r="BU834" s="3">
        <v>0</v>
      </c>
    </row>
    <row r="835" spans="1:73" x14ac:dyDescent="0.25">
      <c r="A835" s="2" t="s">
        <v>121</v>
      </c>
      <c r="B835" s="4">
        <v>47</v>
      </c>
      <c r="C835" s="4">
        <v>1</v>
      </c>
      <c r="D835" s="4">
        <v>2</v>
      </c>
      <c r="E835" s="4">
        <v>3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1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0</v>
      </c>
      <c r="BU835" s="3">
        <v>0</v>
      </c>
    </row>
    <row r="836" spans="1:73" x14ac:dyDescent="0.25">
      <c r="A836" s="2" t="s">
        <v>121</v>
      </c>
      <c r="B836" s="4">
        <v>47</v>
      </c>
      <c r="C836" s="4">
        <v>1</v>
      </c>
      <c r="D836" s="4">
        <v>3</v>
      </c>
      <c r="E836" s="4">
        <v>1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1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3">
        <v>0</v>
      </c>
      <c r="BK836" s="3">
        <v>0</v>
      </c>
      <c r="BL836" s="3">
        <v>0</v>
      </c>
      <c r="BM836" s="3">
        <v>0</v>
      </c>
      <c r="BN836" s="3">
        <v>0</v>
      </c>
      <c r="BO836" s="3">
        <v>0</v>
      </c>
      <c r="BP836" s="3">
        <v>0</v>
      </c>
      <c r="BQ836" s="3">
        <v>0</v>
      </c>
      <c r="BR836" s="3">
        <v>0</v>
      </c>
      <c r="BS836" s="3">
        <v>0</v>
      </c>
      <c r="BT836" s="3">
        <v>0</v>
      </c>
      <c r="BU836" s="3">
        <v>0</v>
      </c>
    </row>
    <row r="837" spans="1:73" x14ac:dyDescent="0.25">
      <c r="A837" s="2" t="s">
        <v>121</v>
      </c>
      <c r="B837" s="4">
        <v>47</v>
      </c>
      <c r="C837" s="4">
        <v>1</v>
      </c>
      <c r="D837" s="4">
        <v>3</v>
      </c>
      <c r="E837" s="4">
        <v>2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0</v>
      </c>
      <c r="BU837" s="3">
        <v>0</v>
      </c>
    </row>
    <row r="838" spans="1:73" x14ac:dyDescent="0.25">
      <c r="A838" s="2" t="s">
        <v>121</v>
      </c>
      <c r="B838" s="4">
        <v>47</v>
      </c>
      <c r="C838" s="4">
        <v>1</v>
      </c>
      <c r="D838" s="4">
        <v>3</v>
      </c>
      <c r="E838" s="4">
        <v>3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1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0</v>
      </c>
      <c r="BK838" s="3">
        <v>0</v>
      </c>
      <c r="BL838" s="3">
        <v>0</v>
      </c>
      <c r="BM838" s="3">
        <v>0</v>
      </c>
      <c r="BN838" s="3">
        <v>0</v>
      </c>
      <c r="BO838" s="3">
        <v>0</v>
      </c>
      <c r="BP838" s="3">
        <v>0</v>
      </c>
      <c r="BQ838" s="3">
        <v>0</v>
      </c>
      <c r="BR838" s="3">
        <v>0</v>
      </c>
      <c r="BS838" s="3">
        <v>1</v>
      </c>
      <c r="BT838" s="3">
        <v>0</v>
      </c>
      <c r="BU838" s="3">
        <v>0</v>
      </c>
    </row>
    <row r="839" spans="1:73" x14ac:dyDescent="0.25">
      <c r="A839" s="2" t="s">
        <v>121</v>
      </c>
      <c r="B839" s="4">
        <v>47</v>
      </c>
      <c r="C839" s="4">
        <v>2</v>
      </c>
      <c r="D839" s="4">
        <v>1</v>
      </c>
      <c r="E839" s="4">
        <v>1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1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1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>
        <v>2</v>
      </c>
      <c r="BU839" s="3">
        <v>0</v>
      </c>
    </row>
    <row r="840" spans="1:73" x14ac:dyDescent="0.25">
      <c r="A840" s="2" t="s">
        <v>121</v>
      </c>
      <c r="B840" s="4">
        <v>47</v>
      </c>
      <c r="C840" s="4">
        <v>2</v>
      </c>
      <c r="D840" s="4">
        <v>1</v>
      </c>
      <c r="E840" s="4">
        <v>2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1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3">
        <v>0</v>
      </c>
      <c r="BQ840" s="3">
        <v>0</v>
      </c>
      <c r="BR840" s="3">
        <v>0</v>
      </c>
      <c r="BS840" s="3">
        <v>0</v>
      </c>
      <c r="BT840" s="3">
        <v>0</v>
      </c>
      <c r="BU840" s="3">
        <v>0</v>
      </c>
    </row>
    <row r="841" spans="1:73" x14ac:dyDescent="0.25">
      <c r="A841" s="2" t="s">
        <v>121</v>
      </c>
      <c r="B841" s="4">
        <v>47</v>
      </c>
      <c r="C841" s="4">
        <v>2</v>
      </c>
      <c r="D841" s="4">
        <v>1</v>
      </c>
      <c r="E841" s="4">
        <v>3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1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>
        <v>0</v>
      </c>
      <c r="BU841" s="3">
        <v>0</v>
      </c>
    </row>
    <row r="842" spans="1:73" x14ac:dyDescent="0.25">
      <c r="A842" s="2" t="s">
        <v>121</v>
      </c>
      <c r="B842" s="4">
        <v>47</v>
      </c>
      <c r="C842" s="4">
        <v>2</v>
      </c>
      <c r="D842" s="4">
        <v>2</v>
      </c>
      <c r="E842" s="4">
        <v>1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1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0</v>
      </c>
      <c r="BK842" s="3">
        <v>0</v>
      </c>
      <c r="BL842" s="3">
        <v>0</v>
      </c>
      <c r="BM842" s="3">
        <v>0</v>
      </c>
      <c r="BN842" s="3">
        <v>0</v>
      </c>
      <c r="BO842" s="3">
        <v>0</v>
      </c>
      <c r="BP842" s="3">
        <v>0</v>
      </c>
      <c r="BQ842" s="3">
        <v>0</v>
      </c>
      <c r="BR842" s="3">
        <v>0</v>
      </c>
      <c r="BS842" s="3">
        <v>0</v>
      </c>
      <c r="BT842" s="3">
        <v>1</v>
      </c>
      <c r="BU842" s="3">
        <v>0</v>
      </c>
    </row>
    <row r="843" spans="1:73" x14ac:dyDescent="0.25">
      <c r="A843" s="2" t="s">
        <v>121</v>
      </c>
      <c r="B843" s="4">
        <v>47</v>
      </c>
      <c r="C843" s="4">
        <v>2</v>
      </c>
      <c r="D843" s="4">
        <v>2</v>
      </c>
      <c r="E843" s="4">
        <v>2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0</v>
      </c>
      <c r="BT843" s="3">
        <v>1</v>
      </c>
      <c r="BU843" s="3">
        <v>0</v>
      </c>
    </row>
    <row r="844" spans="1:73" x14ac:dyDescent="0.25">
      <c r="A844" s="2" t="s">
        <v>121</v>
      </c>
      <c r="B844" s="4">
        <v>47</v>
      </c>
      <c r="C844" s="4">
        <v>2</v>
      </c>
      <c r="D844" s="4">
        <v>2</v>
      </c>
      <c r="E844" s="4">
        <v>3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1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0</v>
      </c>
      <c r="BK844" s="3">
        <v>0</v>
      </c>
      <c r="BL844" s="3">
        <v>0</v>
      </c>
      <c r="BM844" s="3">
        <v>0</v>
      </c>
      <c r="BN844" s="3">
        <v>0</v>
      </c>
      <c r="BO844" s="3">
        <v>0</v>
      </c>
      <c r="BP844" s="3">
        <v>0</v>
      </c>
      <c r="BQ844" s="3">
        <v>0</v>
      </c>
      <c r="BR844" s="3">
        <v>0</v>
      </c>
      <c r="BS844" s="3">
        <v>0</v>
      </c>
      <c r="BT844" s="3">
        <v>0</v>
      </c>
      <c r="BU844" s="3">
        <v>0</v>
      </c>
    </row>
    <row r="845" spans="1:73" x14ac:dyDescent="0.25">
      <c r="A845" s="2" t="s">
        <v>121</v>
      </c>
      <c r="B845" s="4">
        <v>47</v>
      </c>
      <c r="C845" s="4">
        <v>2</v>
      </c>
      <c r="D845" s="4">
        <v>3</v>
      </c>
      <c r="E845" s="4">
        <v>1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1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0</v>
      </c>
      <c r="BK845" s="3">
        <v>0</v>
      </c>
      <c r="BL845" s="3">
        <v>0</v>
      </c>
      <c r="BM845" s="3">
        <v>0</v>
      </c>
      <c r="BN845" s="3">
        <v>0</v>
      </c>
      <c r="BO845" s="3">
        <v>0</v>
      </c>
      <c r="BP845" s="3">
        <v>0</v>
      </c>
      <c r="BQ845" s="3">
        <v>0</v>
      </c>
      <c r="BR845" s="3">
        <v>0</v>
      </c>
      <c r="BS845" s="3">
        <v>0</v>
      </c>
      <c r="BT845" s="3">
        <v>0</v>
      </c>
      <c r="BU845" s="3">
        <v>0</v>
      </c>
    </row>
    <row r="846" spans="1:73" x14ac:dyDescent="0.25">
      <c r="A846" s="2" t="s">
        <v>121</v>
      </c>
      <c r="B846" s="4">
        <v>47</v>
      </c>
      <c r="C846" s="4">
        <v>2</v>
      </c>
      <c r="D846" s="4">
        <v>3</v>
      </c>
      <c r="E846" s="4">
        <v>2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1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1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1</v>
      </c>
      <c r="BI846" s="3">
        <v>0</v>
      </c>
      <c r="BJ846" s="3">
        <v>0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3">
        <v>0</v>
      </c>
      <c r="BQ846" s="3">
        <v>0</v>
      </c>
      <c r="BR846" s="3">
        <v>0</v>
      </c>
      <c r="BS846" s="3">
        <v>0</v>
      </c>
      <c r="BT846" s="3">
        <v>0</v>
      </c>
      <c r="BU846" s="3">
        <v>0</v>
      </c>
    </row>
    <row r="847" spans="1:73" x14ac:dyDescent="0.25">
      <c r="A847" s="2" t="s">
        <v>121</v>
      </c>
      <c r="B847" s="4">
        <v>47</v>
      </c>
      <c r="C847" s="4">
        <v>2</v>
      </c>
      <c r="D847" s="4">
        <v>3</v>
      </c>
      <c r="E847" s="4">
        <v>3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</row>
    <row r="848" spans="1:73" x14ac:dyDescent="0.25">
      <c r="A848" s="2" t="s">
        <v>122</v>
      </c>
      <c r="B848" s="4">
        <v>48</v>
      </c>
      <c r="C848" s="4">
        <v>1</v>
      </c>
      <c r="D848" s="4">
        <v>1</v>
      </c>
      <c r="E848" s="4">
        <v>1</v>
      </c>
      <c r="F848" s="3">
        <v>0</v>
      </c>
      <c r="G848" s="3">
        <v>1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1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3">
        <v>0</v>
      </c>
      <c r="BQ848" s="3">
        <v>0</v>
      </c>
      <c r="BR848" s="3">
        <v>0</v>
      </c>
      <c r="BS848" s="3">
        <v>0</v>
      </c>
      <c r="BT848" s="3">
        <v>2</v>
      </c>
      <c r="BU848" s="3">
        <v>0</v>
      </c>
    </row>
    <row r="849" spans="1:73" x14ac:dyDescent="0.25">
      <c r="A849" s="2" t="s">
        <v>122</v>
      </c>
      <c r="B849" s="4">
        <v>48</v>
      </c>
      <c r="C849" s="4">
        <v>1</v>
      </c>
      <c r="D849" s="4">
        <v>1</v>
      </c>
      <c r="E849" s="4">
        <v>2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1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2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2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2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>
        <v>0</v>
      </c>
      <c r="BU849" s="3">
        <v>0</v>
      </c>
    </row>
    <row r="850" spans="1:73" x14ac:dyDescent="0.25">
      <c r="A850" s="2" t="s">
        <v>122</v>
      </c>
      <c r="B850" s="4">
        <v>48</v>
      </c>
      <c r="C850" s="4">
        <v>1</v>
      </c>
      <c r="D850" s="4">
        <v>1</v>
      </c>
      <c r="E850" s="4">
        <v>3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1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0</v>
      </c>
      <c r="BP850" s="3">
        <v>0</v>
      </c>
      <c r="BQ850" s="3">
        <v>0</v>
      </c>
      <c r="BR850" s="3">
        <v>0</v>
      </c>
      <c r="BS850" s="3">
        <v>0</v>
      </c>
      <c r="BT850" s="3">
        <v>0</v>
      </c>
      <c r="BU850" s="3">
        <v>0</v>
      </c>
    </row>
    <row r="851" spans="1:73" x14ac:dyDescent="0.25">
      <c r="A851" s="2" t="s">
        <v>122</v>
      </c>
      <c r="B851" s="4">
        <v>48</v>
      </c>
      <c r="C851" s="4">
        <v>1</v>
      </c>
      <c r="D851" s="4">
        <v>2</v>
      </c>
      <c r="E851" s="4">
        <v>1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>
        <v>1</v>
      </c>
      <c r="BU851" s="3">
        <v>0</v>
      </c>
    </row>
    <row r="852" spans="1:73" x14ac:dyDescent="0.25">
      <c r="A852" s="2" t="s">
        <v>122</v>
      </c>
      <c r="B852" s="4">
        <v>48</v>
      </c>
      <c r="C852" s="4">
        <v>1</v>
      </c>
      <c r="D852" s="4">
        <v>2</v>
      </c>
      <c r="E852" s="4">
        <v>2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3">
        <v>0</v>
      </c>
      <c r="BQ852" s="3">
        <v>0</v>
      </c>
      <c r="BR852" s="3">
        <v>0</v>
      </c>
      <c r="BS852" s="3">
        <v>0</v>
      </c>
      <c r="BT852" s="3">
        <v>0</v>
      </c>
      <c r="BU852" s="3">
        <v>0</v>
      </c>
    </row>
    <row r="853" spans="1:73" x14ac:dyDescent="0.25">
      <c r="A853" s="2" t="s">
        <v>122</v>
      </c>
      <c r="B853" s="4">
        <v>48</v>
      </c>
      <c r="C853" s="4">
        <v>1</v>
      </c>
      <c r="D853" s="4">
        <v>2</v>
      </c>
      <c r="E853" s="4">
        <v>3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1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3">
        <v>0</v>
      </c>
      <c r="BL853" s="3">
        <v>0</v>
      </c>
      <c r="BM853" s="3">
        <v>0</v>
      </c>
      <c r="BN853" s="3">
        <v>0</v>
      </c>
      <c r="BO853" s="3">
        <v>0</v>
      </c>
      <c r="BP853" s="3">
        <v>0</v>
      </c>
      <c r="BQ853" s="3">
        <v>0</v>
      </c>
      <c r="BR853" s="3">
        <v>0</v>
      </c>
      <c r="BS853" s="3">
        <v>0</v>
      </c>
      <c r="BT853" s="3">
        <v>0</v>
      </c>
      <c r="BU853" s="3">
        <v>0</v>
      </c>
    </row>
    <row r="854" spans="1:73" x14ac:dyDescent="0.25">
      <c r="A854" s="2" t="s">
        <v>122</v>
      </c>
      <c r="B854" s="4">
        <v>48</v>
      </c>
      <c r="C854" s="4">
        <v>1</v>
      </c>
      <c r="D854" s="4">
        <v>3</v>
      </c>
      <c r="E854" s="4">
        <v>1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0</v>
      </c>
      <c r="BK854" s="3">
        <v>0</v>
      </c>
      <c r="BL854" s="3">
        <v>0</v>
      </c>
      <c r="BM854" s="3">
        <v>0</v>
      </c>
      <c r="BN854" s="3">
        <v>0</v>
      </c>
      <c r="BO854" s="3">
        <v>0</v>
      </c>
      <c r="BP854" s="3">
        <v>0</v>
      </c>
      <c r="BQ854" s="3">
        <v>0</v>
      </c>
      <c r="BR854" s="3">
        <v>0</v>
      </c>
      <c r="BS854" s="3">
        <v>0</v>
      </c>
      <c r="BT854" s="3">
        <v>0</v>
      </c>
      <c r="BU854" s="3">
        <v>0</v>
      </c>
    </row>
    <row r="855" spans="1:73" x14ac:dyDescent="0.25">
      <c r="A855" s="2" t="s">
        <v>122</v>
      </c>
      <c r="B855" s="4">
        <v>48</v>
      </c>
      <c r="C855" s="4">
        <v>1</v>
      </c>
      <c r="D855" s="4">
        <v>3</v>
      </c>
      <c r="E855" s="4">
        <v>2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1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1</v>
      </c>
      <c r="BU855" s="3">
        <v>0</v>
      </c>
    </row>
    <row r="856" spans="1:73" x14ac:dyDescent="0.25">
      <c r="A856" s="2" t="s">
        <v>122</v>
      </c>
      <c r="B856" s="4">
        <v>48</v>
      </c>
      <c r="C856" s="4">
        <v>1</v>
      </c>
      <c r="D856" s="4">
        <v>3</v>
      </c>
      <c r="E856" s="4">
        <v>3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>
        <v>0</v>
      </c>
      <c r="BK856" s="3">
        <v>0</v>
      </c>
      <c r="BL856" s="3">
        <v>0</v>
      </c>
      <c r="BM856" s="3">
        <v>0</v>
      </c>
      <c r="BN856" s="3">
        <v>0</v>
      </c>
      <c r="BO856" s="3">
        <v>0</v>
      </c>
      <c r="BP856" s="3">
        <v>0</v>
      </c>
      <c r="BQ856" s="3">
        <v>0</v>
      </c>
      <c r="BR856" s="3">
        <v>0</v>
      </c>
      <c r="BS856" s="3">
        <v>1</v>
      </c>
      <c r="BT856" s="3">
        <v>0</v>
      </c>
      <c r="BU856" s="3">
        <v>0</v>
      </c>
    </row>
    <row r="857" spans="1:73" x14ac:dyDescent="0.25">
      <c r="A857" s="2" t="s">
        <v>122</v>
      </c>
      <c r="B857" s="4">
        <v>48</v>
      </c>
      <c r="C857" s="4">
        <v>2</v>
      </c>
      <c r="D857" s="4">
        <v>1</v>
      </c>
      <c r="E857" s="4">
        <v>1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3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1</v>
      </c>
      <c r="BT857" s="3">
        <v>3</v>
      </c>
      <c r="BU857" s="3">
        <v>0</v>
      </c>
    </row>
    <row r="858" spans="1:73" x14ac:dyDescent="0.25">
      <c r="A858" s="2" t="s">
        <v>122</v>
      </c>
      <c r="B858" s="4">
        <v>48</v>
      </c>
      <c r="C858" s="4">
        <v>2</v>
      </c>
      <c r="D858" s="4">
        <v>1</v>
      </c>
      <c r="E858" s="4">
        <v>2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1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3">
        <v>0</v>
      </c>
      <c r="BN858" s="3">
        <v>0</v>
      </c>
      <c r="BO858" s="3">
        <v>0</v>
      </c>
      <c r="BP858" s="3">
        <v>0</v>
      </c>
      <c r="BQ858" s="3">
        <v>0</v>
      </c>
      <c r="BR858" s="3">
        <v>0</v>
      </c>
      <c r="BS858" s="3">
        <v>0</v>
      </c>
      <c r="BT858" s="3">
        <v>0</v>
      </c>
      <c r="BU858" s="3">
        <v>0</v>
      </c>
    </row>
    <row r="859" spans="1:73" x14ac:dyDescent="0.25">
      <c r="A859" s="2" t="s">
        <v>122</v>
      </c>
      <c r="B859" s="4">
        <v>48</v>
      </c>
      <c r="C859" s="4">
        <v>2</v>
      </c>
      <c r="D859" s="4">
        <v>1</v>
      </c>
      <c r="E859" s="4">
        <v>3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>
        <v>0</v>
      </c>
      <c r="BU859" s="3">
        <v>0</v>
      </c>
    </row>
    <row r="860" spans="1:73" x14ac:dyDescent="0.25">
      <c r="A860" s="2" t="s">
        <v>122</v>
      </c>
      <c r="B860" s="4">
        <v>48</v>
      </c>
      <c r="C860" s="4">
        <v>2</v>
      </c>
      <c r="D860" s="4">
        <v>2</v>
      </c>
      <c r="E860" s="4">
        <v>1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2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3">
        <v>0</v>
      </c>
      <c r="BK860" s="3">
        <v>0</v>
      </c>
      <c r="BL860" s="3">
        <v>0</v>
      </c>
      <c r="BM860" s="3">
        <v>0</v>
      </c>
      <c r="BN860" s="3">
        <v>0</v>
      </c>
      <c r="BO860" s="3">
        <v>0</v>
      </c>
      <c r="BP860" s="3">
        <v>0</v>
      </c>
      <c r="BQ860" s="3">
        <v>0</v>
      </c>
      <c r="BR860" s="3">
        <v>0</v>
      </c>
      <c r="BS860" s="3">
        <v>0</v>
      </c>
      <c r="BT860" s="3">
        <v>0</v>
      </c>
      <c r="BU860" s="3">
        <v>0</v>
      </c>
    </row>
    <row r="861" spans="1:73" x14ac:dyDescent="0.25">
      <c r="A861" s="2" t="s">
        <v>122</v>
      </c>
      <c r="B861" s="4">
        <v>48</v>
      </c>
      <c r="C861" s="4">
        <v>2</v>
      </c>
      <c r="D861" s="4">
        <v>2</v>
      </c>
      <c r="E861" s="4">
        <v>2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2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3">
        <v>0</v>
      </c>
      <c r="BK861" s="3">
        <v>0</v>
      </c>
      <c r="BL861" s="3">
        <v>0</v>
      </c>
      <c r="BM861" s="3">
        <v>0</v>
      </c>
      <c r="BN861" s="3">
        <v>0</v>
      </c>
      <c r="BO861" s="3">
        <v>0</v>
      </c>
      <c r="BP861" s="3">
        <v>0</v>
      </c>
      <c r="BQ861" s="3">
        <v>0</v>
      </c>
      <c r="BR861" s="3">
        <v>0</v>
      </c>
      <c r="BS861" s="3">
        <v>0</v>
      </c>
      <c r="BT861" s="3">
        <v>0</v>
      </c>
      <c r="BU861" s="3">
        <v>0</v>
      </c>
    </row>
    <row r="862" spans="1:73" x14ac:dyDescent="0.25">
      <c r="A862" s="2" t="s">
        <v>122</v>
      </c>
      <c r="B862" s="4">
        <v>48</v>
      </c>
      <c r="C862" s="4">
        <v>2</v>
      </c>
      <c r="D862" s="4">
        <v>2</v>
      </c>
      <c r="E862" s="4">
        <v>3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3">
        <v>0</v>
      </c>
      <c r="BP862" s="3">
        <v>0</v>
      </c>
      <c r="BQ862" s="3">
        <v>0</v>
      </c>
      <c r="BR862" s="3">
        <v>0</v>
      </c>
      <c r="BS862" s="3">
        <v>0</v>
      </c>
      <c r="BT862" s="3">
        <v>0</v>
      </c>
      <c r="BU862" s="3">
        <v>0</v>
      </c>
    </row>
    <row r="863" spans="1:73" x14ac:dyDescent="0.25">
      <c r="A863" s="2" t="s">
        <v>122</v>
      </c>
      <c r="B863" s="4">
        <v>48</v>
      </c>
      <c r="C863" s="4">
        <v>2</v>
      </c>
      <c r="D863" s="4">
        <v>3</v>
      </c>
      <c r="E863" s="4">
        <v>1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1</v>
      </c>
      <c r="AA863" s="3">
        <v>0</v>
      </c>
      <c r="AB863" s="3">
        <v>0</v>
      </c>
      <c r="AC863" s="3">
        <v>0</v>
      </c>
      <c r="AD863" s="3">
        <v>0</v>
      </c>
      <c r="AE863" s="3">
        <v>1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1</v>
      </c>
      <c r="BU863" s="3">
        <v>0</v>
      </c>
    </row>
    <row r="864" spans="1:73" x14ac:dyDescent="0.25">
      <c r="A864" s="2" t="s">
        <v>122</v>
      </c>
      <c r="B864" s="4">
        <v>48</v>
      </c>
      <c r="C864" s="4">
        <v>2</v>
      </c>
      <c r="D864" s="4">
        <v>3</v>
      </c>
      <c r="E864" s="4">
        <v>2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0</v>
      </c>
      <c r="BD864" s="3">
        <v>0</v>
      </c>
      <c r="BE864" s="3">
        <v>1</v>
      </c>
      <c r="BF864" s="3">
        <v>0</v>
      </c>
      <c r="BG864" s="3">
        <v>0</v>
      </c>
      <c r="BH864" s="3">
        <v>1</v>
      </c>
      <c r="BI864" s="3">
        <v>1</v>
      </c>
      <c r="BJ864" s="3">
        <v>0</v>
      </c>
      <c r="BK864" s="3">
        <v>0</v>
      </c>
      <c r="BL864" s="3">
        <v>0</v>
      </c>
      <c r="BM864" s="3">
        <v>0</v>
      </c>
      <c r="BN864" s="3">
        <v>0</v>
      </c>
      <c r="BO864" s="3">
        <v>0</v>
      </c>
      <c r="BP864" s="3">
        <v>0</v>
      </c>
      <c r="BQ864" s="3">
        <v>0</v>
      </c>
      <c r="BR864" s="3">
        <v>0</v>
      </c>
      <c r="BS864" s="3">
        <v>0</v>
      </c>
      <c r="BT864" s="3">
        <v>0</v>
      </c>
      <c r="BU864" s="3">
        <v>0</v>
      </c>
    </row>
    <row r="865" spans="1:73" x14ac:dyDescent="0.25">
      <c r="A865" s="2" t="s">
        <v>122</v>
      </c>
      <c r="B865" s="4">
        <v>48</v>
      </c>
      <c r="C865" s="4">
        <v>2</v>
      </c>
      <c r="D865" s="4">
        <v>3</v>
      </c>
      <c r="E865" s="4">
        <v>3</v>
      </c>
      <c r="F865" s="3">
        <v>0</v>
      </c>
      <c r="G865" s="3">
        <v>1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3">
        <v>0</v>
      </c>
      <c r="BU865" s="3">
        <v>0</v>
      </c>
    </row>
    <row r="866" spans="1:73" x14ac:dyDescent="0.25">
      <c r="A866" s="2" t="s">
        <v>123</v>
      </c>
      <c r="B866" s="4">
        <v>49</v>
      </c>
      <c r="C866" s="4">
        <v>1</v>
      </c>
      <c r="D866" s="4">
        <v>1</v>
      </c>
      <c r="E866" s="4">
        <v>1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1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0</v>
      </c>
      <c r="BK866" s="3">
        <v>0</v>
      </c>
      <c r="BL866" s="3">
        <v>0</v>
      </c>
      <c r="BM866" s="3">
        <v>0</v>
      </c>
      <c r="BN866" s="3">
        <v>0</v>
      </c>
      <c r="BO866" s="3">
        <v>0</v>
      </c>
      <c r="BP866" s="3">
        <v>0</v>
      </c>
      <c r="BQ866" s="3">
        <v>0</v>
      </c>
      <c r="BR866" s="3">
        <v>0</v>
      </c>
      <c r="BS866" s="3">
        <v>0</v>
      </c>
      <c r="BT866" s="3">
        <v>1</v>
      </c>
      <c r="BU866" s="3">
        <v>0</v>
      </c>
    </row>
    <row r="867" spans="1:73" x14ac:dyDescent="0.25">
      <c r="A867" s="2" t="s">
        <v>123</v>
      </c>
      <c r="B867" s="4">
        <v>49</v>
      </c>
      <c r="C867" s="4">
        <v>1</v>
      </c>
      <c r="D867" s="4">
        <v>1</v>
      </c>
      <c r="E867" s="4">
        <v>2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2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1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>
        <v>1</v>
      </c>
      <c r="BI867" s="3">
        <v>0</v>
      </c>
      <c r="BJ867" s="3">
        <v>0</v>
      </c>
      <c r="BK867" s="3">
        <v>0</v>
      </c>
      <c r="BL867" s="3">
        <v>0</v>
      </c>
      <c r="BM867" s="3">
        <v>0</v>
      </c>
      <c r="BN867" s="3">
        <v>0</v>
      </c>
      <c r="BO867" s="3">
        <v>0</v>
      </c>
      <c r="BP867" s="3">
        <v>0</v>
      </c>
      <c r="BQ867" s="3">
        <v>0</v>
      </c>
      <c r="BR867" s="3">
        <v>0</v>
      </c>
      <c r="BS867" s="3">
        <v>0</v>
      </c>
      <c r="BT867" s="3">
        <v>2</v>
      </c>
      <c r="BU867" s="3">
        <v>0</v>
      </c>
    </row>
    <row r="868" spans="1:73" x14ac:dyDescent="0.25">
      <c r="A868" s="2" t="s">
        <v>123</v>
      </c>
      <c r="B868" s="4">
        <v>49</v>
      </c>
      <c r="C868" s="4">
        <v>1</v>
      </c>
      <c r="D868" s="4">
        <v>1</v>
      </c>
      <c r="E868" s="4">
        <v>3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1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3">
        <v>0</v>
      </c>
      <c r="BH868" s="3">
        <v>1</v>
      </c>
      <c r="BI868" s="3">
        <v>0</v>
      </c>
      <c r="BJ868" s="3">
        <v>0</v>
      </c>
      <c r="BK868" s="3">
        <v>0</v>
      </c>
      <c r="BL868" s="3">
        <v>0</v>
      </c>
      <c r="BM868" s="3">
        <v>0</v>
      </c>
      <c r="BN868" s="3">
        <v>0</v>
      </c>
      <c r="BO868" s="3">
        <v>0</v>
      </c>
      <c r="BP868" s="3">
        <v>0</v>
      </c>
      <c r="BQ868" s="3">
        <v>0</v>
      </c>
      <c r="BR868" s="3">
        <v>0</v>
      </c>
      <c r="BS868" s="3">
        <v>0</v>
      </c>
      <c r="BT868" s="3">
        <v>0</v>
      </c>
      <c r="BU868" s="3">
        <v>0</v>
      </c>
    </row>
    <row r="869" spans="1:73" x14ac:dyDescent="0.25">
      <c r="A869" s="2" t="s">
        <v>123</v>
      </c>
      <c r="B869" s="4">
        <v>49</v>
      </c>
      <c r="C869" s="4">
        <v>1</v>
      </c>
      <c r="D869" s="4">
        <v>2</v>
      </c>
      <c r="E869" s="4">
        <v>1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1</v>
      </c>
      <c r="BJ869" s="3">
        <v>0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3">
        <v>1</v>
      </c>
      <c r="BQ869" s="3">
        <v>0</v>
      </c>
      <c r="BR869" s="3">
        <v>0</v>
      </c>
      <c r="BS869" s="3">
        <v>0</v>
      </c>
      <c r="BT869" s="3">
        <v>0</v>
      </c>
      <c r="BU869" s="3">
        <v>0</v>
      </c>
    </row>
    <row r="870" spans="1:73" x14ac:dyDescent="0.25">
      <c r="A870" s="2" t="s">
        <v>123</v>
      </c>
      <c r="B870" s="4">
        <v>49</v>
      </c>
      <c r="C870" s="4">
        <v>1</v>
      </c>
      <c r="D870" s="4">
        <v>2</v>
      </c>
      <c r="E870" s="4">
        <v>2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1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0</v>
      </c>
      <c r="BJ870" s="3">
        <v>0</v>
      </c>
      <c r="BK870" s="3">
        <v>0</v>
      </c>
      <c r="BL870" s="3">
        <v>0</v>
      </c>
      <c r="BM870" s="3">
        <v>0</v>
      </c>
      <c r="BN870" s="3">
        <v>0</v>
      </c>
      <c r="BO870" s="3">
        <v>0</v>
      </c>
      <c r="BP870" s="3">
        <v>0</v>
      </c>
      <c r="BQ870" s="3">
        <v>0</v>
      </c>
      <c r="BR870" s="3">
        <v>0</v>
      </c>
      <c r="BS870" s="3">
        <v>0</v>
      </c>
      <c r="BT870" s="3">
        <v>0</v>
      </c>
      <c r="BU870" s="3">
        <v>0</v>
      </c>
    </row>
    <row r="871" spans="1:73" x14ac:dyDescent="0.25">
      <c r="A871" s="2" t="s">
        <v>123</v>
      </c>
      <c r="B871" s="4">
        <v>49</v>
      </c>
      <c r="C871" s="4">
        <v>1</v>
      </c>
      <c r="D871" s="4">
        <v>2</v>
      </c>
      <c r="E871" s="4">
        <v>3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3">
        <v>0</v>
      </c>
      <c r="BS871" s="3">
        <v>0</v>
      </c>
      <c r="BT871" s="3">
        <v>0</v>
      </c>
      <c r="BU871" s="3">
        <v>0</v>
      </c>
    </row>
    <row r="872" spans="1:73" x14ac:dyDescent="0.25">
      <c r="A872" s="2" t="s">
        <v>123</v>
      </c>
      <c r="B872" s="4">
        <v>49</v>
      </c>
      <c r="C872" s="4">
        <v>1</v>
      </c>
      <c r="D872" s="4">
        <v>3</v>
      </c>
      <c r="E872" s="4">
        <v>1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0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0</v>
      </c>
      <c r="BJ872" s="3">
        <v>0</v>
      </c>
      <c r="BK872" s="3">
        <v>0</v>
      </c>
      <c r="BL872" s="3">
        <v>0</v>
      </c>
      <c r="BM872" s="3">
        <v>0</v>
      </c>
      <c r="BN872" s="3">
        <v>0</v>
      </c>
      <c r="BO872" s="3">
        <v>0</v>
      </c>
      <c r="BP872" s="3">
        <v>0</v>
      </c>
      <c r="BQ872" s="3">
        <v>0</v>
      </c>
      <c r="BR872" s="3">
        <v>0</v>
      </c>
      <c r="BS872" s="3">
        <v>0</v>
      </c>
      <c r="BT872" s="3">
        <v>0</v>
      </c>
      <c r="BU872" s="3">
        <v>0</v>
      </c>
    </row>
    <row r="873" spans="1:73" x14ac:dyDescent="0.25">
      <c r="A873" s="2" t="s">
        <v>123</v>
      </c>
      <c r="B873" s="4">
        <v>49</v>
      </c>
      <c r="C873" s="4">
        <v>1</v>
      </c>
      <c r="D873" s="4">
        <v>3</v>
      </c>
      <c r="E873" s="4">
        <v>2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1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>
        <v>0</v>
      </c>
      <c r="BK873" s="3">
        <v>0</v>
      </c>
      <c r="BL873" s="3">
        <v>0</v>
      </c>
      <c r="BM873" s="3">
        <v>0</v>
      </c>
      <c r="BN873" s="3">
        <v>0</v>
      </c>
      <c r="BO873" s="3">
        <v>0</v>
      </c>
      <c r="BP873" s="3">
        <v>0</v>
      </c>
      <c r="BQ873" s="3">
        <v>0</v>
      </c>
      <c r="BR873" s="3">
        <v>0</v>
      </c>
      <c r="BS873" s="3">
        <v>0</v>
      </c>
      <c r="BT873" s="3">
        <v>0</v>
      </c>
      <c r="BU873" s="3">
        <v>0</v>
      </c>
    </row>
    <row r="874" spans="1:73" x14ac:dyDescent="0.25">
      <c r="A874" s="2" t="s">
        <v>123</v>
      </c>
      <c r="B874" s="4">
        <v>49</v>
      </c>
      <c r="C874" s="4">
        <v>1</v>
      </c>
      <c r="D874" s="4">
        <v>3</v>
      </c>
      <c r="E874" s="4">
        <v>3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3">
        <v>0</v>
      </c>
      <c r="BN874" s="3">
        <v>0</v>
      </c>
      <c r="BO874" s="3">
        <v>0</v>
      </c>
      <c r="BP874" s="3">
        <v>0</v>
      </c>
      <c r="BQ874" s="3">
        <v>0</v>
      </c>
      <c r="BR874" s="3">
        <v>0</v>
      </c>
      <c r="BS874" s="3">
        <v>0</v>
      </c>
      <c r="BT874" s="3">
        <v>0</v>
      </c>
      <c r="BU874" s="3">
        <v>0</v>
      </c>
    </row>
    <row r="875" spans="1:73" x14ac:dyDescent="0.25">
      <c r="A875" s="2" t="s">
        <v>123</v>
      </c>
      <c r="B875" s="4">
        <v>49</v>
      </c>
      <c r="C875" s="4">
        <v>2</v>
      </c>
      <c r="D875" s="4">
        <v>1</v>
      </c>
      <c r="E875" s="4">
        <v>1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1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1</v>
      </c>
      <c r="BJ875" s="3">
        <v>0</v>
      </c>
      <c r="BK875" s="3">
        <v>0</v>
      </c>
      <c r="BL875" s="3">
        <v>0</v>
      </c>
      <c r="BM875" s="3">
        <v>0</v>
      </c>
      <c r="BN875" s="3">
        <v>0</v>
      </c>
      <c r="BO875" s="3">
        <v>0</v>
      </c>
      <c r="BP875" s="3">
        <v>0</v>
      </c>
      <c r="BQ875" s="3">
        <v>0</v>
      </c>
      <c r="BR875" s="3">
        <v>0</v>
      </c>
      <c r="BS875" s="3">
        <v>0</v>
      </c>
      <c r="BT875" s="3">
        <v>0</v>
      </c>
      <c r="BU875" s="3">
        <v>0</v>
      </c>
    </row>
    <row r="876" spans="1:73" x14ac:dyDescent="0.25">
      <c r="A876" s="2" t="s">
        <v>123</v>
      </c>
      <c r="B876" s="4">
        <v>49</v>
      </c>
      <c r="C876" s="4">
        <v>2</v>
      </c>
      <c r="D876" s="4">
        <v>1</v>
      </c>
      <c r="E876" s="4">
        <v>2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1</v>
      </c>
      <c r="AA876" s="3">
        <v>0</v>
      </c>
      <c r="AB876" s="3">
        <v>0</v>
      </c>
      <c r="AC876" s="3">
        <v>0</v>
      </c>
      <c r="AD876" s="3">
        <v>0</v>
      </c>
      <c r="AE876" s="3">
        <v>1</v>
      </c>
      <c r="AF876" s="3">
        <v>0</v>
      </c>
      <c r="AG876" s="3">
        <v>0</v>
      </c>
      <c r="AH876" s="3">
        <v>0</v>
      </c>
      <c r="AI876" s="3">
        <v>0</v>
      </c>
      <c r="AJ876" s="3">
        <v>1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3">
        <v>2</v>
      </c>
      <c r="BU876" s="3">
        <v>0</v>
      </c>
    </row>
    <row r="877" spans="1:73" x14ac:dyDescent="0.25">
      <c r="A877" s="2" t="s">
        <v>123</v>
      </c>
      <c r="B877" s="4">
        <v>49</v>
      </c>
      <c r="C877" s="4">
        <v>2</v>
      </c>
      <c r="D877" s="4">
        <v>1</v>
      </c>
      <c r="E877" s="4">
        <v>3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1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0</v>
      </c>
      <c r="BK877" s="3">
        <v>0</v>
      </c>
      <c r="BL877" s="3">
        <v>0</v>
      </c>
      <c r="BM877" s="3">
        <v>0</v>
      </c>
      <c r="BN877" s="3">
        <v>0</v>
      </c>
      <c r="BO877" s="3">
        <v>0</v>
      </c>
      <c r="BP877" s="3">
        <v>0</v>
      </c>
      <c r="BQ877" s="3">
        <v>0</v>
      </c>
      <c r="BR877" s="3">
        <v>0</v>
      </c>
      <c r="BS877" s="3">
        <v>0</v>
      </c>
      <c r="BT877" s="3">
        <v>0</v>
      </c>
      <c r="BU877" s="3">
        <v>0</v>
      </c>
    </row>
    <row r="878" spans="1:73" x14ac:dyDescent="0.25">
      <c r="A878" s="2" t="s">
        <v>123</v>
      </c>
      <c r="B878" s="4">
        <v>49</v>
      </c>
      <c r="C878" s="4">
        <v>2</v>
      </c>
      <c r="D878" s="4">
        <v>2</v>
      </c>
      <c r="E878" s="4">
        <v>1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0</v>
      </c>
      <c r="BK878" s="3">
        <v>0</v>
      </c>
      <c r="BL878" s="3">
        <v>0</v>
      </c>
      <c r="BM878" s="3">
        <v>0</v>
      </c>
      <c r="BN878" s="3">
        <v>0</v>
      </c>
      <c r="BO878" s="3">
        <v>0</v>
      </c>
      <c r="BP878" s="3">
        <v>0</v>
      </c>
      <c r="BQ878" s="3">
        <v>0</v>
      </c>
      <c r="BR878" s="3">
        <v>0</v>
      </c>
      <c r="BS878" s="3">
        <v>0</v>
      </c>
      <c r="BT878" s="3">
        <v>0</v>
      </c>
      <c r="BU878" s="3">
        <v>0</v>
      </c>
    </row>
    <row r="879" spans="1:73" x14ac:dyDescent="0.25">
      <c r="A879" s="2" t="s">
        <v>123</v>
      </c>
      <c r="B879" s="4">
        <v>49</v>
      </c>
      <c r="C879" s="4">
        <v>2</v>
      </c>
      <c r="D879" s="4">
        <v>2</v>
      </c>
      <c r="E879" s="4">
        <v>2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  <c r="BN879" s="3">
        <v>0</v>
      </c>
      <c r="BO879" s="3">
        <v>0</v>
      </c>
      <c r="BP879" s="3">
        <v>0</v>
      </c>
      <c r="BQ879" s="3">
        <v>0</v>
      </c>
      <c r="BR879" s="3">
        <v>0</v>
      </c>
      <c r="BS879" s="3">
        <v>0</v>
      </c>
      <c r="BT879" s="3">
        <v>0</v>
      </c>
      <c r="BU879" s="3">
        <v>0</v>
      </c>
    </row>
    <row r="880" spans="1:73" x14ac:dyDescent="0.25">
      <c r="A880" s="2" t="s">
        <v>123</v>
      </c>
      <c r="B880" s="4">
        <v>49</v>
      </c>
      <c r="C880" s="4">
        <v>2</v>
      </c>
      <c r="D880" s="4">
        <v>2</v>
      </c>
      <c r="E880" s="4">
        <v>3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1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1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0</v>
      </c>
      <c r="BK880" s="3">
        <v>0</v>
      </c>
      <c r="BL880" s="3">
        <v>0</v>
      </c>
      <c r="BM880" s="3">
        <v>0</v>
      </c>
      <c r="BN880" s="3">
        <v>0</v>
      </c>
      <c r="BO880" s="3">
        <v>0</v>
      </c>
      <c r="BP880" s="3">
        <v>0</v>
      </c>
      <c r="BQ880" s="3">
        <v>0</v>
      </c>
      <c r="BR880" s="3">
        <v>0</v>
      </c>
      <c r="BS880" s="3">
        <v>0</v>
      </c>
      <c r="BT880" s="3">
        <v>0</v>
      </c>
      <c r="BU880" s="3">
        <v>0</v>
      </c>
    </row>
    <row r="881" spans="1:73" x14ac:dyDescent="0.25">
      <c r="A881" s="2" t="s">
        <v>123</v>
      </c>
      <c r="B881" s="4">
        <v>49</v>
      </c>
      <c r="C881" s="4">
        <v>2</v>
      </c>
      <c r="D881" s="4">
        <v>3</v>
      </c>
      <c r="E881" s="4">
        <v>1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1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1</v>
      </c>
      <c r="BK881" s="3">
        <v>0</v>
      </c>
      <c r="BL881" s="3">
        <v>0</v>
      </c>
      <c r="BM881" s="3">
        <v>0</v>
      </c>
      <c r="BN881" s="3">
        <v>0</v>
      </c>
      <c r="BO881" s="3">
        <v>0</v>
      </c>
      <c r="BP881" s="3">
        <v>0</v>
      </c>
      <c r="BQ881" s="3">
        <v>0</v>
      </c>
      <c r="BR881" s="3">
        <v>0</v>
      </c>
      <c r="BS881" s="3">
        <v>0</v>
      </c>
      <c r="BT881" s="3">
        <v>0</v>
      </c>
      <c r="BU881" s="3">
        <v>0</v>
      </c>
    </row>
    <row r="882" spans="1:73" x14ac:dyDescent="0.25">
      <c r="A882" s="2" t="s">
        <v>123</v>
      </c>
      <c r="B882" s="4">
        <v>49</v>
      </c>
      <c r="C882" s="4">
        <v>2</v>
      </c>
      <c r="D882" s="4">
        <v>3</v>
      </c>
      <c r="E882" s="4">
        <v>2</v>
      </c>
      <c r="F882" s="3">
        <v>0</v>
      </c>
      <c r="G882" s="3">
        <v>1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1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0</v>
      </c>
      <c r="BK882" s="3">
        <v>0</v>
      </c>
      <c r="BL882" s="3">
        <v>0</v>
      </c>
      <c r="BM882" s="3">
        <v>0</v>
      </c>
      <c r="BN882" s="3">
        <v>0</v>
      </c>
      <c r="BO882" s="3">
        <v>0</v>
      </c>
      <c r="BP882" s="3">
        <v>0</v>
      </c>
      <c r="BQ882" s="3">
        <v>0</v>
      </c>
      <c r="BR882" s="3">
        <v>0</v>
      </c>
      <c r="BS882" s="3">
        <v>0</v>
      </c>
      <c r="BT882" s="3">
        <v>0</v>
      </c>
      <c r="BU882" s="3">
        <v>0</v>
      </c>
    </row>
    <row r="883" spans="1:73" x14ac:dyDescent="0.25">
      <c r="A883" s="2" t="s">
        <v>123</v>
      </c>
      <c r="B883" s="4">
        <v>49</v>
      </c>
      <c r="C883" s="4">
        <v>2</v>
      </c>
      <c r="D883" s="4">
        <v>3</v>
      </c>
      <c r="E883" s="4">
        <v>3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4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1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0</v>
      </c>
      <c r="BT883" s="3">
        <v>0</v>
      </c>
      <c r="BU883" s="3">
        <v>0</v>
      </c>
    </row>
    <row r="884" spans="1:73" x14ac:dyDescent="0.25">
      <c r="A884" s="2" t="s">
        <v>124</v>
      </c>
      <c r="B884" s="4">
        <v>50</v>
      </c>
      <c r="C884" s="4">
        <v>1</v>
      </c>
      <c r="D884" s="4">
        <v>1</v>
      </c>
      <c r="E884" s="4">
        <v>1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1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1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3">
        <v>0</v>
      </c>
      <c r="BM884" s="3">
        <v>0</v>
      </c>
      <c r="BN884" s="3">
        <v>0</v>
      </c>
      <c r="BO884" s="3">
        <v>0</v>
      </c>
      <c r="BP884" s="3">
        <v>0</v>
      </c>
      <c r="BQ884" s="3">
        <v>0</v>
      </c>
      <c r="BR884" s="3">
        <v>0</v>
      </c>
      <c r="BS884" s="3">
        <v>0</v>
      </c>
      <c r="BT884" s="3">
        <v>1</v>
      </c>
      <c r="BU884" s="3">
        <v>0</v>
      </c>
    </row>
    <row r="885" spans="1:73" x14ac:dyDescent="0.25">
      <c r="A885" s="2" t="s">
        <v>124</v>
      </c>
      <c r="B885" s="4">
        <v>50</v>
      </c>
      <c r="C885" s="4">
        <v>1</v>
      </c>
      <c r="D885" s="4">
        <v>1</v>
      </c>
      <c r="E885" s="4">
        <v>2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1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1</v>
      </c>
      <c r="AA885" s="3">
        <v>0</v>
      </c>
      <c r="AB885" s="3">
        <v>0</v>
      </c>
      <c r="AC885" s="3">
        <v>0</v>
      </c>
      <c r="AD885" s="3">
        <v>0</v>
      </c>
      <c r="AE885" s="3">
        <v>1</v>
      </c>
      <c r="AF885" s="3">
        <v>0</v>
      </c>
      <c r="AG885" s="3">
        <v>0</v>
      </c>
      <c r="AH885" s="3">
        <v>0</v>
      </c>
      <c r="AI885" s="3">
        <v>0</v>
      </c>
      <c r="AJ885" s="3">
        <v>2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1</v>
      </c>
      <c r="BU885" s="3">
        <v>0</v>
      </c>
    </row>
    <row r="886" spans="1:73" x14ac:dyDescent="0.25">
      <c r="A886" s="2" t="s">
        <v>124</v>
      </c>
      <c r="B886" s="4">
        <v>50</v>
      </c>
      <c r="C886" s="4">
        <v>1</v>
      </c>
      <c r="D886" s="4">
        <v>1</v>
      </c>
      <c r="E886" s="4">
        <v>3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1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1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0</v>
      </c>
      <c r="BK886" s="3">
        <v>0</v>
      </c>
      <c r="BL886" s="3">
        <v>1</v>
      </c>
      <c r="BM886" s="3">
        <v>0</v>
      </c>
      <c r="BN886" s="3">
        <v>0</v>
      </c>
      <c r="BO886" s="3">
        <v>0</v>
      </c>
      <c r="BP886" s="3">
        <v>0</v>
      </c>
      <c r="BQ886" s="3">
        <v>0</v>
      </c>
      <c r="BR886" s="3">
        <v>0</v>
      </c>
      <c r="BS886" s="3">
        <v>1</v>
      </c>
      <c r="BT886" s="3">
        <v>0</v>
      </c>
      <c r="BU886" s="3">
        <v>0</v>
      </c>
    </row>
    <row r="887" spans="1:73" x14ac:dyDescent="0.25">
      <c r="A887" s="2" t="s">
        <v>124</v>
      </c>
      <c r="B887" s="4">
        <v>50</v>
      </c>
      <c r="C887" s="4">
        <v>1</v>
      </c>
      <c r="D887" s="4">
        <v>2</v>
      </c>
      <c r="E887" s="4">
        <v>1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>
        <v>0</v>
      </c>
      <c r="BU887" s="3">
        <v>0</v>
      </c>
    </row>
    <row r="888" spans="1:73" x14ac:dyDescent="0.25">
      <c r="A888" s="2" t="s">
        <v>124</v>
      </c>
      <c r="B888" s="4">
        <v>50</v>
      </c>
      <c r="C888" s="4">
        <v>1</v>
      </c>
      <c r="D888" s="4">
        <v>2</v>
      </c>
      <c r="E888" s="4">
        <v>2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0</v>
      </c>
      <c r="BK888" s="3">
        <v>0</v>
      </c>
      <c r="BL888" s="3">
        <v>0</v>
      </c>
      <c r="BM888" s="3">
        <v>0</v>
      </c>
      <c r="BN888" s="3">
        <v>0</v>
      </c>
      <c r="BO888" s="3">
        <v>0</v>
      </c>
      <c r="BP888" s="3">
        <v>0</v>
      </c>
      <c r="BQ888" s="3">
        <v>0</v>
      </c>
      <c r="BR888" s="3">
        <v>0</v>
      </c>
      <c r="BS888" s="3">
        <v>0</v>
      </c>
      <c r="BT888" s="3">
        <v>0</v>
      </c>
      <c r="BU888" s="3">
        <v>0</v>
      </c>
    </row>
    <row r="889" spans="1:73" x14ac:dyDescent="0.25">
      <c r="A889" s="2" t="s">
        <v>124</v>
      </c>
      <c r="B889" s="4">
        <v>50</v>
      </c>
      <c r="C889" s="4">
        <v>1</v>
      </c>
      <c r="D889" s="4">
        <v>2</v>
      </c>
      <c r="E889" s="4">
        <v>3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1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0</v>
      </c>
      <c r="BQ889" s="3">
        <v>0</v>
      </c>
      <c r="BR889" s="3">
        <v>0</v>
      </c>
      <c r="BS889" s="3">
        <v>0</v>
      </c>
      <c r="BT889" s="3">
        <v>0</v>
      </c>
      <c r="BU889" s="3">
        <v>0</v>
      </c>
    </row>
    <row r="890" spans="1:73" x14ac:dyDescent="0.25">
      <c r="A890" s="2" t="s">
        <v>124</v>
      </c>
      <c r="B890" s="4">
        <v>50</v>
      </c>
      <c r="C890" s="4">
        <v>1</v>
      </c>
      <c r="D890" s="4">
        <v>3</v>
      </c>
      <c r="E890" s="4">
        <v>1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0</v>
      </c>
      <c r="BK890" s="3">
        <v>0</v>
      </c>
      <c r="BL890" s="3">
        <v>0</v>
      </c>
      <c r="BM890" s="3">
        <v>0</v>
      </c>
      <c r="BN890" s="3">
        <v>0</v>
      </c>
      <c r="BO890" s="3">
        <v>0</v>
      </c>
      <c r="BP890" s="3">
        <v>0</v>
      </c>
      <c r="BQ890" s="3">
        <v>0</v>
      </c>
      <c r="BR890" s="3">
        <v>0</v>
      </c>
      <c r="BS890" s="3">
        <v>0</v>
      </c>
      <c r="BT890" s="3">
        <v>1</v>
      </c>
      <c r="BU890" s="3">
        <v>0</v>
      </c>
    </row>
    <row r="891" spans="1:73" x14ac:dyDescent="0.25">
      <c r="A891" s="2" t="s">
        <v>124</v>
      </c>
      <c r="B891" s="4">
        <v>50</v>
      </c>
      <c r="C891" s="4">
        <v>1</v>
      </c>
      <c r="D891" s="4">
        <v>3</v>
      </c>
      <c r="E891" s="4">
        <v>2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0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0</v>
      </c>
      <c r="BN891" s="3">
        <v>0</v>
      </c>
      <c r="BO891" s="3">
        <v>0</v>
      </c>
      <c r="BP891" s="3">
        <v>0</v>
      </c>
      <c r="BQ891" s="3">
        <v>0</v>
      </c>
      <c r="BR891" s="3">
        <v>0</v>
      </c>
      <c r="BS891" s="3">
        <v>0</v>
      </c>
      <c r="BT891" s="3">
        <v>0</v>
      </c>
      <c r="BU891" s="3">
        <v>0</v>
      </c>
    </row>
    <row r="892" spans="1:73" x14ac:dyDescent="0.25">
      <c r="A892" s="2" t="s">
        <v>124</v>
      </c>
      <c r="B892" s="4">
        <v>50</v>
      </c>
      <c r="C892" s="4">
        <v>1</v>
      </c>
      <c r="D892" s="4">
        <v>3</v>
      </c>
      <c r="E892" s="4">
        <v>3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2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0</v>
      </c>
      <c r="BK892" s="3">
        <v>0</v>
      </c>
      <c r="BL892" s="3">
        <v>0</v>
      </c>
      <c r="BM892" s="3">
        <v>0</v>
      </c>
      <c r="BN892" s="3">
        <v>0</v>
      </c>
      <c r="BO892" s="3">
        <v>0</v>
      </c>
      <c r="BP892" s="3">
        <v>0</v>
      </c>
      <c r="BQ892" s="3">
        <v>0</v>
      </c>
      <c r="BR892" s="3">
        <v>0</v>
      </c>
      <c r="BS892" s="3">
        <v>0</v>
      </c>
      <c r="BT892" s="3">
        <v>0</v>
      </c>
      <c r="BU892" s="3">
        <v>0</v>
      </c>
    </row>
    <row r="893" spans="1:73" x14ac:dyDescent="0.25">
      <c r="A893" s="2" t="s">
        <v>124</v>
      </c>
      <c r="B893" s="4">
        <v>50</v>
      </c>
      <c r="C893" s="4">
        <v>2</v>
      </c>
      <c r="D893" s="4">
        <v>1</v>
      </c>
      <c r="E893" s="4">
        <v>1</v>
      </c>
      <c r="F893" s="3">
        <v>0</v>
      </c>
      <c r="G893" s="3">
        <v>1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1</v>
      </c>
      <c r="AF893" s="3">
        <v>0</v>
      </c>
      <c r="AG893" s="3">
        <v>0</v>
      </c>
      <c r="AH893" s="3">
        <v>0</v>
      </c>
      <c r="AI893" s="3">
        <v>0</v>
      </c>
      <c r="AJ893" s="3">
        <v>3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0</v>
      </c>
      <c r="BJ893" s="3">
        <v>0</v>
      </c>
      <c r="BK893" s="3">
        <v>0</v>
      </c>
      <c r="BL893" s="3">
        <v>0</v>
      </c>
      <c r="BM893" s="3">
        <v>0</v>
      </c>
      <c r="BN893" s="3">
        <v>0</v>
      </c>
      <c r="BO893" s="3">
        <v>0</v>
      </c>
      <c r="BP893" s="3">
        <v>0</v>
      </c>
      <c r="BQ893" s="3">
        <v>0</v>
      </c>
      <c r="BR893" s="3">
        <v>0</v>
      </c>
      <c r="BS893" s="3">
        <v>0</v>
      </c>
      <c r="BT893" s="3">
        <v>1</v>
      </c>
      <c r="BU893" s="3">
        <v>0</v>
      </c>
    </row>
    <row r="894" spans="1:73" x14ac:dyDescent="0.25">
      <c r="A894" s="2" t="s">
        <v>124</v>
      </c>
      <c r="B894" s="4">
        <v>50</v>
      </c>
      <c r="C894" s="4">
        <v>2</v>
      </c>
      <c r="D894" s="4">
        <v>1</v>
      </c>
      <c r="E894" s="4">
        <v>2</v>
      </c>
      <c r="F894" s="3">
        <v>0</v>
      </c>
      <c r="G894" s="3">
        <v>2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1</v>
      </c>
      <c r="P894" s="3">
        <v>1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2</v>
      </c>
      <c r="AF894" s="3">
        <v>0</v>
      </c>
      <c r="AG894" s="3">
        <v>0</v>
      </c>
      <c r="AH894" s="3">
        <v>0</v>
      </c>
      <c r="AI894" s="3">
        <v>0</v>
      </c>
      <c r="AJ894" s="3">
        <v>2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0</v>
      </c>
      <c r="BN894" s="3">
        <v>0</v>
      </c>
      <c r="BO894" s="3">
        <v>0</v>
      </c>
      <c r="BP894" s="3">
        <v>0</v>
      </c>
      <c r="BQ894" s="3">
        <v>0</v>
      </c>
      <c r="BR894" s="3">
        <v>0</v>
      </c>
      <c r="BS894" s="3">
        <v>0</v>
      </c>
      <c r="BT894" s="3">
        <v>1</v>
      </c>
      <c r="BU894" s="3">
        <v>0</v>
      </c>
    </row>
    <row r="895" spans="1:73" x14ac:dyDescent="0.25">
      <c r="A895" s="2" t="s">
        <v>124</v>
      </c>
      <c r="B895" s="4">
        <v>50</v>
      </c>
      <c r="C895" s="4">
        <v>2</v>
      </c>
      <c r="D895" s="4">
        <v>1</v>
      </c>
      <c r="E895" s="4">
        <v>3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3">
        <v>0</v>
      </c>
      <c r="BQ895" s="3">
        <v>0</v>
      </c>
      <c r="BR895" s="3">
        <v>0</v>
      </c>
      <c r="BS895" s="3">
        <v>0</v>
      </c>
      <c r="BT895" s="3">
        <v>0</v>
      </c>
      <c r="BU895" s="3">
        <v>0</v>
      </c>
    </row>
    <row r="896" spans="1:73" x14ac:dyDescent="0.25">
      <c r="A896" s="2" t="s">
        <v>124</v>
      </c>
      <c r="B896" s="4">
        <v>50</v>
      </c>
      <c r="C896" s="4">
        <v>2</v>
      </c>
      <c r="D896" s="4">
        <v>2</v>
      </c>
      <c r="E896" s="4">
        <v>1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>
        <v>0</v>
      </c>
      <c r="BK896" s="3">
        <v>0</v>
      </c>
      <c r="BL896" s="3">
        <v>0</v>
      </c>
      <c r="BM896" s="3">
        <v>0</v>
      </c>
      <c r="BN896" s="3">
        <v>0</v>
      </c>
      <c r="BO896" s="3">
        <v>0</v>
      </c>
      <c r="BP896" s="3">
        <v>0</v>
      </c>
      <c r="BQ896" s="3">
        <v>0</v>
      </c>
      <c r="BR896" s="3">
        <v>0</v>
      </c>
      <c r="BS896" s="3">
        <v>0</v>
      </c>
      <c r="BT896" s="3">
        <v>0</v>
      </c>
      <c r="BU896" s="3">
        <v>0</v>
      </c>
    </row>
    <row r="897" spans="1:73" x14ac:dyDescent="0.25">
      <c r="A897" s="2" t="s">
        <v>124</v>
      </c>
      <c r="B897" s="4">
        <v>50</v>
      </c>
      <c r="C897" s="4">
        <v>2</v>
      </c>
      <c r="D897" s="4">
        <v>2</v>
      </c>
      <c r="E897" s="4">
        <v>2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  <c r="BN897" s="3">
        <v>0</v>
      </c>
      <c r="BO897" s="3">
        <v>0</v>
      </c>
      <c r="BP897" s="3">
        <v>0</v>
      </c>
      <c r="BQ897" s="3">
        <v>0</v>
      </c>
      <c r="BR897" s="3">
        <v>0</v>
      </c>
      <c r="BS897" s="3">
        <v>0</v>
      </c>
      <c r="BT897" s="3">
        <v>0</v>
      </c>
      <c r="BU897" s="3">
        <v>0</v>
      </c>
    </row>
    <row r="898" spans="1:73" x14ac:dyDescent="0.25">
      <c r="A898" s="2" t="s">
        <v>124</v>
      </c>
      <c r="B898" s="4">
        <v>50</v>
      </c>
      <c r="C898" s="4">
        <v>2</v>
      </c>
      <c r="D898" s="4">
        <v>2</v>
      </c>
      <c r="E898" s="4">
        <v>3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3">
        <v>0</v>
      </c>
      <c r="BO898" s="3">
        <v>0</v>
      </c>
      <c r="BP898" s="3">
        <v>0</v>
      </c>
      <c r="BQ898" s="3">
        <v>0</v>
      </c>
      <c r="BR898" s="3">
        <v>0</v>
      </c>
      <c r="BS898" s="3">
        <v>0</v>
      </c>
      <c r="BT898" s="3">
        <v>0</v>
      </c>
      <c r="BU898" s="3">
        <v>0</v>
      </c>
    </row>
    <row r="899" spans="1:73" x14ac:dyDescent="0.25">
      <c r="A899" s="2" t="s">
        <v>124</v>
      </c>
      <c r="B899" s="4">
        <v>50</v>
      </c>
      <c r="C899" s="4">
        <v>2</v>
      </c>
      <c r="D899" s="4">
        <v>3</v>
      </c>
      <c r="E899" s="4">
        <v>1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2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0</v>
      </c>
      <c r="BU899" s="3">
        <v>0</v>
      </c>
    </row>
    <row r="900" spans="1:73" x14ac:dyDescent="0.25">
      <c r="A900" s="2" t="s">
        <v>124</v>
      </c>
      <c r="B900" s="4">
        <v>50</v>
      </c>
      <c r="C900" s="4">
        <v>2</v>
      </c>
      <c r="D900" s="4">
        <v>3</v>
      </c>
      <c r="E900" s="4">
        <v>2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0</v>
      </c>
      <c r="BK900" s="3">
        <v>0</v>
      </c>
      <c r="BL900" s="3">
        <v>0</v>
      </c>
      <c r="BM900" s="3">
        <v>0</v>
      </c>
      <c r="BN900" s="3">
        <v>0</v>
      </c>
      <c r="BO900" s="3">
        <v>0</v>
      </c>
      <c r="BP900" s="3">
        <v>0</v>
      </c>
      <c r="BQ900" s="3">
        <v>0</v>
      </c>
      <c r="BR900" s="3">
        <v>0</v>
      </c>
      <c r="BS900" s="3">
        <v>0</v>
      </c>
      <c r="BT900" s="3">
        <v>0</v>
      </c>
      <c r="BU900" s="3">
        <v>0</v>
      </c>
    </row>
    <row r="901" spans="1:73" x14ac:dyDescent="0.25">
      <c r="A901" s="2" t="s">
        <v>124</v>
      </c>
      <c r="B901" s="4">
        <v>50</v>
      </c>
      <c r="C901" s="4">
        <v>2</v>
      </c>
      <c r="D901" s="4">
        <v>3</v>
      </c>
      <c r="E901" s="4">
        <v>3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1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</row>
    <row r="902" spans="1:73" x14ac:dyDescent="0.25">
      <c r="A902" s="2" t="s">
        <v>125</v>
      </c>
      <c r="B902" s="4">
        <v>51</v>
      </c>
      <c r="C902" s="4">
        <v>1</v>
      </c>
      <c r="D902" s="4">
        <v>1</v>
      </c>
      <c r="E902" s="4">
        <v>1</v>
      </c>
      <c r="F902" s="3">
        <v>0</v>
      </c>
      <c r="G902" s="3">
        <v>1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2</v>
      </c>
      <c r="AF902" s="3">
        <v>0</v>
      </c>
      <c r="AG902" s="3">
        <v>0</v>
      </c>
      <c r="AH902" s="3">
        <v>0</v>
      </c>
      <c r="AI902" s="3">
        <v>0</v>
      </c>
      <c r="AJ902" s="3">
        <v>1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3">
        <v>0</v>
      </c>
      <c r="BK902" s="3">
        <v>0</v>
      </c>
      <c r="BL902" s="3">
        <v>0</v>
      </c>
      <c r="BM902" s="3">
        <v>0</v>
      </c>
      <c r="BN902" s="3">
        <v>0</v>
      </c>
      <c r="BO902" s="3">
        <v>0</v>
      </c>
      <c r="BP902" s="3">
        <v>0</v>
      </c>
      <c r="BQ902" s="3">
        <v>0</v>
      </c>
      <c r="BR902" s="3">
        <v>0</v>
      </c>
      <c r="BS902" s="3">
        <v>0</v>
      </c>
      <c r="BT902" s="3">
        <v>1</v>
      </c>
      <c r="BU902" s="3">
        <v>0</v>
      </c>
    </row>
    <row r="903" spans="1:73" x14ac:dyDescent="0.25">
      <c r="A903" s="2" t="s">
        <v>125</v>
      </c>
      <c r="B903" s="4">
        <v>51</v>
      </c>
      <c r="C903" s="4">
        <v>1</v>
      </c>
      <c r="D903" s="4">
        <v>1</v>
      </c>
      <c r="E903" s="4">
        <v>2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2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0</v>
      </c>
      <c r="BK903" s="3">
        <v>0</v>
      </c>
      <c r="BL903" s="3">
        <v>1</v>
      </c>
      <c r="BM903" s="3">
        <v>0</v>
      </c>
      <c r="BN903" s="3">
        <v>0</v>
      </c>
      <c r="BO903" s="3">
        <v>0</v>
      </c>
      <c r="BP903" s="3">
        <v>0</v>
      </c>
      <c r="BQ903" s="3">
        <v>0</v>
      </c>
      <c r="BR903" s="3">
        <v>0</v>
      </c>
      <c r="BS903" s="3">
        <v>0</v>
      </c>
      <c r="BT903" s="3">
        <v>1</v>
      </c>
      <c r="BU903" s="3">
        <v>0</v>
      </c>
    </row>
    <row r="904" spans="1:73" x14ac:dyDescent="0.25">
      <c r="A904" s="2" t="s">
        <v>125</v>
      </c>
      <c r="B904" s="4">
        <v>51</v>
      </c>
      <c r="C904" s="4">
        <v>1</v>
      </c>
      <c r="D904" s="4">
        <v>1</v>
      </c>
      <c r="E904" s="4">
        <v>3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1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0</v>
      </c>
      <c r="BK904" s="3">
        <v>0</v>
      </c>
      <c r="BL904" s="3">
        <v>1</v>
      </c>
      <c r="BM904" s="3">
        <v>0</v>
      </c>
      <c r="BN904" s="3">
        <v>0</v>
      </c>
      <c r="BO904" s="3">
        <v>0</v>
      </c>
      <c r="BP904" s="3">
        <v>0</v>
      </c>
      <c r="BQ904" s="3">
        <v>0</v>
      </c>
      <c r="BR904" s="3">
        <v>0</v>
      </c>
      <c r="BS904" s="3">
        <v>0</v>
      </c>
      <c r="BT904" s="3">
        <v>1</v>
      </c>
      <c r="BU904" s="3">
        <v>0</v>
      </c>
    </row>
    <row r="905" spans="1:73" x14ac:dyDescent="0.25">
      <c r="A905" s="2" t="s">
        <v>125</v>
      </c>
      <c r="B905" s="4">
        <v>51</v>
      </c>
      <c r="C905" s="4">
        <v>1</v>
      </c>
      <c r="D905" s="4">
        <v>2</v>
      </c>
      <c r="E905" s="4">
        <v>1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0</v>
      </c>
      <c r="BK905" s="3">
        <v>0</v>
      </c>
      <c r="BL905" s="3">
        <v>0</v>
      </c>
      <c r="BM905" s="3">
        <v>0</v>
      </c>
      <c r="BN905" s="3">
        <v>0</v>
      </c>
      <c r="BO905" s="3">
        <v>0</v>
      </c>
      <c r="BP905" s="3">
        <v>0</v>
      </c>
      <c r="BQ905" s="3">
        <v>0</v>
      </c>
      <c r="BR905" s="3">
        <v>0</v>
      </c>
      <c r="BS905" s="3">
        <v>0</v>
      </c>
      <c r="BT905" s="3">
        <v>0</v>
      </c>
      <c r="BU905" s="3">
        <v>0</v>
      </c>
    </row>
    <row r="906" spans="1:73" x14ac:dyDescent="0.25">
      <c r="A906" s="2" t="s">
        <v>125</v>
      </c>
      <c r="B906" s="4">
        <v>51</v>
      </c>
      <c r="C906" s="4">
        <v>1</v>
      </c>
      <c r="D906" s="4">
        <v>2</v>
      </c>
      <c r="E906" s="4">
        <v>2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1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0</v>
      </c>
      <c r="BL906" s="3">
        <v>0</v>
      </c>
      <c r="BM906" s="3">
        <v>0</v>
      </c>
      <c r="BN906" s="3">
        <v>0</v>
      </c>
      <c r="BO906" s="3">
        <v>0</v>
      </c>
      <c r="BP906" s="3">
        <v>0</v>
      </c>
      <c r="BQ906" s="3">
        <v>0</v>
      </c>
      <c r="BR906" s="3">
        <v>0</v>
      </c>
      <c r="BS906" s="3">
        <v>0</v>
      </c>
      <c r="BT906" s="3">
        <v>0</v>
      </c>
      <c r="BU906" s="3">
        <v>0</v>
      </c>
    </row>
    <row r="907" spans="1:73" x14ac:dyDescent="0.25">
      <c r="A907" s="2" t="s">
        <v>125</v>
      </c>
      <c r="B907" s="4">
        <v>51</v>
      </c>
      <c r="C907" s="4">
        <v>1</v>
      </c>
      <c r="D907" s="4">
        <v>2</v>
      </c>
      <c r="E907" s="4">
        <v>3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1</v>
      </c>
      <c r="P907" s="3">
        <v>1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3">
        <v>1</v>
      </c>
      <c r="BL907" s="3">
        <v>0</v>
      </c>
      <c r="BM907" s="3">
        <v>0</v>
      </c>
      <c r="BN907" s="3">
        <v>0</v>
      </c>
      <c r="BO907" s="3">
        <v>0</v>
      </c>
      <c r="BP907" s="3">
        <v>0</v>
      </c>
      <c r="BQ907" s="3">
        <v>0</v>
      </c>
      <c r="BR907" s="3">
        <v>0</v>
      </c>
      <c r="BS907" s="3">
        <v>0</v>
      </c>
      <c r="BT907" s="3">
        <v>0</v>
      </c>
      <c r="BU907" s="3">
        <v>0</v>
      </c>
    </row>
    <row r="908" spans="1:73" x14ac:dyDescent="0.25">
      <c r="A908" s="2" t="s">
        <v>125</v>
      </c>
      <c r="B908" s="4">
        <v>51</v>
      </c>
      <c r="C908" s="4">
        <v>1</v>
      </c>
      <c r="D908" s="4">
        <v>3</v>
      </c>
      <c r="E908" s="4">
        <v>1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1</v>
      </c>
      <c r="T908" s="3">
        <v>0</v>
      </c>
      <c r="U908" s="3">
        <v>0</v>
      </c>
      <c r="V908" s="3">
        <v>0</v>
      </c>
      <c r="W908" s="3">
        <v>0</v>
      </c>
      <c r="X908" s="3">
        <v>4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0</v>
      </c>
      <c r="BK908" s="3">
        <v>1</v>
      </c>
      <c r="BL908" s="3">
        <v>0</v>
      </c>
      <c r="BM908" s="3">
        <v>0</v>
      </c>
      <c r="BN908" s="3">
        <v>0</v>
      </c>
      <c r="BO908" s="3">
        <v>0</v>
      </c>
      <c r="BP908" s="3">
        <v>0</v>
      </c>
      <c r="BQ908" s="3">
        <v>0</v>
      </c>
      <c r="BR908" s="3">
        <v>0</v>
      </c>
      <c r="BS908" s="3">
        <v>0</v>
      </c>
      <c r="BT908" s="3">
        <v>1</v>
      </c>
      <c r="BU908" s="3">
        <v>0</v>
      </c>
    </row>
    <row r="909" spans="1:73" x14ac:dyDescent="0.25">
      <c r="A909" s="2" t="s">
        <v>125</v>
      </c>
      <c r="B909" s="4">
        <v>51</v>
      </c>
      <c r="C909" s="4">
        <v>1</v>
      </c>
      <c r="D909" s="4">
        <v>3</v>
      </c>
      <c r="E909" s="4">
        <v>2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1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0</v>
      </c>
      <c r="BN909" s="3">
        <v>0</v>
      </c>
      <c r="BO909" s="3">
        <v>0</v>
      </c>
      <c r="BP909" s="3">
        <v>0</v>
      </c>
      <c r="BQ909" s="3">
        <v>0</v>
      </c>
      <c r="BR909" s="3">
        <v>0</v>
      </c>
      <c r="BS909" s="3">
        <v>0</v>
      </c>
      <c r="BT909" s="3">
        <v>0</v>
      </c>
      <c r="BU909" s="3">
        <v>0</v>
      </c>
    </row>
    <row r="910" spans="1:73" x14ac:dyDescent="0.25">
      <c r="A910" s="2" t="s">
        <v>125</v>
      </c>
      <c r="B910" s="4">
        <v>51</v>
      </c>
      <c r="C910" s="4">
        <v>1</v>
      </c>
      <c r="D910" s="4">
        <v>3</v>
      </c>
      <c r="E910" s="4">
        <v>3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0</v>
      </c>
      <c r="BK910" s="3">
        <v>0</v>
      </c>
      <c r="BL910" s="3">
        <v>0</v>
      </c>
      <c r="BM910" s="3">
        <v>0</v>
      </c>
      <c r="BN910" s="3">
        <v>0</v>
      </c>
      <c r="BO910" s="3">
        <v>0</v>
      </c>
      <c r="BP910" s="3">
        <v>0</v>
      </c>
      <c r="BQ910" s="3">
        <v>0</v>
      </c>
      <c r="BR910" s="3">
        <v>0</v>
      </c>
      <c r="BS910" s="3">
        <v>0</v>
      </c>
      <c r="BT910" s="3">
        <v>0</v>
      </c>
      <c r="BU910" s="3">
        <v>0</v>
      </c>
    </row>
    <row r="911" spans="1:73" x14ac:dyDescent="0.25">
      <c r="A911" s="2" t="s">
        <v>125</v>
      </c>
      <c r="B911" s="4">
        <v>51</v>
      </c>
      <c r="C911" s="4">
        <v>2</v>
      </c>
      <c r="D911" s="4">
        <v>1</v>
      </c>
      <c r="E911" s="4">
        <v>1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1</v>
      </c>
      <c r="W911" s="3">
        <v>0</v>
      </c>
      <c r="X911" s="3">
        <v>0</v>
      </c>
      <c r="Y911" s="3">
        <v>0</v>
      </c>
      <c r="Z911" s="3">
        <v>1</v>
      </c>
      <c r="AA911" s="3">
        <v>0</v>
      </c>
      <c r="AB911" s="3">
        <v>0</v>
      </c>
      <c r="AC911" s="3">
        <v>0</v>
      </c>
      <c r="AD911" s="3">
        <v>0</v>
      </c>
      <c r="AE911" s="3">
        <v>1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0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0</v>
      </c>
      <c r="BK911" s="3">
        <v>0</v>
      </c>
      <c r="BL911" s="3">
        <v>0</v>
      </c>
      <c r="BM911" s="3">
        <v>0</v>
      </c>
      <c r="BN911" s="3">
        <v>0</v>
      </c>
      <c r="BO911" s="3">
        <v>0</v>
      </c>
      <c r="BP911" s="3">
        <v>0</v>
      </c>
      <c r="BQ911" s="3">
        <v>0</v>
      </c>
      <c r="BR911" s="3">
        <v>0</v>
      </c>
      <c r="BS911" s="3">
        <v>0</v>
      </c>
      <c r="BT911" s="3">
        <v>1</v>
      </c>
      <c r="BU911" s="3">
        <v>0</v>
      </c>
    </row>
    <row r="912" spans="1:73" x14ac:dyDescent="0.25">
      <c r="A912" s="2" t="s">
        <v>125</v>
      </c>
      <c r="B912" s="4">
        <v>51</v>
      </c>
      <c r="C912" s="4">
        <v>2</v>
      </c>
      <c r="D912" s="4">
        <v>1</v>
      </c>
      <c r="E912" s="4">
        <v>2</v>
      </c>
      <c r="F912" s="3">
        <v>0</v>
      </c>
      <c r="G912" s="3">
        <v>1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1</v>
      </c>
      <c r="AA912" s="3">
        <v>0</v>
      </c>
      <c r="AB912" s="3">
        <v>0</v>
      </c>
      <c r="AC912" s="3">
        <v>0</v>
      </c>
      <c r="AD912" s="3">
        <v>0</v>
      </c>
      <c r="AE912" s="3">
        <v>1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1</v>
      </c>
      <c r="AV912" s="3">
        <v>0</v>
      </c>
      <c r="AW912" s="3">
        <v>1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0</v>
      </c>
      <c r="BK912" s="3">
        <v>0</v>
      </c>
      <c r="BL912" s="3">
        <v>0</v>
      </c>
      <c r="BM912" s="3">
        <v>0</v>
      </c>
      <c r="BN912" s="3">
        <v>0</v>
      </c>
      <c r="BO912" s="3">
        <v>0</v>
      </c>
      <c r="BP912" s="3">
        <v>0</v>
      </c>
      <c r="BQ912" s="3">
        <v>0</v>
      </c>
      <c r="BR912" s="3">
        <v>0</v>
      </c>
      <c r="BS912" s="3">
        <v>0</v>
      </c>
      <c r="BT912" s="3">
        <v>1</v>
      </c>
      <c r="BU912" s="3">
        <v>0</v>
      </c>
    </row>
    <row r="913" spans="1:73" x14ac:dyDescent="0.25">
      <c r="A913" s="2" t="s">
        <v>125</v>
      </c>
      <c r="B913" s="4">
        <v>51</v>
      </c>
      <c r="C913" s="4">
        <v>2</v>
      </c>
      <c r="D913" s="4">
        <v>1</v>
      </c>
      <c r="E913" s="4">
        <v>3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0</v>
      </c>
      <c r="BK913" s="3">
        <v>0</v>
      </c>
      <c r="BL913" s="3">
        <v>1</v>
      </c>
      <c r="BM913" s="3">
        <v>0</v>
      </c>
      <c r="BN913" s="3">
        <v>0</v>
      </c>
      <c r="BO913" s="3">
        <v>0</v>
      </c>
      <c r="BP913" s="3">
        <v>0</v>
      </c>
      <c r="BQ913" s="3">
        <v>0</v>
      </c>
      <c r="BR913" s="3">
        <v>0</v>
      </c>
      <c r="BS913" s="3">
        <v>0</v>
      </c>
      <c r="BT913" s="3">
        <v>1</v>
      </c>
      <c r="BU913" s="3">
        <v>0</v>
      </c>
    </row>
    <row r="914" spans="1:73" x14ac:dyDescent="0.25">
      <c r="A914" s="2" t="s">
        <v>125</v>
      </c>
      <c r="B914" s="4">
        <v>51</v>
      </c>
      <c r="C914" s="4">
        <v>2</v>
      </c>
      <c r="D914" s="4">
        <v>2</v>
      </c>
      <c r="E914" s="4">
        <v>1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1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0</v>
      </c>
      <c r="BK914" s="3">
        <v>0</v>
      </c>
      <c r="BL914" s="3">
        <v>0</v>
      </c>
      <c r="BM914" s="3">
        <v>0</v>
      </c>
      <c r="BN914" s="3">
        <v>0</v>
      </c>
      <c r="BO914" s="3">
        <v>0</v>
      </c>
      <c r="BP914" s="3">
        <v>0</v>
      </c>
      <c r="BQ914" s="3">
        <v>0</v>
      </c>
      <c r="BR914" s="3">
        <v>0</v>
      </c>
      <c r="BS914" s="3">
        <v>0</v>
      </c>
      <c r="BT914" s="3">
        <v>0</v>
      </c>
      <c r="BU914" s="3">
        <v>0</v>
      </c>
    </row>
    <row r="915" spans="1:73" x14ac:dyDescent="0.25">
      <c r="A915" s="2" t="s">
        <v>125</v>
      </c>
      <c r="B915" s="4">
        <v>51</v>
      </c>
      <c r="C915" s="4">
        <v>2</v>
      </c>
      <c r="D915" s="4">
        <v>2</v>
      </c>
      <c r="E915" s="4">
        <v>2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1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1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0</v>
      </c>
      <c r="BK915" s="3">
        <v>0</v>
      </c>
      <c r="BL915" s="3">
        <v>0</v>
      </c>
      <c r="BM915" s="3">
        <v>0</v>
      </c>
      <c r="BN915" s="3">
        <v>0</v>
      </c>
      <c r="BO915" s="3">
        <v>0</v>
      </c>
      <c r="BP915" s="3">
        <v>0</v>
      </c>
      <c r="BQ915" s="3">
        <v>0</v>
      </c>
      <c r="BR915" s="3">
        <v>0</v>
      </c>
      <c r="BS915" s="3">
        <v>0</v>
      </c>
      <c r="BT915" s="3">
        <v>0</v>
      </c>
      <c r="BU915" s="3">
        <v>0</v>
      </c>
    </row>
    <row r="916" spans="1:73" x14ac:dyDescent="0.25">
      <c r="A916" s="2" t="s">
        <v>125</v>
      </c>
      <c r="B916" s="4">
        <v>51</v>
      </c>
      <c r="C916" s="4">
        <v>2</v>
      </c>
      <c r="D916" s="4">
        <v>2</v>
      </c>
      <c r="E916" s="4">
        <v>3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0</v>
      </c>
      <c r="BK916" s="3">
        <v>0</v>
      </c>
      <c r="BL916" s="3">
        <v>0</v>
      </c>
      <c r="BM916" s="3">
        <v>0</v>
      </c>
      <c r="BN916" s="3">
        <v>0</v>
      </c>
      <c r="BO916" s="3">
        <v>0</v>
      </c>
      <c r="BP916" s="3">
        <v>0</v>
      </c>
      <c r="BQ916" s="3">
        <v>0</v>
      </c>
      <c r="BR916" s="3">
        <v>0</v>
      </c>
      <c r="BS916" s="3">
        <v>0</v>
      </c>
      <c r="BT916" s="3">
        <v>0</v>
      </c>
      <c r="BU916" s="3">
        <v>0</v>
      </c>
    </row>
    <row r="917" spans="1:73" x14ac:dyDescent="0.25">
      <c r="A917" s="2" t="s">
        <v>125</v>
      </c>
      <c r="B917" s="4">
        <v>51</v>
      </c>
      <c r="C917" s="4">
        <v>2</v>
      </c>
      <c r="D917" s="4">
        <v>3</v>
      </c>
      <c r="E917" s="4">
        <v>1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1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3">
        <v>0</v>
      </c>
      <c r="BI917" s="3">
        <v>0</v>
      </c>
      <c r="BJ917" s="3">
        <v>0</v>
      </c>
      <c r="BK917" s="3">
        <v>0</v>
      </c>
      <c r="BL917" s="3">
        <v>0</v>
      </c>
      <c r="BM917" s="3">
        <v>0</v>
      </c>
      <c r="BN917" s="3">
        <v>0</v>
      </c>
      <c r="BO917" s="3">
        <v>0</v>
      </c>
      <c r="BP917" s="3">
        <v>0</v>
      </c>
      <c r="BQ917" s="3">
        <v>0</v>
      </c>
      <c r="BR917" s="3">
        <v>0</v>
      </c>
      <c r="BS917" s="3">
        <v>0</v>
      </c>
      <c r="BT917" s="3">
        <v>0</v>
      </c>
      <c r="BU917" s="3">
        <v>0</v>
      </c>
    </row>
    <row r="918" spans="1:73" x14ac:dyDescent="0.25">
      <c r="A918" s="2" t="s">
        <v>125</v>
      </c>
      <c r="B918" s="4">
        <v>51</v>
      </c>
      <c r="C918" s="4">
        <v>2</v>
      </c>
      <c r="D918" s="4">
        <v>3</v>
      </c>
      <c r="E918" s="4">
        <v>2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1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0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3">
        <v>0</v>
      </c>
      <c r="BQ918" s="3">
        <v>0</v>
      </c>
      <c r="BR918" s="3">
        <v>0</v>
      </c>
      <c r="BS918" s="3">
        <v>0</v>
      </c>
      <c r="BT918" s="3">
        <v>0</v>
      </c>
      <c r="BU918" s="3">
        <v>0</v>
      </c>
    </row>
    <row r="919" spans="1:73" x14ac:dyDescent="0.25">
      <c r="A919" s="2" t="s">
        <v>125</v>
      </c>
      <c r="B919" s="4">
        <v>51</v>
      </c>
      <c r="C919" s="4">
        <v>2</v>
      </c>
      <c r="D919" s="4">
        <v>3</v>
      </c>
      <c r="E919" s="4">
        <v>3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1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3">
        <v>0</v>
      </c>
      <c r="BK919" s="3">
        <v>0</v>
      </c>
      <c r="BL919" s="3">
        <v>0</v>
      </c>
      <c r="BM919" s="3">
        <v>0</v>
      </c>
      <c r="BN919" s="3">
        <v>0</v>
      </c>
      <c r="BO919" s="3">
        <v>0</v>
      </c>
      <c r="BP919" s="3">
        <v>0</v>
      </c>
      <c r="BQ919" s="3">
        <v>0</v>
      </c>
      <c r="BR919" s="3">
        <v>0</v>
      </c>
      <c r="BS919" s="3">
        <v>0</v>
      </c>
      <c r="BT919" s="3">
        <v>0</v>
      </c>
      <c r="BU919" s="3">
        <v>1</v>
      </c>
    </row>
    <row r="920" spans="1:73" x14ac:dyDescent="0.25">
      <c r="A920" s="2" t="s">
        <v>126</v>
      </c>
      <c r="B920" s="4">
        <v>52</v>
      </c>
      <c r="C920" s="4">
        <v>1</v>
      </c>
      <c r="D920" s="4">
        <v>1</v>
      </c>
      <c r="E920" s="4">
        <v>1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1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1</v>
      </c>
      <c r="AF920" s="3">
        <v>0</v>
      </c>
      <c r="AG920" s="3">
        <v>0</v>
      </c>
      <c r="AH920" s="3">
        <v>0</v>
      </c>
      <c r="AI920" s="3">
        <v>0</v>
      </c>
      <c r="AJ920" s="3">
        <v>1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0</v>
      </c>
      <c r="BK920" s="3">
        <v>0</v>
      </c>
      <c r="BL920" s="3">
        <v>0</v>
      </c>
      <c r="BM920" s="3">
        <v>0</v>
      </c>
      <c r="BN920" s="3">
        <v>0</v>
      </c>
      <c r="BO920" s="3">
        <v>0</v>
      </c>
      <c r="BP920" s="3">
        <v>0</v>
      </c>
      <c r="BQ920" s="3">
        <v>0</v>
      </c>
      <c r="BR920" s="3">
        <v>0</v>
      </c>
      <c r="BS920" s="3">
        <v>0</v>
      </c>
      <c r="BT920" s="3">
        <v>2</v>
      </c>
      <c r="BU920" s="3">
        <v>0</v>
      </c>
    </row>
    <row r="921" spans="1:73" x14ac:dyDescent="0.25">
      <c r="A921" s="2" t="s">
        <v>126</v>
      </c>
      <c r="B921" s="4">
        <v>52</v>
      </c>
      <c r="C921" s="4">
        <v>1</v>
      </c>
      <c r="D921" s="4">
        <v>1</v>
      </c>
      <c r="E921" s="4">
        <v>2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1</v>
      </c>
      <c r="L921" s="3">
        <v>0</v>
      </c>
      <c r="M921" s="3">
        <v>1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1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1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0</v>
      </c>
      <c r="BK921" s="3">
        <v>0</v>
      </c>
      <c r="BL921" s="3">
        <v>0</v>
      </c>
      <c r="BM921" s="3">
        <v>0</v>
      </c>
      <c r="BN921" s="3">
        <v>0</v>
      </c>
      <c r="BO921" s="3">
        <v>0</v>
      </c>
      <c r="BP921" s="3">
        <v>0</v>
      </c>
      <c r="BQ921" s="3">
        <v>0</v>
      </c>
      <c r="BR921" s="3">
        <v>0</v>
      </c>
      <c r="BS921" s="3">
        <v>0</v>
      </c>
      <c r="BT921" s="3">
        <v>1</v>
      </c>
      <c r="BU921" s="3">
        <v>0</v>
      </c>
    </row>
    <row r="922" spans="1:73" x14ac:dyDescent="0.25">
      <c r="A922" s="2" t="s">
        <v>126</v>
      </c>
      <c r="B922" s="4">
        <v>52</v>
      </c>
      <c r="C922" s="4">
        <v>1</v>
      </c>
      <c r="D922" s="4">
        <v>1</v>
      </c>
      <c r="E922" s="4">
        <v>3</v>
      </c>
      <c r="F922" s="3">
        <v>0</v>
      </c>
      <c r="G922" s="3">
        <v>3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1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2</v>
      </c>
      <c r="BG922" s="3">
        <v>0</v>
      </c>
      <c r="BH922" s="3">
        <v>0</v>
      </c>
      <c r="BI922" s="3">
        <v>0</v>
      </c>
      <c r="BJ922" s="3">
        <v>0</v>
      </c>
      <c r="BK922" s="3">
        <v>0</v>
      </c>
      <c r="BL922" s="3">
        <v>0</v>
      </c>
      <c r="BM922" s="3">
        <v>0</v>
      </c>
      <c r="BN922" s="3">
        <v>0</v>
      </c>
      <c r="BO922" s="3">
        <v>0</v>
      </c>
      <c r="BP922" s="3">
        <v>0</v>
      </c>
      <c r="BQ922" s="3">
        <v>0</v>
      </c>
      <c r="BR922" s="3">
        <v>0</v>
      </c>
      <c r="BS922" s="3">
        <v>0</v>
      </c>
      <c r="BT922" s="3">
        <v>1</v>
      </c>
      <c r="BU922" s="3">
        <v>0</v>
      </c>
    </row>
    <row r="923" spans="1:73" x14ac:dyDescent="0.25">
      <c r="A923" s="2" t="s">
        <v>126</v>
      </c>
      <c r="B923" s="4">
        <v>52</v>
      </c>
      <c r="C923" s="4">
        <v>1</v>
      </c>
      <c r="D923" s="4">
        <v>2</v>
      </c>
      <c r="E923" s="4">
        <v>1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1</v>
      </c>
      <c r="BJ923" s="3">
        <v>0</v>
      </c>
      <c r="BK923" s="3">
        <v>0</v>
      </c>
      <c r="BL923" s="3">
        <v>0</v>
      </c>
      <c r="BM923" s="3">
        <v>0</v>
      </c>
      <c r="BN923" s="3">
        <v>0</v>
      </c>
      <c r="BO923" s="3">
        <v>0</v>
      </c>
      <c r="BP923" s="3">
        <v>0</v>
      </c>
      <c r="BQ923" s="3">
        <v>0</v>
      </c>
      <c r="BR923" s="3">
        <v>0</v>
      </c>
      <c r="BS923" s="3">
        <v>0</v>
      </c>
      <c r="BT923" s="3">
        <v>0</v>
      </c>
      <c r="BU923" s="3">
        <v>0</v>
      </c>
    </row>
    <row r="924" spans="1:73" x14ac:dyDescent="0.25">
      <c r="A924" s="2" t="s">
        <v>126</v>
      </c>
      <c r="B924" s="4">
        <v>52</v>
      </c>
      <c r="C924" s="4">
        <v>1</v>
      </c>
      <c r="D924" s="4">
        <v>2</v>
      </c>
      <c r="E924" s="4">
        <v>2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1</v>
      </c>
      <c r="AA924" s="3">
        <v>0</v>
      </c>
      <c r="AB924" s="3">
        <v>0</v>
      </c>
      <c r="AC924" s="3">
        <v>0</v>
      </c>
      <c r="AD924" s="3">
        <v>0</v>
      </c>
      <c r="AE924" s="3">
        <v>1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0</v>
      </c>
      <c r="BK924" s="3">
        <v>0</v>
      </c>
      <c r="BL924" s="3">
        <v>0</v>
      </c>
      <c r="BM924" s="3">
        <v>0</v>
      </c>
      <c r="BN924" s="3">
        <v>0</v>
      </c>
      <c r="BO924" s="3">
        <v>0</v>
      </c>
      <c r="BP924" s="3">
        <v>0</v>
      </c>
      <c r="BQ924" s="3">
        <v>0</v>
      </c>
      <c r="BR924" s="3">
        <v>0</v>
      </c>
      <c r="BS924" s="3">
        <v>0</v>
      </c>
      <c r="BT924" s="3">
        <v>0</v>
      </c>
      <c r="BU924" s="3">
        <v>0</v>
      </c>
    </row>
    <row r="925" spans="1:73" x14ac:dyDescent="0.25">
      <c r="A925" s="2" t="s">
        <v>126</v>
      </c>
      <c r="B925" s="4">
        <v>52</v>
      </c>
      <c r="C925" s="4">
        <v>1</v>
      </c>
      <c r="D925" s="4">
        <v>2</v>
      </c>
      <c r="E925" s="4">
        <v>3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  <c r="BN925" s="3">
        <v>0</v>
      </c>
      <c r="BO925" s="3">
        <v>0</v>
      </c>
      <c r="BP925" s="3">
        <v>0</v>
      </c>
      <c r="BQ925" s="3">
        <v>0</v>
      </c>
      <c r="BR925" s="3">
        <v>0</v>
      </c>
      <c r="BS925" s="3">
        <v>0</v>
      </c>
      <c r="BT925" s="3">
        <v>0</v>
      </c>
      <c r="BU925" s="3">
        <v>0</v>
      </c>
    </row>
    <row r="926" spans="1:73" x14ac:dyDescent="0.25">
      <c r="A926" s="2" t="s">
        <v>126</v>
      </c>
      <c r="B926" s="4">
        <v>52</v>
      </c>
      <c r="C926" s="4">
        <v>1</v>
      </c>
      <c r="D926" s="4">
        <v>3</v>
      </c>
      <c r="E926" s="4">
        <v>1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0</v>
      </c>
      <c r="BK926" s="3">
        <v>0</v>
      </c>
      <c r="BL926" s="3">
        <v>0</v>
      </c>
      <c r="BM926" s="3">
        <v>0</v>
      </c>
      <c r="BN926" s="3">
        <v>0</v>
      </c>
      <c r="BO926" s="3">
        <v>0</v>
      </c>
      <c r="BP926" s="3">
        <v>0</v>
      </c>
      <c r="BQ926" s="3">
        <v>0</v>
      </c>
      <c r="BR926" s="3">
        <v>0</v>
      </c>
      <c r="BS926" s="3">
        <v>0</v>
      </c>
      <c r="BT926" s="3">
        <v>0</v>
      </c>
      <c r="BU926" s="3">
        <v>0</v>
      </c>
    </row>
    <row r="927" spans="1:73" x14ac:dyDescent="0.25">
      <c r="A927" s="2" t="s">
        <v>126</v>
      </c>
      <c r="B927" s="4">
        <v>52</v>
      </c>
      <c r="C927" s="4">
        <v>1</v>
      </c>
      <c r="D927" s="4">
        <v>3</v>
      </c>
      <c r="E927" s="4">
        <v>2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0</v>
      </c>
      <c r="BD927" s="3">
        <v>0</v>
      </c>
      <c r="BE927" s="3">
        <v>0</v>
      </c>
      <c r="BF927" s="3">
        <v>0</v>
      </c>
      <c r="BG927" s="3">
        <v>0</v>
      </c>
      <c r="BH927" s="3">
        <v>0</v>
      </c>
      <c r="BI927" s="3">
        <v>0</v>
      </c>
      <c r="BJ927" s="3">
        <v>0</v>
      </c>
      <c r="BK927" s="3">
        <v>0</v>
      </c>
      <c r="BL927" s="3">
        <v>0</v>
      </c>
      <c r="BM927" s="3">
        <v>0</v>
      </c>
      <c r="BN927" s="3">
        <v>0</v>
      </c>
      <c r="BO927" s="3">
        <v>0</v>
      </c>
      <c r="BP927" s="3">
        <v>0</v>
      </c>
      <c r="BQ927" s="3">
        <v>0</v>
      </c>
      <c r="BR927" s="3">
        <v>0</v>
      </c>
      <c r="BS927" s="3">
        <v>0</v>
      </c>
      <c r="BT927" s="3">
        <v>0</v>
      </c>
      <c r="BU927" s="3">
        <v>0</v>
      </c>
    </row>
    <row r="928" spans="1:73" x14ac:dyDescent="0.25">
      <c r="A928" s="2" t="s">
        <v>126</v>
      </c>
      <c r="B928" s="4">
        <v>52</v>
      </c>
      <c r="C928" s="4">
        <v>1</v>
      </c>
      <c r="D928" s="4">
        <v>3</v>
      </c>
      <c r="E928" s="4">
        <v>3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0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0</v>
      </c>
      <c r="BK928" s="3">
        <v>0</v>
      </c>
      <c r="BL928" s="3">
        <v>0</v>
      </c>
      <c r="BM928" s="3">
        <v>0</v>
      </c>
      <c r="BN928" s="3">
        <v>0</v>
      </c>
      <c r="BO928" s="3">
        <v>0</v>
      </c>
      <c r="BP928" s="3">
        <v>0</v>
      </c>
      <c r="BQ928" s="3">
        <v>0</v>
      </c>
      <c r="BR928" s="3">
        <v>0</v>
      </c>
      <c r="BS928" s="3">
        <v>0</v>
      </c>
      <c r="BT928" s="3">
        <v>0</v>
      </c>
      <c r="BU928" s="3">
        <v>0</v>
      </c>
    </row>
    <row r="929" spans="1:73" x14ac:dyDescent="0.25">
      <c r="A929" s="2" t="s">
        <v>126</v>
      </c>
      <c r="B929" s="4">
        <v>52</v>
      </c>
      <c r="C929" s="4">
        <v>2</v>
      </c>
      <c r="D929" s="4">
        <v>1</v>
      </c>
      <c r="E929" s="4">
        <v>1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2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4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0</v>
      </c>
      <c r="BK929" s="3">
        <v>0</v>
      </c>
      <c r="BL929" s="3">
        <v>0</v>
      </c>
      <c r="BM929" s="3">
        <v>0</v>
      </c>
      <c r="BN929" s="3">
        <v>0</v>
      </c>
      <c r="BO929" s="3">
        <v>0</v>
      </c>
      <c r="BP929" s="3">
        <v>0</v>
      </c>
      <c r="BQ929" s="3">
        <v>0</v>
      </c>
      <c r="BR929" s="3">
        <v>0</v>
      </c>
      <c r="BS929" s="3">
        <v>0</v>
      </c>
      <c r="BT929" s="3">
        <v>2</v>
      </c>
      <c r="BU929" s="3">
        <v>0</v>
      </c>
    </row>
    <row r="930" spans="1:73" x14ac:dyDescent="0.25">
      <c r="A930" s="2" t="s">
        <v>126</v>
      </c>
      <c r="B930" s="4">
        <v>52</v>
      </c>
      <c r="C930" s="4">
        <v>2</v>
      </c>
      <c r="D930" s="4">
        <v>1</v>
      </c>
      <c r="E930" s="4">
        <v>2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2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  <c r="BM930" s="3">
        <v>0</v>
      </c>
      <c r="BN930" s="3">
        <v>0</v>
      </c>
      <c r="BO930" s="3">
        <v>0</v>
      </c>
      <c r="BP930" s="3">
        <v>0</v>
      </c>
      <c r="BQ930" s="3">
        <v>0</v>
      </c>
      <c r="BR930" s="3">
        <v>0</v>
      </c>
      <c r="BS930" s="3">
        <v>0</v>
      </c>
      <c r="BT930" s="3">
        <v>0</v>
      </c>
      <c r="BU930" s="3">
        <v>0</v>
      </c>
    </row>
    <row r="931" spans="1:73" x14ac:dyDescent="0.25">
      <c r="A931" s="2" t="s">
        <v>126</v>
      </c>
      <c r="B931" s="4">
        <v>52</v>
      </c>
      <c r="C931" s="4">
        <v>2</v>
      </c>
      <c r="D931" s="4">
        <v>1</v>
      </c>
      <c r="E931" s="4">
        <v>3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  <c r="BK931" s="3">
        <v>0</v>
      </c>
      <c r="BL931" s="3">
        <v>0</v>
      </c>
      <c r="BM931" s="3">
        <v>0</v>
      </c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0</v>
      </c>
      <c r="BT931" s="3">
        <v>0</v>
      </c>
      <c r="BU931" s="3">
        <v>0</v>
      </c>
    </row>
    <row r="932" spans="1:73" x14ac:dyDescent="0.25">
      <c r="A932" s="2" t="s">
        <v>126</v>
      </c>
      <c r="B932" s="4">
        <v>52</v>
      </c>
      <c r="C932" s="4">
        <v>2</v>
      </c>
      <c r="D932" s="4">
        <v>2</v>
      </c>
      <c r="E932" s="4">
        <v>1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0</v>
      </c>
      <c r="BQ932" s="3">
        <v>0</v>
      </c>
      <c r="BR932" s="3">
        <v>0</v>
      </c>
      <c r="BS932" s="3">
        <v>0</v>
      </c>
      <c r="BT932" s="3">
        <v>0</v>
      </c>
      <c r="BU932" s="3">
        <v>0</v>
      </c>
    </row>
    <row r="933" spans="1:73" x14ac:dyDescent="0.25">
      <c r="A933" s="2" t="s">
        <v>126</v>
      </c>
      <c r="B933" s="4">
        <v>52</v>
      </c>
      <c r="C933" s="4">
        <v>2</v>
      </c>
      <c r="D933" s="4">
        <v>2</v>
      </c>
      <c r="E933" s="4">
        <v>2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0</v>
      </c>
      <c r="BK933" s="3">
        <v>0</v>
      </c>
      <c r="BL933" s="3">
        <v>0</v>
      </c>
      <c r="BM933" s="3">
        <v>0</v>
      </c>
      <c r="BN933" s="3">
        <v>0</v>
      </c>
      <c r="BO933" s="3">
        <v>0</v>
      </c>
      <c r="BP933" s="3">
        <v>0</v>
      </c>
      <c r="BQ933" s="3">
        <v>0</v>
      </c>
      <c r="BR933" s="3">
        <v>0</v>
      </c>
      <c r="BS933" s="3">
        <v>0</v>
      </c>
      <c r="BT933" s="3">
        <v>0</v>
      </c>
      <c r="BU933" s="3">
        <v>0</v>
      </c>
    </row>
    <row r="934" spans="1:73" x14ac:dyDescent="0.25">
      <c r="A934" s="2" t="s">
        <v>126</v>
      </c>
      <c r="B934" s="4">
        <v>52</v>
      </c>
      <c r="C934" s="4">
        <v>2</v>
      </c>
      <c r="D934" s="4">
        <v>2</v>
      </c>
      <c r="E934" s="4">
        <v>3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0</v>
      </c>
      <c r="BK934" s="3">
        <v>0</v>
      </c>
      <c r="BL934" s="3">
        <v>0</v>
      </c>
      <c r="BM934" s="3">
        <v>0</v>
      </c>
      <c r="BN934" s="3">
        <v>0</v>
      </c>
      <c r="BO934" s="3">
        <v>0</v>
      </c>
      <c r="BP934" s="3">
        <v>0</v>
      </c>
      <c r="BQ934" s="3">
        <v>0</v>
      </c>
      <c r="BR934" s="3">
        <v>0</v>
      </c>
      <c r="BS934" s="3">
        <v>0</v>
      </c>
      <c r="BT934" s="3">
        <v>0</v>
      </c>
      <c r="BU934" s="3">
        <v>0</v>
      </c>
    </row>
    <row r="935" spans="1:73" x14ac:dyDescent="0.25">
      <c r="A935" s="2" t="s">
        <v>126</v>
      </c>
      <c r="B935" s="4">
        <v>52</v>
      </c>
      <c r="C935" s="4">
        <v>2</v>
      </c>
      <c r="D935" s="4">
        <v>3</v>
      </c>
      <c r="E935" s="4">
        <v>1</v>
      </c>
      <c r="F935" s="3">
        <v>0</v>
      </c>
      <c r="G935" s="3">
        <v>2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1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1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3">
        <v>0</v>
      </c>
      <c r="BN935" s="3">
        <v>0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>
        <v>0</v>
      </c>
      <c r="BU935" s="3">
        <v>0</v>
      </c>
    </row>
    <row r="936" spans="1:73" x14ac:dyDescent="0.25">
      <c r="A936" s="2" t="s">
        <v>126</v>
      </c>
      <c r="B936" s="4">
        <v>52</v>
      </c>
      <c r="C936" s="4">
        <v>2</v>
      </c>
      <c r="D936" s="4">
        <v>3</v>
      </c>
      <c r="E936" s="4">
        <v>2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1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1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3">
        <v>0</v>
      </c>
      <c r="BK936" s="3">
        <v>0</v>
      </c>
      <c r="BL936" s="3">
        <v>0</v>
      </c>
      <c r="BM936" s="3">
        <v>0</v>
      </c>
      <c r="BN936" s="3">
        <v>0</v>
      </c>
      <c r="BO936" s="3">
        <v>0</v>
      </c>
      <c r="BP936" s="3">
        <v>0</v>
      </c>
      <c r="BQ936" s="3">
        <v>0</v>
      </c>
      <c r="BR936" s="3">
        <v>0</v>
      </c>
      <c r="BS936" s="3">
        <v>0</v>
      </c>
      <c r="BT936" s="3">
        <v>1</v>
      </c>
      <c r="BU936" s="3">
        <v>0</v>
      </c>
    </row>
    <row r="937" spans="1:73" x14ac:dyDescent="0.25">
      <c r="A937" s="2" t="s">
        <v>126</v>
      </c>
      <c r="B937" s="4">
        <v>52</v>
      </c>
      <c r="C937" s="4">
        <v>2</v>
      </c>
      <c r="D937" s="4">
        <v>3</v>
      </c>
      <c r="E937" s="4">
        <v>3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1</v>
      </c>
      <c r="BJ937" s="3">
        <v>0</v>
      </c>
      <c r="BK937" s="3">
        <v>0</v>
      </c>
      <c r="BL937" s="3">
        <v>0</v>
      </c>
      <c r="BM937" s="3">
        <v>0</v>
      </c>
      <c r="BN937" s="3">
        <v>0</v>
      </c>
      <c r="BO937" s="3">
        <v>0</v>
      </c>
      <c r="BP937" s="3">
        <v>0</v>
      </c>
      <c r="BQ937" s="3">
        <v>0</v>
      </c>
      <c r="BR937" s="3">
        <v>0</v>
      </c>
      <c r="BS937" s="3">
        <v>0</v>
      </c>
      <c r="BT937" s="3">
        <v>0</v>
      </c>
      <c r="BU937" s="3">
        <v>0</v>
      </c>
    </row>
    <row r="938" spans="1:73" x14ac:dyDescent="0.25">
      <c r="A938" s="2" t="s">
        <v>127</v>
      </c>
      <c r="B938" s="4">
        <v>53</v>
      </c>
      <c r="C938" s="4">
        <v>1</v>
      </c>
      <c r="D938" s="4">
        <v>1</v>
      </c>
      <c r="E938" s="4">
        <v>1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1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2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0</v>
      </c>
      <c r="BK938" s="3">
        <v>0</v>
      </c>
      <c r="BL938" s="3">
        <v>0</v>
      </c>
      <c r="BM938" s="3">
        <v>0</v>
      </c>
      <c r="BN938" s="3">
        <v>0</v>
      </c>
      <c r="BO938" s="3">
        <v>0</v>
      </c>
      <c r="BP938" s="3">
        <v>0</v>
      </c>
      <c r="BQ938" s="3">
        <v>0</v>
      </c>
      <c r="BR938" s="3">
        <v>0</v>
      </c>
      <c r="BS938" s="3">
        <v>0</v>
      </c>
      <c r="BT938" s="3">
        <v>1</v>
      </c>
      <c r="BU938" s="3">
        <v>0</v>
      </c>
    </row>
    <row r="939" spans="1:73" x14ac:dyDescent="0.25">
      <c r="A939" s="2" t="s">
        <v>127</v>
      </c>
      <c r="B939" s="4">
        <v>53</v>
      </c>
      <c r="C939" s="4">
        <v>1</v>
      </c>
      <c r="D939" s="4">
        <v>1</v>
      </c>
      <c r="E939" s="4">
        <v>2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1</v>
      </c>
      <c r="N939" s="3">
        <v>0</v>
      </c>
      <c r="O939" s="3">
        <v>0</v>
      </c>
      <c r="P939" s="3">
        <v>1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1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3">
        <v>0</v>
      </c>
      <c r="BK939" s="3">
        <v>0</v>
      </c>
      <c r="BL939" s="3">
        <v>0</v>
      </c>
      <c r="BM939" s="3">
        <v>0</v>
      </c>
      <c r="BN939" s="3">
        <v>0</v>
      </c>
      <c r="BO939" s="3">
        <v>0</v>
      </c>
      <c r="BP939" s="3">
        <v>0</v>
      </c>
      <c r="BQ939" s="3">
        <v>0</v>
      </c>
      <c r="BR939" s="3">
        <v>0</v>
      </c>
      <c r="BS939" s="3">
        <v>0</v>
      </c>
      <c r="BT939" s="3">
        <v>2</v>
      </c>
      <c r="BU939" s="3">
        <v>0</v>
      </c>
    </row>
    <row r="940" spans="1:73" x14ac:dyDescent="0.25">
      <c r="A940" s="2" t="s">
        <v>127</v>
      </c>
      <c r="B940" s="4">
        <v>53</v>
      </c>
      <c r="C940" s="4">
        <v>1</v>
      </c>
      <c r="D940" s="4">
        <v>1</v>
      </c>
      <c r="E940" s="4">
        <v>3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>
        <v>0</v>
      </c>
      <c r="BK940" s="3">
        <v>0</v>
      </c>
      <c r="BL940" s="3">
        <v>0</v>
      </c>
      <c r="BM940" s="3">
        <v>0</v>
      </c>
      <c r="BN940" s="3">
        <v>0</v>
      </c>
      <c r="BO940" s="3">
        <v>0</v>
      </c>
      <c r="BP940" s="3">
        <v>0</v>
      </c>
      <c r="BQ940" s="3">
        <v>0</v>
      </c>
      <c r="BR940" s="3">
        <v>0</v>
      </c>
      <c r="BS940" s="3">
        <v>0</v>
      </c>
      <c r="BT940" s="3">
        <v>0</v>
      </c>
      <c r="BU940" s="3">
        <v>0</v>
      </c>
    </row>
    <row r="941" spans="1:73" x14ac:dyDescent="0.25">
      <c r="A941" s="2" t="s">
        <v>127</v>
      </c>
      <c r="B941" s="4">
        <v>53</v>
      </c>
      <c r="C941" s="4">
        <v>1</v>
      </c>
      <c r="D941" s="4">
        <v>2</v>
      </c>
      <c r="E941" s="4">
        <v>1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0</v>
      </c>
      <c r="BB941" s="3">
        <v>0</v>
      </c>
      <c r="BC941" s="3">
        <v>0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0</v>
      </c>
      <c r="BK941" s="3">
        <v>0</v>
      </c>
      <c r="BL941" s="3">
        <v>0</v>
      </c>
      <c r="BM941" s="3">
        <v>0</v>
      </c>
      <c r="BN941" s="3">
        <v>0</v>
      </c>
      <c r="BO941" s="3">
        <v>0</v>
      </c>
      <c r="BP941" s="3">
        <v>0</v>
      </c>
      <c r="BQ941" s="3">
        <v>0</v>
      </c>
      <c r="BR941" s="3">
        <v>0</v>
      </c>
      <c r="BS941" s="3">
        <v>0</v>
      </c>
      <c r="BT941" s="3">
        <v>1</v>
      </c>
      <c r="BU941" s="3">
        <v>0</v>
      </c>
    </row>
    <row r="942" spans="1:73" x14ac:dyDescent="0.25">
      <c r="A942" s="2" t="s">
        <v>127</v>
      </c>
      <c r="B942" s="4">
        <v>53</v>
      </c>
      <c r="C942" s="4">
        <v>1</v>
      </c>
      <c r="D942" s="4">
        <v>2</v>
      </c>
      <c r="E942" s="4">
        <v>2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0</v>
      </c>
      <c r="BK942" s="3">
        <v>0</v>
      </c>
      <c r="BL942" s="3">
        <v>0</v>
      </c>
      <c r="BM942" s="3">
        <v>0</v>
      </c>
      <c r="BN942" s="3">
        <v>0</v>
      </c>
      <c r="BO942" s="3">
        <v>0</v>
      </c>
      <c r="BP942" s="3">
        <v>0</v>
      </c>
      <c r="BQ942" s="3">
        <v>0</v>
      </c>
      <c r="BR942" s="3">
        <v>0</v>
      </c>
      <c r="BS942" s="3">
        <v>0</v>
      </c>
      <c r="BT942" s="3">
        <v>0</v>
      </c>
      <c r="BU942" s="3">
        <v>0</v>
      </c>
    </row>
    <row r="943" spans="1:73" x14ac:dyDescent="0.25">
      <c r="A943" s="2" t="s">
        <v>127</v>
      </c>
      <c r="B943" s="4">
        <v>53</v>
      </c>
      <c r="C943" s="4">
        <v>1</v>
      </c>
      <c r="D943" s="4">
        <v>2</v>
      </c>
      <c r="E943" s="4">
        <v>3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1</v>
      </c>
      <c r="BG943" s="3">
        <v>0</v>
      </c>
      <c r="BH943" s="3">
        <v>0</v>
      </c>
      <c r="BI943" s="3">
        <v>0</v>
      </c>
      <c r="BJ943" s="3">
        <v>0</v>
      </c>
      <c r="BK943" s="3">
        <v>0</v>
      </c>
      <c r="BL943" s="3">
        <v>0</v>
      </c>
      <c r="BM943" s="3">
        <v>0</v>
      </c>
      <c r="BN943" s="3">
        <v>0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3">
        <v>0</v>
      </c>
      <c r="BU943" s="3">
        <v>0</v>
      </c>
    </row>
    <row r="944" spans="1:73" x14ac:dyDescent="0.25">
      <c r="A944" s="2" t="s">
        <v>127</v>
      </c>
      <c r="B944" s="4">
        <v>53</v>
      </c>
      <c r="C944" s="4">
        <v>1</v>
      </c>
      <c r="D944" s="4">
        <v>3</v>
      </c>
      <c r="E944" s="4">
        <v>1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>
        <v>0</v>
      </c>
      <c r="BK944" s="3">
        <v>0</v>
      </c>
      <c r="BL944" s="3">
        <v>0</v>
      </c>
      <c r="BM944" s="3">
        <v>0</v>
      </c>
      <c r="BN944" s="3">
        <v>0</v>
      </c>
      <c r="BO944" s="3">
        <v>0</v>
      </c>
      <c r="BP944" s="3">
        <v>0</v>
      </c>
      <c r="BQ944" s="3">
        <v>0</v>
      </c>
      <c r="BR944" s="3">
        <v>0</v>
      </c>
      <c r="BS944" s="3">
        <v>0</v>
      </c>
      <c r="BT944" s="3">
        <v>0</v>
      </c>
      <c r="BU944" s="3">
        <v>0</v>
      </c>
    </row>
    <row r="945" spans="1:73" x14ac:dyDescent="0.25">
      <c r="A945" s="2" t="s">
        <v>127</v>
      </c>
      <c r="B945" s="4">
        <v>53</v>
      </c>
      <c r="C945" s="4">
        <v>1</v>
      </c>
      <c r="D945" s="4">
        <v>3</v>
      </c>
      <c r="E945" s="4">
        <v>2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3">
        <v>0</v>
      </c>
      <c r="BK945" s="3">
        <v>0</v>
      </c>
      <c r="BL945" s="3">
        <v>0</v>
      </c>
      <c r="BM945" s="3">
        <v>0</v>
      </c>
      <c r="BN945" s="3">
        <v>0</v>
      </c>
      <c r="BO945" s="3">
        <v>0</v>
      </c>
      <c r="BP945" s="3">
        <v>0</v>
      </c>
      <c r="BQ945" s="3">
        <v>0</v>
      </c>
      <c r="BR945" s="3">
        <v>0</v>
      </c>
      <c r="BS945" s="3">
        <v>0</v>
      </c>
      <c r="BT945" s="3">
        <v>0</v>
      </c>
      <c r="BU945" s="3">
        <v>0</v>
      </c>
    </row>
    <row r="946" spans="1:73" x14ac:dyDescent="0.25">
      <c r="A946" s="2" t="s">
        <v>127</v>
      </c>
      <c r="B946" s="4">
        <v>53</v>
      </c>
      <c r="C946" s="4">
        <v>1</v>
      </c>
      <c r="D946" s="4">
        <v>3</v>
      </c>
      <c r="E946" s="4">
        <v>3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1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1</v>
      </c>
      <c r="BG946" s="3">
        <v>0</v>
      </c>
      <c r="BH946" s="3">
        <v>0</v>
      </c>
      <c r="BI946" s="3">
        <v>0</v>
      </c>
      <c r="BJ946" s="3">
        <v>0</v>
      </c>
      <c r="BK946" s="3">
        <v>0</v>
      </c>
      <c r="BL946" s="3">
        <v>0</v>
      </c>
      <c r="BM946" s="3">
        <v>0</v>
      </c>
      <c r="BN946" s="3">
        <v>0</v>
      </c>
      <c r="BO946" s="3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0</v>
      </c>
      <c r="BU946" s="3">
        <v>0</v>
      </c>
    </row>
    <row r="947" spans="1:73" x14ac:dyDescent="0.25">
      <c r="A947" s="2" t="s">
        <v>127</v>
      </c>
      <c r="B947" s="4">
        <v>53</v>
      </c>
      <c r="C947" s="4">
        <v>2</v>
      </c>
      <c r="D947" s="4">
        <v>1</v>
      </c>
      <c r="E947" s="4">
        <v>1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5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2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1</v>
      </c>
      <c r="BJ947" s="3">
        <v>0</v>
      </c>
      <c r="BK947" s="3">
        <v>0</v>
      </c>
      <c r="BL947" s="3">
        <v>0</v>
      </c>
      <c r="BM947" s="3">
        <v>0</v>
      </c>
      <c r="BN947" s="3">
        <v>0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2</v>
      </c>
      <c r="BU947" s="3">
        <v>0</v>
      </c>
    </row>
    <row r="948" spans="1:73" x14ac:dyDescent="0.25">
      <c r="A948" s="2" t="s">
        <v>127</v>
      </c>
      <c r="B948" s="4">
        <v>53</v>
      </c>
      <c r="C948" s="4">
        <v>2</v>
      </c>
      <c r="D948" s="4">
        <v>1</v>
      </c>
      <c r="E948" s="4">
        <v>2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1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>
        <v>0</v>
      </c>
      <c r="BK948" s="3">
        <v>0</v>
      </c>
      <c r="BL948" s="3">
        <v>0</v>
      </c>
      <c r="BM948" s="3">
        <v>0</v>
      </c>
      <c r="BN948" s="3">
        <v>0</v>
      </c>
      <c r="BO948" s="3">
        <v>0</v>
      </c>
      <c r="BP948" s="3">
        <v>0</v>
      </c>
      <c r="BQ948" s="3">
        <v>0</v>
      </c>
      <c r="BR948" s="3">
        <v>0</v>
      </c>
      <c r="BS948" s="3">
        <v>0</v>
      </c>
      <c r="BT948" s="3">
        <v>0</v>
      </c>
      <c r="BU948" s="3">
        <v>0</v>
      </c>
    </row>
    <row r="949" spans="1:73" x14ac:dyDescent="0.25">
      <c r="A949" s="2" t="s">
        <v>127</v>
      </c>
      <c r="B949" s="4">
        <v>53</v>
      </c>
      <c r="C949" s="4">
        <v>2</v>
      </c>
      <c r="D949" s="4">
        <v>1</v>
      </c>
      <c r="E949" s="4">
        <v>3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3">
        <v>0</v>
      </c>
      <c r="BK949" s="3">
        <v>0</v>
      </c>
      <c r="BL949" s="3">
        <v>0</v>
      </c>
      <c r="BM949" s="3">
        <v>0</v>
      </c>
      <c r="BN949" s="3">
        <v>0</v>
      </c>
      <c r="BO949" s="3">
        <v>0</v>
      </c>
      <c r="BP949" s="3">
        <v>0</v>
      </c>
      <c r="BQ949" s="3">
        <v>0</v>
      </c>
      <c r="BR949" s="3">
        <v>0</v>
      </c>
      <c r="BS949" s="3">
        <v>0</v>
      </c>
      <c r="BT949" s="3">
        <v>0</v>
      </c>
      <c r="BU949" s="3">
        <v>0</v>
      </c>
    </row>
    <row r="950" spans="1:73" x14ac:dyDescent="0.25">
      <c r="A950" s="2" t="s">
        <v>127</v>
      </c>
      <c r="B950" s="4">
        <v>53</v>
      </c>
      <c r="C950" s="4">
        <v>2</v>
      </c>
      <c r="D950" s="4">
        <v>2</v>
      </c>
      <c r="E950" s="4">
        <v>1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0</v>
      </c>
      <c r="BK950" s="3">
        <v>0</v>
      </c>
      <c r="BL950" s="3">
        <v>0</v>
      </c>
      <c r="BM950" s="3">
        <v>0</v>
      </c>
      <c r="BN950" s="3">
        <v>0</v>
      </c>
      <c r="BO950" s="3">
        <v>0</v>
      </c>
      <c r="BP950" s="3">
        <v>0</v>
      </c>
      <c r="BQ950" s="3">
        <v>0</v>
      </c>
      <c r="BR950" s="3">
        <v>0</v>
      </c>
      <c r="BS950" s="3">
        <v>0</v>
      </c>
      <c r="BT950" s="3">
        <v>0</v>
      </c>
      <c r="BU950" s="3">
        <v>0</v>
      </c>
    </row>
    <row r="951" spans="1:73" x14ac:dyDescent="0.25">
      <c r="A951" s="2" t="s">
        <v>127</v>
      </c>
      <c r="B951" s="4">
        <v>53</v>
      </c>
      <c r="C951" s="4">
        <v>2</v>
      </c>
      <c r="D951" s="4">
        <v>2</v>
      </c>
      <c r="E951" s="4">
        <v>2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0</v>
      </c>
      <c r="BK951" s="3">
        <v>0</v>
      </c>
      <c r="BL951" s="3">
        <v>0</v>
      </c>
      <c r="BM951" s="3">
        <v>0</v>
      </c>
      <c r="BN951" s="3">
        <v>0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1</v>
      </c>
      <c r="BU951" s="3">
        <v>0</v>
      </c>
    </row>
    <row r="952" spans="1:73" x14ac:dyDescent="0.25">
      <c r="A952" s="2" t="s">
        <v>127</v>
      </c>
      <c r="B952" s="4">
        <v>53</v>
      </c>
      <c r="C952" s="4">
        <v>2</v>
      </c>
      <c r="D952" s="4">
        <v>2</v>
      </c>
      <c r="E952" s="4">
        <v>3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0</v>
      </c>
      <c r="BJ952" s="3">
        <v>0</v>
      </c>
      <c r="BK952" s="3">
        <v>0</v>
      </c>
      <c r="BL952" s="3">
        <v>0</v>
      </c>
      <c r="BM952" s="3">
        <v>0</v>
      </c>
      <c r="BN952" s="3">
        <v>0</v>
      </c>
      <c r="BO952" s="3">
        <v>0</v>
      </c>
      <c r="BP952" s="3">
        <v>0</v>
      </c>
      <c r="BQ952" s="3">
        <v>0</v>
      </c>
      <c r="BR952" s="3">
        <v>0</v>
      </c>
      <c r="BS952" s="3">
        <v>0</v>
      </c>
      <c r="BT952" s="3">
        <v>0</v>
      </c>
      <c r="BU952" s="3">
        <v>0</v>
      </c>
    </row>
    <row r="953" spans="1:73" x14ac:dyDescent="0.25">
      <c r="A953" s="2" t="s">
        <v>127</v>
      </c>
      <c r="B953" s="4">
        <v>53</v>
      </c>
      <c r="C953" s="4">
        <v>2</v>
      </c>
      <c r="D953" s="4">
        <v>3</v>
      </c>
      <c r="E953" s="4">
        <v>1</v>
      </c>
      <c r="F953" s="3">
        <v>0</v>
      </c>
      <c r="G953" s="3">
        <v>1</v>
      </c>
      <c r="H953" s="3">
        <v>0</v>
      </c>
      <c r="I953" s="3">
        <v>0</v>
      </c>
      <c r="J953" s="3">
        <v>1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3">
        <v>2</v>
      </c>
      <c r="BL953" s="3">
        <v>0</v>
      </c>
      <c r="BM953" s="3">
        <v>0</v>
      </c>
      <c r="BN953" s="3">
        <v>0</v>
      </c>
      <c r="BO953" s="3">
        <v>0</v>
      </c>
      <c r="BP953" s="3">
        <v>0</v>
      </c>
      <c r="BQ953" s="3">
        <v>0</v>
      </c>
      <c r="BR953" s="3">
        <v>0</v>
      </c>
      <c r="BS953" s="3">
        <v>0</v>
      </c>
      <c r="BT953" s="3">
        <v>0</v>
      </c>
      <c r="BU953" s="3">
        <v>0</v>
      </c>
    </row>
    <row r="954" spans="1:73" x14ac:dyDescent="0.25">
      <c r="A954" s="2" t="s">
        <v>127</v>
      </c>
      <c r="B954" s="4">
        <v>53</v>
      </c>
      <c r="C954" s="4">
        <v>2</v>
      </c>
      <c r="D954" s="4">
        <v>3</v>
      </c>
      <c r="E954" s="4">
        <v>2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1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0</v>
      </c>
      <c r="BK954" s="3">
        <v>0</v>
      </c>
      <c r="BL954" s="3">
        <v>0</v>
      </c>
      <c r="BM954" s="3">
        <v>0</v>
      </c>
      <c r="BN954" s="3">
        <v>0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T954" s="3">
        <v>0</v>
      </c>
      <c r="BU954" s="3">
        <v>0</v>
      </c>
    </row>
    <row r="955" spans="1:73" x14ac:dyDescent="0.25">
      <c r="A955" s="2" t="s">
        <v>127</v>
      </c>
      <c r="B955" s="4">
        <v>53</v>
      </c>
      <c r="C955" s="4">
        <v>2</v>
      </c>
      <c r="D955" s="4">
        <v>3</v>
      </c>
      <c r="E955" s="4">
        <v>3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1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0</v>
      </c>
      <c r="BK955" s="3">
        <v>0</v>
      </c>
      <c r="BL955" s="3">
        <v>0</v>
      </c>
      <c r="BM955" s="3">
        <v>0</v>
      </c>
      <c r="BN955" s="3">
        <v>0</v>
      </c>
      <c r="BO955" s="3">
        <v>0</v>
      </c>
      <c r="BP955" s="3">
        <v>0</v>
      </c>
      <c r="BQ955" s="3">
        <v>0</v>
      </c>
      <c r="BR955" s="3">
        <v>0</v>
      </c>
      <c r="BS955" s="3">
        <v>0</v>
      </c>
      <c r="BT955" s="3">
        <v>0</v>
      </c>
      <c r="BU955" s="3">
        <v>0</v>
      </c>
    </row>
    <row r="956" spans="1:73" x14ac:dyDescent="0.25">
      <c r="A956" s="2" t="s">
        <v>128</v>
      </c>
      <c r="B956" s="4">
        <v>54</v>
      </c>
      <c r="C956" s="4">
        <v>1</v>
      </c>
      <c r="D956" s="4">
        <v>1</v>
      </c>
      <c r="E956" s="4">
        <v>1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2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2</v>
      </c>
      <c r="BJ956" s="3">
        <v>2</v>
      </c>
      <c r="BK956" s="3">
        <v>0</v>
      </c>
      <c r="BL956" s="3">
        <v>0</v>
      </c>
      <c r="BM956" s="3">
        <v>0</v>
      </c>
      <c r="BN956" s="3">
        <v>0</v>
      </c>
      <c r="BO956" s="3">
        <v>0</v>
      </c>
      <c r="BP956" s="3">
        <v>0</v>
      </c>
      <c r="BQ956" s="3">
        <v>0</v>
      </c>
      <c r="BR956" s="3">
        <v>0</v>
      </c>
      <c r="BS956" s="3">
        <v>0</v>
      </c>
      <c r="BT956" s="3">
        <v>1</v>
      </c>
      <c r="BU956" s="3">
        <v>0</v>
      </c>
    </row>
    <row r="957" spans="1:73" x14ac:dyDescent="0.25">
      <c r="A957" s="2" t="s">
        <v>128</v>
      </c>
      <c r="B957" s="4">
        <v>54</v>
      </c>
      <c r="C957" s="4">
        <v>1</v>
      </c>
      <c r="D957" s="4">
        <v>1</v>
      </c>
      <c r="E957" s="4">
        <v>2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1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0</v>
      </c>
      <c r="BK957" s="3">
        <v>0</v>
      </c>
      <c r="BL957" s="3">
        <v>0</v>
      </c>
      <c r="BM957" s="3">
        <v>0</v>
      </c>
      <c r="BN957" s="3">
        <v>0</v>
      </c>
      <c r="BO957" s="3">
        <v>0</v>
      </c>
      <c r="BP957" s="3">
        <v>0</v>
      </c>
      <c r="BQ957" s="3">
        <v>0</v>
      </c>
      <c r="BR957" s="3">
        <v>0</v>
      </c>
      <c r="BS957" s="3">
        <v>0</v>
      </c>
      <c r="BT957" s="3">
        <v>1</v>
      </c>
      <c r="BU957" s="3">
        <v>0</v>
      </c>
    </row>
    <row r="958" spans="1:73" x14ac:dyDescent="0.25">
      <c r="A958" s="2" t="s">
        <v>128</v>
      </c>
      <c r="B958" s="4">
        <v>54</v>
      </c>
      <c r="C958" s="4">
        <v>1</v>
      </c>
      <c r="D958" s="4">
        <v>1</v>
      </c>
      <c r="E958" s="4">
        <v>3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1</v>
      </c>
      <c r="AF958" s="3">
        <v>0</v>
      </c>
      <c r="AG958" s="3">
        <v>0</v>
      </c>
      <c r="AH958" s="3">
        <v>0</v>
      </c>
      <c r="AI958" s="3">
        <v>0</v>
      </c>
      <c r="AJ958" s="3">
        <v>1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3">
        <v>0</v>
      </c>
      <c r="BQ958" s="3">
        <v>0</v>
      </c>
      <c r="BR958" s="3">
        <v>0</v>
      </c>
      <c r="BS958" s="3">
        <v>0</v>
      </c>
      <c r="BT958" s="3">
        <v>0</v>
      </c>
      <c r="BU958" s="3">
        <v>0</v>
      </c>
    </row>
    <row r="959" spans="1:73" x14ac:dyDescent="0.25">
      <c r="A959" s="2" t="s">
        <v>128</v>
      </c>
      <c r="B959" s="4">
        <v>54</v>
      </c>
      <c r="C959" s="4">
        <v>1</v>
      </c>
      <c r="D959" s="4">
        <v>2</v>
      </c>
      <c r="E959" s="4">
        <v>1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0</v>
      </c>
      <c r="BD959" s="3">
        <v>0</v>
      </c>
      <c r="BE959" s="3">
        <v>0</v>
      </c>
      <c r="BF959" s="3">
        <v>0</v>
      </c>
      <c r="BG959" s="3">
        <v>0</v>
      </c>
      <c r="BH959" s="3">
        <v>0</v>
      </c>
      <c r="BI959" s="3">
        <v>0</v>
      </c>
      <c r="BJ959" s="3">
        <v>0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3">
        <v>0</v>
      </c>
      <c r="BQ959" s="3">
        <v>0</v>
      </c>
      <c r="BR959" s="3">
        <v>0</v>
      </c>
      <c r="BS959" s="3">
        <v>0</v>
      </c>
      <c r="BT959" s="3">
        <v>0</v>
      </c>
      <c r="BU959" s="3">
        <v>0</v>
      </c>
    </row>
    <row r="960" spans="1:73" x14ac:dyDescent="0.25">
      <c r="A960" s="2" t="s">
        <v>128</v>
      </c>
      <c r="B960" s="4">
        <v>54</v>
      </c>
      <c r="C960" s="4">
        <v>1</v>
      </c>
      <c r="D960" s="4">
        <v>2</v>
      </c>
      <c r="E960" s="4">
        <v>2</v>
      </c>
      <c r="F960" s="3">
        <v>0</v>
      </c>
      <c r="G960" s="3">
        <v>1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1</v>
      </c>
      <c r="AF960" s="3">
        <v>0</v>
      </c>
      <c r="AG960" s="3">
        <v>0</v>
      </c>
      <c r="AH960" s="3">
        <v>0</v>
      </c>
      <c r="AI960" s="3">
        <v>0</v>
      </c>
      <c r="AJ960" s="3">
        <v>1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>
        <v>0</v>
      </c>
      <c r="BK960" s="3">
        <v>0</v>
      </c>
      <c r="BL960" s="3">
        <v>0</v>
      </c>
      <c r="BM960" s="3">
        <v>0</v>
      </c>
      <c r="BN960" s="3">
        <v>0</v>
      </c>
      <c r="BO960" s="3">
        <v>0</v>
      </c>
      <c r="BP960" s="3">
        <v>0</v>
      </c>
      <c r="BQ960" s="3">
        <v>0</v>
      </c>
      <c r="BR960" s="3">
        <v>0</v>
      </c>
      <c r="BS960" s="3">
        <v>0</v>
      </c>
      <c r="BT960" s="3">
        <v>0</v>
      </c>
      <c r="BU960" s="3">
        <v>0</v>
      </c>
    </row>
    <row r="961" spans="1:73" x14ac:dyDescent="0.25">
      <c r="A961" s="2" t="s">
        <v>128</v>
      </c>
      <c r="B961" s="4">
        <v>54</v>
      </c>
      <c r="C961" s="4">
        <v>1</v>
      </c>
      <c r="D961" s="4">
        <v>2</v>
      </c>
      <c r="E961" s="4">
        <v>3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0</v>
      </c>
      <c r="BD961" s="3">
        <v>0</v>
      </c>
      <c r="BE961" s="3">
        <v>0</v>
      </c>
      <c r="BF961" s="3">
        <v>0</v>
      </c>
      <c r="BG961" s="3">
        <v>0</v>
      </c>
      <c r="BH961" s="3">
        <v>0</v>
      </c>
      <c r="BI961" s="3">
        <v>0</v>
      </c>
      <c r="BJ961" s="3">
        <v>0</v>
      </c>
      <c r="BK961" s="3">
        <v>0</v>
      </c>
      <c r="BL961" s="3">
        <v>0</v>
      </c>
      <c r="BM961" s="3">
        <v>0</v>
      </c>
      <c r="BN961" s="3">
        <v>0</v>
      </c>
      <c r="BO961" s="3">
        <v>0</v>
      </c>
      <c r="BP961" s="3">
        <v>0</v>
      </c>
      <c r="BQ961" s="3">
        <v>0</v>
      </c>
      <c r="BR961" s="3">
        <v>0</v>
      </c>
      <c r="BS961" s="3">
        <v>0</v>
      </c>
      <c r="BT961" s="3">
        <v>0</v>
      </c>
      <c r="BU961" s="3">
        <v>0</v>
      </c>
    </row>
    <row r="962" spans="1:73" x14ac:dyDescent="0.25">
      <c r="A962" s="2" t="s">
        <v>128</v>
      </c>
      <c r="B962" s="4">
        <v>54</v>
      </c>
      <c r="C962" s="4">
        <v>1</v>
      </c>
      <c r="D962" s="4">
        <v>3</v>
      </c>
      <c r="E962" s="4">
        <v>1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0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0</v>
      </c>
      <c r="BK962" s="3">
        <v>0</v>
      </c>
      <c r="BL962" s="3">
        <v>0</v>
      </c>
      <c r="BM962" s="3">
        <v>0</v>
      </c>
      <c r="BN962" s="3">
        <v>0</v>
      </c>
      <c r="BO962" s="3">
        <v>0</v>
      </c>
      <c r="BP962" s="3">
        <v>0</v>
      </c>
      <c r="BQ962" s="3">
        <v>0</v>
      </c>
      <c r="BR962" s="3">
        <v>0</v>
      </c>
      <c r="BS962" s="3">
        <v>0</v>
      </c>
      <c r="BT962" s="3">
        <v>0</v>
      </c>
      <c r="BU962" s="3">
        <v>0</v>
      </c>
    </row>
    <row r="963" spans="1:73" x14ac:dyDescent="0.25">
      <c r="A963" s="2" t="s">
        <v>128</v>
      </c>
      <c r="B963" s="4">
        <v>54</v>
      </c>
      <c r="C963" s="4">
        <v>1</v>
      </c>
      <c r="D963" s="4">
        <v>3</v>
      </c>
      <c r="E963" s="4">
        <v>2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0</v>
      </c>
      <c r="BT963" s="3">
        <v>0</v>
      </c>
      <c r="BU963" s="3">
        <v>0</v>
      </c>
    </row>
    <row r="964" spans="1:73" x14ac:dyDescent="0.25">
      <c r="A964" s="2" t="s">
        <v>128</v>
      </c>
      <c r="B964" s="4">
        <v>54</v>
      </c>
      <c r="C964" s="4">
        <v>1</v>
      </c>
      <c r="D964" s="4">
        <v>3</v>
      </c>
      <c r="E964" s="4">
        <v>3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1</v>
      </c>
      <c r="P964" s="3">
        <v>1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0</v>
      </c>
      <c r="BD964" s="3">
        <v>0</v>
      </c>
      <c r="BE964" s="3">
        <v>0</v>
      </c>
      <c r="BF964" s="3">
        <v>1</v>
      </c>
      <c r="BG964" s="3">
        <v>0</v>
      </c>
      <c r="BH964" s="3">
        <v>0</v>
      </c>
      <c r="BI964" s="3">
        <v>0</v>
      </c>
      <c r="BJ964" s="3">
        <v>0</v>
      </c>
      <c r="BK964" s="3">
        <v>0</v>
      </c>
      <c r="BL964" s="3">
        <v>0</v>
      </c>
      <c r="BM964" s="3">
        <v>0</v>
      </c>
      <c r="BN964" s="3">
        <v>0</v>
      </c>
      <c r="BO964" s="3">
        <v>0</v>
      </c>
      <c r="BP964" s="3">
        <v>1</v>
      </c>
      <c r="BQ964" s="3">
        <v>0</v>
      </c>
      <c r="BR964" s="3">
        <v>0</v>
      </c>
      <c r="BS964" s="3">
        <v>0</v>
      </c>
      <c r="BT964" s="3">
        <v>0</v>
      </c>
      <c r="BU964" s="3">
        <v>0</v>
      </c>
    </row>
    <row r="965" spans="1:73" x14ac:dyDescent="0.25">
      <c r="A965" s="2" t="s">
        <v>128</v>
      </c>
      <c r="B965" s="4">
        <v>54</v>
      </c>
      <c r="C965" s="4">
        <v>2</v>
      </c>
      <c r="D965" s="4">
        <v>1</v>
      </c>
      <c r="E965" s="4">
        <v>1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2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1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1</v>
      </c>
      <c r="BJ965" s="3">
        <v>1</v>
      </c>
      <c r="BK965" s="3">
        <v>0</v>
      </c>
      <c r="BL965" s="3">
        <v>0</v>
      </c>
      <c r="BM965" s="3">
        <v>0</v>
      </c>
      <c r="BN965" s="3">
        <v>0</v>
      </c>
      <c r="BO965" s="3">
        <v>0</v>
      </c>
      <c r="BP965" s="3">
        <v>0</v>
      </c>
      <c r="BQ965" s="3">
        <v>0</v>
      </c>
      <c r="BR965" s="3">
        <v>0</v>
      </c>
      <c r="BS965" s="3">
        <v>0</v>
      </c>
      <c r="BT965" s="3">
        <v>0</v>
      </c>
      <c r="BU965" s="3">
        <v>0</v>
      </c>
    </row>
    <row r="966" spans="1:73" x14ac:dyDescent="0.25">
      <c r="A966" s="2" t="s">
        <v>128</v>
      </c>
      <c r="B966" s="4">
        <v>54</v>
      </c>
      <c r="C966" s="4">
        <v>2</v>
      </c>
      <c r="D966" s="4">
        <v>1</v>
      </c>
      <c r="E966" s="4">
        <v>2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1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1</v>
      </c>
      <c r="BJ966" s="3">
        <v>0</v>
      </c>
      <c r="BK966" s="3">
        <v>0</v>
      </c>
      <c r="BL966" s="3">
        <v>0</v>
      </c>
      <c r="BM966" s="3">
        <v>0</v>
      </c>
      <c r="BN966" s="3">
        <v>0</v>
      </c>
      <c r="BO966" s="3">
        <v>0</v>
      </c>
      <c r="BP966" s="3">
        <v>1</v>
      </c>
      <c r="BQ966" s="3">
        <v>0</v>
      </c>
      <c r="BR966" s="3">
        <v>0</v>
      </c>
      <c r="BS966" s="3">
        <v>0</v>
      </c>
      <c r="BT966" s="3">
        <v>1</v>
      </c>
      <c r="BU966" s="3">
        <v>0</v>
      </c>
    </row>
    <row r="967" spans="1:73" x14ac:dyDescent="0.25">
      <c r="A967" s="2" t="s">
        <v>128</v>
      </c>
      <c r="B967" s="4">
        <v>54</v>
      </c>
      <c r="C967" s="4">
        <v>2</v>
      </c>
      <c r="D967" s="4">
        <v>1</v>
      </c>
      <c r="E967" s="4">
        <v>3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3">
        <v>0</v>
      </c>
      <c r="BK967" s="3">
        <v>0</v>
      </c>
      <c r="BL967" s="3">
        <v>0</v>
      </c>
      <c r="BM967" s="3">
        <v>0</v>
      </c>
      <c r="BN967" s="3">
        <v>0</v>
      </c>
      <c r="BO967" s="3">
        <v>0</v>
      </c>
      <c r="BP967" s="3">
        <v>0</v>
      </c>
      <c r="BQ967" s="3">
        <v>0</v>
      </c>
      <c r="BR967" s="3">
        <v>0</v>
      </c>
      <c r="BS967" s="3">
        <v>0</v>
      </c>
      <c r="BT967" s="3">
        <v>0</v>
      </c>
      <c r="BU967" s="3">
        <v>0</v>
      </c>
    </row>
    <row r="968" spans="1:73" x14ac:dyDescent="0.25">
      <c r="A968" s="2" t="s">
        <v>128</v>
      </c>
      <c r="B968" s="4">
        <v>54</v>
      </c>
      <c r="C968" s="4">
        <v>2</v>
      </c>
      <c r="D968" s="4">
        <v>2</v>
      </c>
      <c r="E968" s="4">
        <v>1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0</v>
      </c>
      <c r="BD968" s="3">
        <v>0</v>
      </c>
      <c r="BE968" s="3">
        <v>0</v>
      </c>
      <c r="BF968" s="3">
        <v>0</v>
      </c>
      <c r="BG968" s="3">
        <v>0</v>
      </c>
      <c r="BH968" s="3">
        <v>1</v>
      </c>
      <c r="BI968" s="3">
        <v>0</v>
      </c>
      <c r="BJ968" s="3">
        <v>0</v>
      </c>
      <c r="BK968" s="3">
        <v>0</v>
      </c>
      <c r="BL968" s="3">
        <v>0</v>
      </c>
      <c r="BM968" s="3">
        <v>0</v>
      </c>
      <c r="BN968" s="3">
        <v>0</v>
      </c>
      <c r="BO968" s="3">
        <v>0</v>
      </c>
      <c r="BP968" s="3">
        <v>0</v>
      </c>
      <c r="BQ968" s="3">
        <v>0</v>
      </c>
      <c r="BR968" s="3">
        <v>0</v>
      </c>
      <c r="BS968" s="3">
        <v>0</v>
      </c>
      <c r="BT968" s="3">
        <v>0</v>
      </c>
      <c r="BU968" s="3">
        <v>0</v>
      </c>
    </row>
    <row r="969" spans="1:73" x14ac:dyDescent="0.25">
      <c r="A969" s="2" t="s">
        <v>128</v>
      </c>
      <c r="B969" s="4">
        <v>54</v>
      </c>
      <c r="C969" s="4">
        <v>2</v>
      </c>
      <c r="D969" s="4">
        <v>2</v>
      </c>
      <c r="E969" s="4">
        <v>2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0</v>
      </c>
      <c r="BD969" s="3">
        <v>0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3">
        <v>0</v>
      </c>
      <c r="BK969" s="3">
        <v>0</v>
      </c>
      <c r="BL969" s="3">
        <v>0</v>
      </c>
      <c r="BM969" s="3">
        <v>0</v>
      </c>
      <c r="BN969" s="3">
        <v>0</v>
      </c>
      <c r="BO969" s="3">
        <v>0</v>
      </c>
      <c r="BP969" s="3">
        <v>0</v>
      </c>
      <c r="BQ969" s="3">
        <v>0</v>
      </c>
      <c r="BR969" s="3">
        <v>0</v>
      </c>
      <c r="BS969" s="3">
        <v>0</v>
      </c>
      <c r="BT969" s="3">
        <v>0</v>
      </c>
      <c r="BU969" s="3">
        <v>0</v>
      </c>
    </row>
    <row r="970" spans="1:73" x14ac:dyDescent="0.25">
      <c r="A970" s="2" t="s">
        <v>128</v>
      </c>
      <c r="B970" s="4">
        <v>54</v>
      </c>
      <c r="C970" s="4">
        <v>2</v>
      </c>
      <c r="D970" s="4">
        <v>2</v>
      </c>
      <c r="E970" s="4">
        <v>3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0</v>
      </c>
      <c r="BD970" s="3">
        <v>0</v>
      </c>
      <c r="BE970" s="3">
        <v>0</v>
      </c>
      <c r="BF970" s="3">
        <v>0</v>
      </c>
      <c r="BG970" s="3">
        <v>0</v>
      </c>
      <c r="BH970" s="3">
        <v>0</v>
      </c>
      <c r="BI970" s="3">
        <v>0</v>
      </c>
      <c r="BJ970" s="3">
        <v>0</v>
      </c>
      <c r="BK970" s="3">
        <v>0</v>
      </c>
      <c r="BL970" s="3">
        <v>0</v>
      </c>
      <c r="BM970" s="3">
        <v>0</v>
      </c>
      <c r="BN970" s="3">
        <v>0</v>
      </c>
      <c r="BO970" s="3">
        <v>0</v>
      </c>
      <c r="BP970" s="3">
        <v>0</v>
      </c>
      <c r="BQ970" s="3">
        <v>0</v>
      </c>
      <c r="BR970" s="3">
        <v>0</v>
      </c>
      <c r="BS970" s="3">
        <v>0</v>
      </c>
      <c r="BT970" s="3">
        <v>0</v>
      </c>
      <c r="BU970" s="3">
        <v>0</v>
      </c>
    </row>
    <row r="971" spans="1:73" x14ac:dyDescent="0.25">
      <c r="A971" s="2" t="s">
        <v>128</v>
      </c>
      <c r="B971" s="4">
        <v>54</v>
      </c>
      <c r="C971" s="4">
        <v>2</v>
      </c>
      <c r="D971" s="4">
        <v>3</v>
      </c>
      <c r="E971" s="4">
        <v>1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1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1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>
        <v>0</v>
      </c>
      <c r="BK971" s="3">
        <v>0</v>
      </c>
      <c r="BL971" s="3">
        <v>0</v>
      </c>
      <c r="BM971" s="3">
        <v>0</v>
      </c>
      <c r="BN971" s="3">
        <v>0</v>
      </c>
      <c r="BO971" s="3">
        <v>0</v>
      </c>
      <c r="BP971" s="3">
        <v>0</v>
      </c>
      <c r="BQ971" s="3">
        <v>0</v>
      </c>
      <c r="BR971" s="3">
        <v>0</v>
      </c>
      <c r="BS971" s="3">
        <v>0</v>
      </c>
      <c r="BT971" s="3">
        <v>0</v>
      </c>
      <c r="BU971" s="3">
        <v>0</v>
      </c>
    </row>
    <row r="972" spans="1:73" x14ac:dyDescent="0.25">
      <c r="A972" s="2" t="s">
        <v>128</v>
      </c>
      <c r="B972" s="4">
        <v>54</v>
      </c>
      <c r="C972" s="4">
        <v>2</v>
      </c>
      <c r="D972" s="4">
        <v>3</v>
      </c>
      <c r="E972" s="4">
        <v>2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0</v>
      </c>
      <c r="BK972" s="3">
        <v>1</v>
      </c>
      <c r="BL972" s="3">
        <v>0</v>
      </c>
      <c r="BM972" s="3">
        <v>0</v>
      </c>
      <c r="BN972" s="3">
        <v>0</v>
      </c>
      <c r="BO972" s="3">
        <v>0</v>
      </c>
      <c r="BP972" s="3">
        <v>0</v>
      </c>
      <c r="BQ972" s="3">
        <v>0</v>
      </c>
      <c r="BR972" s="3">
        <v>0</v>
      </c>
      <c r="BS972" s="3">
        <v>0</v>
      </c>
      <c r="BT972" s="3">
        <v>1</v>
      </c>
      <c r="BU972" s="3">
        <v>0</v>
      </c>
    </row>
    <row r="973" spans="1:73" x14ac:dyDescent="0.25">
      <c r="A973" s="2" t="s">
        <v>128</v>
      </c>
      <c r="B973" s="4">
        <v>54</v>
      </c>
      <c r="C973" s="4">
        <v>2</v>
      </c>
      <c r="D973" s="4">
        <v>3</v>
      </c>
      <c r="E973" s="4">
        <v>3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1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1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1</v>
      </c>
      <c r="BG973" s="3">
        <v>0</v>
      </c>
      <c r="BH973" s="3">
        <v>0</v>
      </c>
      <c r="BI973" s="3">
        <v>0</v>
      </c>
      <c r="BJ973" s="3">
        <v>1</v>
      </c>
      <c r="BK973" s="3">
        <v>0</v>
      </c>
      <c r="BL973" s="3">
        <v>1</v>
      </c>
      <c r="BM973" s="3">
        <v>0</v>
      </c>
      <c r="BN973" s="3">
        <v>0</v>
      </c>
      <c r="BO973" s="3">
        <v>0</v>
      </c>
      <c r="BP973" s="3">
        <v>0</v>
      </c>
      <c r="BQ973" s="3">
        <v>0</v>
      </c>
      <c r="BR973" s="3">
        <v>0</v>
      </c>
      <c r="BS973" s="3">
        <v>0</v>
      </c>
      <c r="BT973" s="3">
        <v>0</v>
      </c>
      <c r="BU973" s="3">
        <v>0</v>
      </c>
    </row>
    <row r="974" spans="1:73" x14ac:dyDescent="0.25">
      <c r="A974" s="2" t="s">
        <v>129</v>
      </c>
      <c r="B974" s="4">
        <v>55</v>
      </c>
      <c r="C974" s="4">
        <v>1</v>
      </c>
      <c r="D974" s="4">
        <v>1</v>
      </c>
      <c r="E974" s="4">
        <v>1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1</v>
      </c>
      <c r="R974" s="3">
        <v>0</v>
      </c>
      <c r="S974" s="3">
        <v>1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1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1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3">
        <v>0</v>
      </c>
      <c r="BO974" s="3">
        <v>0</v>
      </c>
      <c r="BP974" s="3">
        <v>0</v>
      </c>
      <c r="BQ974" s="3">
        <v>0</v>
      </c>
      <c r="BR974" s="3">
        <v>0</v>
      </c>
      <c r="BS974" s="3">
        <v>0</v>
      </c>
      <c r="BT974" s="3">
        <v>0</v>
      </c>
      <c r="BU974" s="3">
        <v>0</v>
      </c>
    </row>
    <row r="975" spans="1:73" x14ac:dyDescent="0.25">
      <c r="A975" s="2" t="s">
        <v>129</v>
      </c>
      <c r="B975" s="4">
        <v>55</v>
      </c>
      <c r="C975" s="4">
        <v>1</v>
      </c>
      <c r="D975" s="4">
        <v>1</v>
      </c>
      <c r="E975" s="4">
        <v>2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1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1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2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0</v>
      </c>
      <c r="BK975" s="3">
        <v>0</v>
      </c>
      <c r="BL975" s="3">
        <v>0</v>
      </c>
      <c r="BM975" s="3">
        <v>0</v>
      </c>
      <c r="BN975" s="3">
        <v>0</v>
      </c>
      <c r="BO975" s="3">
        <v>0</v>
      </c>
      <c r="BP975" s="3">
        <v>0</v>
      </c>
      <c r="BQ975" s="3">
        <v>0</v>
      </c>
      <c r="BR975" s="3">
        <v>0</v>
      </c>
      <c r="BS975" s="3">
        <v>0</v>
      </c>
      <c r="BT975" s="3">
        <v>0</v>
      </c>
      <c r="BU975" s="3">
        <v>0</v>
      </c>
    </row>
    <row r="976" spans="1:73" x14ac:dyDescent="0.25">
      <c r="A976" s="2" t="s">
        <v>129</v>
      </c>
      <c r="B976" s="4">
        <v>55</v>
      </c>
      <c r="C976" s="4">
        <v>1</v>
      </c>
      <c r="D976" s="4">
        <v>1</v>
      </c>
      <c r="E976" s="4">
        <v>3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1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1</v>
      </c>
      <c r="AA976" s="3">
        <v>0</v>
      </c>
      <c r="AB976" s="3">
        <v>0</v>
      </c>
      <c r="AC976" s="3">
        <v>0</v>
      </c>
      <c r="AD976" s="3">
        <v>0</v>
      </c>
      <c r="AE976" s="3">
        <v>1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1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2</v>
      </c>
      <c r="BB976" s="3">
        <v>0</v>
      </c>
      <c r="BC976" s="3">
        <v>0</v>
      </c>
      <c r="BD976" s="3">
        <v>0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3">
        <v>0</v>
      </c>
      <c r="BK976" s="3">
        <v>0</v>
      </c>
      <c r="BL976" s="3">
        <v>0</v>
      </c>
      <c r="BM976" s="3">
        <v>0</v>
      </c>
      <c r="BN976" s="3">
        <v>0</v>
      </c>
      <c r="BO976" s="3">
        <v>0</v>
      </c>
      <c r="BP976" s="3">
        <v>0</v>
      </c>
      <c r="BQ976" s="3">
        <v>0</v>
      </c>
      <c r="BR976" s="3">
        <v>0</v>
      </c>
      <c r="BS976" s="3">
        <v>0</v>
      </c>
      <c r="BT976" s="3">
        <v>0</v>
      </c>
      <c r="BU976" s="3">
        <v>0</v>
      </c>
    </row>
    <row r="977" spans="1:73" x14ac:dyDescent="0.25">
      <c r="A977" s="2" t="s">
        <v>129</v>
      </c>
      <c r="B977" s="4">
        <v>55</v>
      </c>
      <c r="C977" s="4">
        <v>1</v>
      </c>
      <c r="D977" s="4">
        <v>2</v>
      </c>
      <c r="E977" s="4">
        <v>1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3">
        <v>0</v>
      </c>
      <c r="BK977" s="3">
        <v>0</v>
      </c>
      <c r="BL977" s="3">
        <v>0</v>
      </c>
      <c r="BM977" s="3">
        <v>0</v>
      </c>
      <c r="BN977" s="3">
        <v>0</v>
      </c>
      <c r="BO977" s="3">
        <v>0</v>
      </c>
      <c r="BP977" s="3">
        <v>0</v>
      </c>
      <c r="BQ977" s="3">
        <v>0</v>
      </c>
      <c r="BR977" s="3">
        <v>0</v>
      </c>
      <c r="BS977" s="3">
        <v>0</v>
      </c>
      <c r="BT977" s="3">
        <v>1</v>
      </c>
      <c r="BU977" s="3">
        <v>0</v>
      </c>
    </row>
    <row r="978" spans="1:73" x14ac:dyDescent="0.25">
      <c r="A978" s="2" t="s">
        <v>129</v>
      </c>
      <c r="B978" s="4">
        <v>55</v>
      </c>
      <c r="C978" s="4">
        <v>1</v>
      </c>
      <c r="D978" s="4">
        <v>2</v>
      </c>
      <c r="E978" s="4">
        <v>2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>
        <v>0</v>
      </c>
      <c r="BK978" s="3">
        <v>0</v>
      </c>
      <c r="BL978" s="3">
        <v>0</v>
      </c>
      <c r="BM978" s="3">
        <v>0</v>
      </c>
      <c r="BN978" s="3">
        <v>0</v>
      </c>
      <c r="BO978" s="3">
        <v>0</v>
      </c>
      <c r="BP978" s="3">
        <v>0</v>
      </c>
      <c r="BQ978" s="3">
        <v>0</v>
      </c>
      <c r="BR978" s="3">
        <v>0</v>
      </c>
      <c r="BS978" s="3">
        <v>0</v>
      </c>
      <c r="BT978" s="3">
        <v>1</v>
      </c>
      <c r="BU978" s="3">
        <v>0</v>
      </c>
    </row>
    <row r="979" spans="1:73" x14ac:dyDescent="0.25">
      <c r="A979" s="2" t="s">
        <v>129</v>
      </c>
      <c r="B979" s="4">
        <v>55</v>
      </c>
      <c r="C979" s="4">
        <v>1</v>
      </c>
      <c r="D979" s="4">
        <v>2</v>
      </c>
      <c r="E979" s="4">
        <v>3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1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0</v>
      </c>
      <c r="BK979" s="3">
        <v>0</v>
      </c>
      <c r="BL979" s="3">
        <v>0</v>
      </c>
      <c r="BM979" s="3">
        <v>0</v>
      </c>
      <c r="BN979" s="3">
        <v>0</v>
      </c>
      <c r="BO979" s="3">
        <v>0</v>
      </c>
      <c r="BP979" s="3">
        <v>0</v>
      </c>
      <c r="BQ979" s="3">
        <v>0</v>
      </c>
      <c r="BR979" s="3">
        <v>0</v>
      </c>
      <c r="BS979" s="3">
        <v>0</v>
      </c>
      <c r="BT979" s="3">
        <v>0</v>
      </c>
      <c r="BU979" s="3">
        <v>0</v>
      </c>
    </row>
    <row r="980" spans="1:73" x14ac:dyDescent="0.25">
      <c r="A980" s="2" t="s">
        <v>129</v>
      </c>
      <c r="B980" s="4">
        <v>55</v>
      </c>
      <c r="C980" s="4">
        <v>1</v>
      </c>
      <c r="D980" s="4">
        <v>3</v>
      </c>
      <c r="E980" s="4">
        <v>1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0</v>
      </c>
      <c r="BK980" s="3">
        <v>0</v>
      </c>
      <c r="BL980" s="3">
        <v>0</v>
      </c>
      <c r="BM980" s="3">
        <v>0</v>
      </c>
      <c r="BN980" s="3">
        <v>0</v>
      </c>
      <c r="BO980" s="3">
        <v>0</v>
      </c>
      <c r="BP980" s="3">
        <v>0</v>
      </c>
      <c r="BQ980" s="3">
        <v>0</v>
      </c>
      <c r="BR980" s="3">
        <v>0</v>
      </c>
      <c r="BS980" s="3">
        <v>0</v>
      </c>
      <c r="BT980" s="3">
        <v>0</v>
      </c>
      <c r="BU980" s="3">
        <v>0</v>
      </c>
    </row>
    <row r="981" spans="1:73" x14ac:dyDescent="0.25">
      <c r="A981" s="2" t="s">
        <v>129</v>
      </c>
      <c r="B981" s="4">
        <v>55</v>
      </c>
      <c r="C981" s="4">
        <v>1</v>
      </c>
      <c r="D981" s="4">
        <v>3</v>
      </c>
      <c r="E981" s="4">
        <v>2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0</v>
      </c>
      <c r="BL981" s="3">
        <v>0</v>
      </c>
      <c r="BM981" s="3">
        <v>0</v>
      </c>
      <c r="BN981" s="3">
        <v>0</v>
      </c>
      <c r="BO981" s="3">
        <v>0</v>
      </c>
      <c r="BP981" s="3">
        <v>0</v>
      </c>
      <c r="BQ981" s="3">
        <v>0</v>
      </c>
      <c r="BR981" s="3">
        <v>0</v>
      </c>
      <c r="BS981" s="3">
        <v>0</v>
      </c>
      <c r="BT981" s="3">
        <v>0</v>
      </c>
      <c r="BU981" s="3">
        <v>0</v>
      </c>
    </row>
    <row r="982" spans="1:73" x14ac:dyDescent="0.25">
      <c r="A982" s="2" t="s">
        <v>129</v>
      </c>
      <c r="B982" s="4">
        <v>55</v>
      </c>
      <c r="C982" s="4">
        <v>1</v>
      </c>
      <c r="D982" s="4">
        <v>3</v>
      </c>
      <c r="E982" s="4">
        <v>3</v>
      </c>
      <c r="F982" s="3">
        <v>1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1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1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3">
        <v>0</v>
      </c>
      <c r="BK982" s="3">
        <v>0</v>
      </c>
      <c r="BL982" s="3">
        <v>0</v>
      </c>
      <c r="BM982" s="3">
        <v>0</v>
      </c>
      <c r="BN982" s="3">
        <v>0</v>
      </c>
      <c r="BO982" s="3">
        <v>0</v>
      </c>
      <c r="BP982" s="3">
        <v>0</v>
      </c>
      <c r="BQ982" s="3">
        <v>0</v>
      </c>
      <c r="BR982" s="3">
        <v>0</v>
      </c>
      <c r="BS982" s="3">
        <v>0</v>
      </c>
      <c r="BT982" s="3">
        <v>0</v>
      </c>
      <c r="BU982" s="3">
        <v>0</v>
      </c>
    </row>
    <row r="983" spans="1:73" x14ac:dyDescent="0.25">
      <c r="A983" s="2" t="s">
        <v>129</v>
      </c>
      <c r="B983" s="4">
        <v>55</v>
      </c>
      <c r="C983" s="4">
        <v>2</v>
      </c>
      <c r="D983" s="4">
        <v>1</v>
      </c>
      <c r="E983" s="4">
        <v>1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1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0</v>
      </c>
      <c r="BD983" s="3">
        <v>0</v>
      </c>
      <c r="BE983" s="3">
        <v>0</v>
      </c>
      <c r="BF983" s="3">
        <v>0</v>
      </c>
      <c r="BG983" s="3">
        <v>0</v>
      </c>
      <c r="BH983" s="3">
        <v>2</v>
      </c>
      <c r="BI983" s="3">
        <v>0</v>
      </c>
      <c r="BJ983" s="3">
        <v>0</v>
      </c>
      <c r="BK983" s="3">
        <v>0</v>
      </c>
      <c r="BL983" s="3">
        <v>0</v>
      </c>
      <c r="BM983" s="3">
        <v>0</v>
      </c>
      <c r="BN983" s="3">
        <v>0</v>
      </c>
      <c r="BO983" s="3">
        <v>0</v>
      </c>
      <c r="BP983" s="3">
        <v>0</v>
      </c>
      <c r="BQ983" s="3">
        <v>0</v>
      </c>
      <c r="BR983" s="3">
        <v>0</v>
      </c>
      <c r="BS983" s="3">
        <v>0</v>
      </c>
      <c r="BT983" s="3">
        <v>1</v>
      </c>
      <c r="BU983" s="3">
        <v>0</v>
      </c>
    </row>
    <row r="984" spans="1:73" x14ac:dyDescent="0.25">
      <c r="A984" s="2" t="s">
        <v>129</v>
      </c>
      <c r="B984" s="4">
        <v>55</v>
      </c>
      <c r="C984" s="4">
        <v>2</v>
      </c>
      <c r="D984" s="4">
        <v>1</v>
      </c>
      <c r="E984" s="4">
        <v>2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1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1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0</v>
      </c>
      <c r="BD984" s="3">
        <v>0</v>
      </c>
      <c r="BE984" s="3">
        <v>0</v>
      </c>
      <c r="BF984" s="3">
        <v>0</v>
      </c>
      <c r="BG984" s="3">
        <v>0</v>
      </c>
      <c r="BH984" s="3">
        <v>1</v>
      </c>
      <c r="BI984" s="3">
        <v>0</v>
      </c>
      <c r="BJ984" s="3">
        <v>0</v>
      </c>
      <c r="BK984" s="3">
        <v>0</v>
      </c>
      <c r="BL984" s="3">
        <v>0</v>
      </c>
      <c r="BM984" s="3">
        <v>0</v>
      </c>
      <c r="BN984" s="3">
        <v>0</v>
      </c>
      <c r="BO984" s="3">
        <v>0</v>
      </c>
      <c r="BP984" s="3">
        <v>0</v>
      </c>
      <c r="BQ984" s="3">
        <v>0</v>
      </c>
      <c r="BR984" s="3">
        <v>0</v>
      </c>
      <c r="BS984" s="3">
        <v>0</v>
      </c>
      <c r="BT984" s="3">
        <v>1</v>
      </c>
      <c r="BU984" s="3">
        <v>0</v>
      </c>
    </row>
    <row r="985" spans="1:73" x14ac:dyDescent="0.25">
      <c r="A985" s="2" t="s">
        <v>129</v>
      </c>
      <c r="B985" s="4">
        <v>55</v>
      </c>
      <c r="C985" s="4">
        <v>2</v>
      </c>
      <c r="D985" s="4">
        <v>1</v>
      </c>
      <c r="E985" s="4">
        <v>3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1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1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>
        <v>0</v>
      </c>
      <c r="BK985" s="3">
        <v>0</v>
      </c>
      <c r="BL985" s="3">
        <v>0</v>
      </c>
      <c r="BM985" s="3">
        <v>0</v>
      </c>
      <c r="BN985" s="3">
        <v>0</v>
      </c>
      <c r="BO985" s="3">
        <v>0</v>
      </c>
      <c r="BP985" s="3">
        <v>0</v>
      </c>
      <c r="BQ985" s="3">
        <v>0</v>
      </c>
      <c r="BR985" s="3">
        <v>0</v>
      </c>
      <c r="BS985" s="3">
        <v>0</v>
      </c>
      <c r="BT985" s="3">
        <v>0</v>
      </c>
      <c r="BU985" s="3">
        <v>0</v>
      </c>
    </row>
    <row r="986" spans="1:73" x14ac:dyDescent="0.25">
      <c r="A986" s="2" t="s">
        <v>129</v>
      </c>
      <c r="B986" s="4">
        <v>55</v>
      </c>
      <c r="C986" s="4">
        <v>2</v>
      </c>
      <c r="D986" s="4">
        <v>2</v>
      </c>
      <c r="E986" s="4">
        <v>1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0</v>
      </c>
      <c r="BD986" s="3">
        <v>0</v>
      </c>
      <c r="BE986" s="3">
        <v>0</v>
      </c>
      <c r="BF986" s="3">
        <v>0</v>
      </c>
      <c r="BG986" s="3">
        <v>0</v>
      </c>
      <c r="BH986" s="3">
        <v>0</v>
      </c>
      <c r="BI986" s="3">
        <v>0</v>
      </c>
      <c r="BJ986" s="3">
        <v>0</v>
      </c>
      <c r="BK986" s="3">
        <v>0</v>
      </c>
      <c r="BL986" s="3">
        <v>0</v>
      </c>
      <c r="BM986" s="3">
        <v>0</v>
      </c>
      <c r="BN986" s="3">
        <v>0</v>
      </c>
      <c r="BO986" s="3">
        <v>0</v>
      </c>
      <c r="BP986" s="3">
        <v>0</v>
      </c>
      <c r="BQ986" s="3">
        <v>0</v>
      </c>
      <c r="BR986" s="3">
        <v>0</v>
      </c>
      <c r="BS986" s="3">
        <v>0</v>
      </c>
      <c r="BT986" s="3">
        <v>0</v>
      </c>
      <c r="BU986" s="3">
        <v>0</v>
      </c>
    </row>
    <row r="987" spans="1:73" x14ac:dyDescent="0.25">
      <c r="A987" s="2" t="s">
        <v>129</v>
      </c>
      <c r="B987" s="4">
        <v>55</v>
      </c>
      <c r="C987" s="4">
        <v>2</v>
      </c>
      <c r="D987" s="4">
        <v>2</v>
      </c>
      <c r="E987" s="4">
        <v>2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>
        <v>0</v>
      </c>
      <c r="BK987" s="3">
        <v>0</v>
      </c>
      <c r="BL987" s="3">
        <v>0</v>
      </c>
      <c r="BM987" s="3">
        <v>0</v>
      </c>
      <c r="BN987" s="3">
        <v>0</v>
      </c>
      <c r="BO987" s="3">
        <v>0</v>
      </c>
      <c r="BP987" s="3">
        <v>0</v>
      </c>
      <c r="BQ987" s="3">
        <v>0</v>
      </c>
      <c r="BR987" s="3">
        <v>0</v>
      </c>
      <c r="BS987" s="3">
        <v>0</v>
      </c>
      <c r="BT987" s="3">
        <v>0</v>
      </c>
      <c r="BU987" s="3">
        <v>0</v>
      </c>
    </row>
    <row r="988" spans="1:73" x14ac:dyDescent="0.25">
      <c r="A988" s="2" t="s">
        <v>129</v>
      </c>
      <c r="B988" s="4">
        <v>55</v>
      </c>
      <c r="C988" s="4">
        <v>2</v>
      </c>
      <c r="D988" s="4">
        <v>2</v>
      </c>
      <c r="E988" s="4">
        <v>3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0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0</v>
      </c>
      <c r="BJ988" s="3">
        <v>0</v>
      </c>
      <c r="BK988" s="3">
        <v>0</v>
      </c>
      <c r="BL988" s="3">
        <v>0</v>
      </c>
      <c r="BM988" s="3">
        <v>0</v>
      </c>
      <c r="BN988" s="3">
        <v>0</v>
      </c>
      <c r="BO988" s="3">
        <v>0</v>
      </c>
      <c r="BP988" s="3">
        <v>0</v>
      </c>
      <c r="BQ988" s="3">
        <v>0</v>
      </c>
      <c r="BR988" s="3">
        <v>0</v>
      </c>
      <c r="BS988" s="3">
        <v>0</v>
      </c>
      <c r="BT988" s="3">
        <v>0</v>
      </c>
      <c r="BU988" s="3">
        <v>0</v>
      </c>
    </row>
    <row r="989" spans="1:73" x14ac:dyDescent="0.25">
      <c r="A989" s="2" t="s">
        <v>129</v>
      </c>
      <c r="B989" s="4">
        <v>55</v>
      </c>
      <c r="C989" s="4">
        <v>2</v>
      </c>
      <c r="D989" s="4">
        <v>3</v>
      </c>
      <c r="E989" s="4">
        <v>1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1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2</v>
      </c>
      <c r="BJ989" s="3">
        <v>0</v>
      </c>
      <c r="BK989" s="3">
        <v>0</v>
      </c>
      <c r="BL989" s="3">
        <v>0</v>
      </c>
      <c r="BM989" s="3">
        <v>0</v>
      </c>
      <c r="BN989" s="3">
        <v>0</v>
      </c>
      <c r="BO989" s="3">
        <v>0</v>
      </c>
      <c r="BP989" s="3">
        <v>0</v>
      </c>
      <c r="BQ989" s="3">
        <v>0</v>
      </c>
      <c r="BR989" s="3">
        <v>0</v>
      </c>
      <c r="BS989" s="3">
        <v>0</v>
      </c>
      <c r="BT989" s="3">
        <v>1</v>
      </c>
      <c r="BU989" s="3">
        <v>0</v>
      </c>
    </row>
    <row r="990" spans="1:73" x14ac:dyDescent="0.25">
      <c r="A990" s="2" t="s">
        <v>129</v>
      </c>
      <c r="B990" s="4">
        <v>55</v>
      </c>
      <c r="C990" s="4">
        <v>2</v>
      </c>
      <c r="D990" s="4">
        <v>3</v>
      </c>
      <c r="E990" s="4">
        <v>2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1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0</v>
      </c>
      <c r="BF990" s="3">
        <v>1</v>
      </c>
      <c r="BG990" s="3">
        <v>0</v>
      </c>
      <c r="BH990" s="3">
        <v>0</v>
      </c>
      <c r="BI990" s="3">
        <v>0</v>
      </c>
      <c r="BJ990" s="3">
        <v>0</v>
      </c>
      <c r="BK990" s="3">
        <v>0</v>
      </c>
      <c r="BL990" s="3">
        <v>0</v>
      </c>
      <c r="BM990" s="3">
        <v>0</v>
      </c>
      <c r="BN990" s="3">
        <v>0</v>
      </c>
      <c r="BO990" s="3">
        <v>0</v>
      </c>
      <c r="BP990" s="3">
        <v>0</v>
      </c>
      <c r="BQ990" s="3">
        <v>0</v>
      </c>
      <c r="BR990" s="3">
        <v>0</v>
      </c>
      <c r="BS990" s="3">
        <v>0</v>
      </c>
      <c r="BT990" s="3">
        <v>0</v>
      </c>
      <c r="BU990" s="3">
        <v>1</v>
      </c>
    </row>
    <row r="991" spans="1:73" x14ac:dyDescent="0.25">
      <c r="A991" s="2" t="s">
        <v>129</v>
      </c>
      <c r="B991" s="4">
        <v>55</v>
      </c>
      <c r="C991" s="4">
        <v>2</v>
      </c>
      <c r="D991" s="4">
        <v>3</v>
      </c>
      <c r="E991" s="4">
        <v>3</v>
      </c>
      <c r="F991" s="3">
        <v>0</v>
      </c>
      <c r="G991" s="3">
        <v>0</v>
      </c>
      <c r="H991" s="3">
        <v>0</v>
      </c>
      <c r="I991" s="3">
        <v>0</v>
      </c>
      <c r="J991" s="3">
        <v>1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1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0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>
        <v>0</v>
      </c>
      <c r="BK991" s="3">
        <v>0</v>
      </c>
      <c r="BL991" s="3">
        <v>0</v>
      </c>
      <c r="BM991" s="3">
        <v>0</v>
      </c>
      <c r="BN991" s="3">
        <v>0</v>
      </c>
      <c r="BO991" s="3">
        <v>0</v>
      </c>
      <c r="BP991" s="3">
        <v>0</v>
      </c>
      <c r="BQ991" s="3">
        <v>0</v>
      </c>
      <c r="BR991" s="3">
        <v>0</v>
      </c>
      <c r="BS991" s="3">
        <v>0</v>
      </c>
      <c r="BT991" s="3">
        <v>0</v>
      </c>
      <c r="BU991" s="3">
        <v>0</v>
      </c>
    </row>
    <row r="992" spans="1:73" x14ac:dyDescent="0.25">
      <c r="A992" s="2" t="s">
        <v>130</v>
      </c>
      <c r="B992" s="4">
        <v>57</v>
      </c>
      <c r="C992" s="4">
        <v>1</v>
      </c>
      <c r="D992" s="4">
        <v>1</v>
      </c>
      <c r="E992" s="4">
        <v>1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1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0</v>
      </c>
      <c r="BK992" s="3">
        <v>0</v>
      </c>
      <c r="BL992" s="3">
        <v>0</v>
      </c>
      <c r="BM992" s="3">
        <v>0</v>
      </c>
      <c r="BN992" s="3">
        <v>0</v>
      </c>
      <c r="BO992" s="3">
        <v>0</v>
      </c>
      <c r="BP992" s="3">
        <v>0</v>
      </c>
      <c r="BQ992" s="3">
        <v>0</v>
      </c>
      <c r="BR992" s="3">
        <v>0</v>
      </c>
      <c r="BS992" s="3">
        <v>0</v>
      </c>
      <c r="BT992" s="3">
        <v>1</v>
      </c>
      <c r="BU992" s="3">
        <v>0</v>
      </c>
    </row>
    <row r="993" spans="1:73" x14ac:dyDescent="0.25">
      <c r="A993" s="2" t="s">
        <v>130</v>
      </c>
      <c r="B993" s="4">
        <v>57</v>
      </c>
      <c r="C993" s="4">
        <v>1</v>
      </c>
      <c r="D993" s="4">
        <v>1</v>
      </c>
      <c r="E993" s="4">
        <v>2</v>
      </c>
      <c r="F993" s="3">
        <v>0</v>
      </c>
      <c r="G993" s="3">
        <v>2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3">
        <v>0</v>
      </c>
      <c r="BK993" s="3">
        <v>0</v>
      </c>
      <c r="BL993" s="3">
        <v>0</v>
      </c>
      <c r="BM993" s="3">
        <v>0</v>
      </c>
      <c r="BN993" s="3">
        <v>0</v>
      </c>
      <c r="BO993" s="3">
        <v>0</v>
      </c>
      <c r="BP993" s="3">
        <v>0</v>
      </c>
      <c r="BQ993" s="3">
        <v>0</v>
      </c>
      <c r="BR993" s="3">
        <v>0</v>
      </c>
      <c r="BS993" s="3">
        <v>0</v>
      </c>
      <c r="BT993" s="3">
        <v>2</v>
      </c>
      <c r="BU993" s="3">
        <v>0</v>
      </c>
    </row>
    <row r="994" spans="1:73" x14ac:dyDescent="0.25">
      <c r="A994" s="2" t="s">
        <v>130</v>
      </c>
      <c r="B994" s="4">
        <v>57</v>
      </c>
      <c r="C994" s="4">
        <v>1</v>
      </c>
      <c r="D994" s="4">
        <v>1</v>
      </c>
      <c r="E994" s="4">
        <v>3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1</v>
      </c>
      <c r="Q994" s="3">
        <v>0</v>
      </c>
      <c r="R994" s="3">
        <v>0</v>
      </c>
      <c r="S994" s="3">
        <v>1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1</v>
      </c>
      <c r="AF994" s="3">
        <v>0</v>
      </c>
      <c r="AG994" s="3">
        <v>0</v>
      </c>
      <c r="AH994" s="3">
        <v>0</v>
      </c>
      <c r="AI994" s="3">
        <v>0</v>
      </c>
      <c r="AJ994" s="3">
        <v>2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3">
        <v>0</v>
      </c>
      <c r="BK994" s="3">
        <v>0</v>
      </c>
      <c r="BL994" s="3">
        <v>1</v>
      </c>
      <c r="BM994" s="3">
        <v>0</v>
      </c>
      <c r="BN994" s="3">
        <v>0</v>
      </c>
      <c r="BO994" s="3">
        <v>0</v>
      </c>
      <c r="BP994" s="3">
        <v>0</v>
      </c>
      <c r="BQ994" s="3">
        <v>0</v>
      </c>
      <c r="BR994" s="3">
        <v>0</v>
      </c>
      <c r="BS994" s="3">
        <v>0</v>
      </c>
      <c r="BT994" s="3">
        <v>1</v>
      </c>
      <c r="BU994" s="3">
        <v>0</v>
      </c>
    </row>
    <row r="995" spans="1:73" x14ac:dyDescent="0.25">
      <c r="A995" s="2" t="s">
        <v>130</v>
      </c>
      <c r="B995" s="4">
        <v>57</v>
      </c>
      <c r="C995" s="4">
        <v>1</v>
      </c>
      <c r="D995" s="4">
        <v>2</v>
      </c>
      <c r="E995" s="4">
        <v>1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0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3">
        <v>0</v>
      </c>
      <c r="BK995" s="3">
        <v>0</v>
      </c>
      <c r="BL995" s="3">
        <v>0</v>
      </c>
      <c r="BM995" s="3">
        <v>0</v>
      </c>
      <c r="BN995" s="3">
        <v>0</v>
      </c>
      <c r="BO995" s="3">
        <v>0</v>
      </c>
      <c r="BP995" s="3">
        <v>0</v>
      </c>
      <c r="BQ995" s="3">
        <v>0</v>
      </c>
      <c r="BR995" s="3">
        <v>0</v>
      </c>
      <c r="BS995" s="3">
        <v>0</v>
      </c>
      <c r="BT995" s="3">
        <v>0</v>
      </c>
      <c r="BU995" s="3">
        <v>0</v>
      </c>
    </row>
    <row r="996" spans="1:73" x14ac:dyDescent="0.25">
      <c r="A996" s="2" t="s">
        <v>130</v>
      </c>
      <c r="B996" s="4">
        <v>57</v>
      </c>
      <c r="C996" s="4">
        <v>1</v>
      </c>
      <c r="D996" s="4">
        <v>2</v>
      </c>
      <c r="E996" s="4">
        <v>2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0</v>
      </c>
      <c r="BK996" s="3">
        <v>0</v>
      </c>
      <c r="BL996" s="3">
        <v>0</v>
      </c>
      <c r="BM996" s="3">
        <v>0</v>
      </c>
      <c r="BN996" s="3">
        <v>0</v>
      </c>
      <c r="BO996" s="3">
        <v>0</v>
      </c>
      <c r="BP996" s="3">
        <v>0</v>
      </c>
      <c r="BQ996" s="3">
        <v>0</v>
      </c>
      <c r="BR996" s="3">
        <v>0</v>
      </c>
      <c r="BS996" s="3">
        <v>0</v>
      </c>
      <c r="BT996" s="3">
        <v>0</v>
      </c>
      <c r="BU996" s="3">
        <v>0</v>
      </c>
    </row>
    <row r="997" spans="1:73" x14ac:dyDescent="0.25">
      <c r="A997" s="2" t="s">
        <v>130</v>
      </c>
      <c r="B997" s="4">
        <v>57</v>
      </c>
      <c r="C997" s="4">
        <v>1</v>
      </c>
      <c r="D997" s="4">
        <v>2</v>
      </c>
      <c r="E997" s="4">
        <v>3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3">
        <v>0</v>
      </c>
      <c r="BK997" s="3">
        <v>0</v>
      </c>
      <c r="BL997" s="3">
        <v>0</v>
      </c>
      <c r="BM997" s="3">
        <v>0</v>
      </c>
      <c r="BN997" s="3">
        <v>0</v>
      </c>
      <c r="BO997" s="3">
        <v>0</v>
      </c>
      <c r="BP997" s="3">
        <v>0</v>
      </c>
      <c r="BQ997" s="3">
        <v>0</v>
      </c>
      <c r="BR997" s="3">
        <v>0</v>
      </c>
      <c r="BS997" s="3">
        <v>0</v>
      </c>
      <c r="BT997" s="3">
        <v>0</v>
      </c>
      <c r="BU997" s="3">
        <v>0</v>
      </c>
    </row>
    <row r="998" spans="1:73" x14ac:dyDescent="0.25">
      <c r="A998" s="2" t="s">
        <v>130</v>
      </c>
      <c r="B998" s="4">
        <v>57</v>
      </c>
      <c r="C998" s="4">
        <v>1</v>
      </c>
      <c r="D998" s="4">
        <v>3</v>
      </c>
      <c r="E998" s="4">
        <v>1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0</v>
      </c>
      <c r="BK998" s="3">
        <v>0</v>
      </c>
      <c r="BL998" s="3">
        <v>0</v>
      </c>
      <c r="BM998" s="3">
        <v>0</v>
      </c>
      <c r="BN998" s="3">
        <v>0</v>
      </c>
      <c r="BO998" s="3">
        <v>0</v>
      </c>
      <c r="BP998" s="3">
        <v>0</v>
      </c>
      <c r="BQ998" s="3">
        <v>0</v>
      </c>
      <c r="BR998" s="3">
        <v>0</v>
      </c>
      <c r="BS998" s="3">
        <v>0</v>
      </c>
      <c r="BT998" s="3">
        <v>0</v>
      </c>
      <c r="BU998" s="3">
        <v>0</v>
      </c>
    </row>
    <row r="999" spans="1:73" x14ac:dyDescent="0.25">
      <c r="A999" s="2" t="s">
        <v>130</v>
      </c>
      <c r="B999" s="4">
        <v>57</v>
      </c>
      <c r="C999" s="4">
        <v>1</v>
      </c>
      <c r="D999" s="4">
        <v>3</v>
      </c>
      <c r="E999" s="4">
        <v>2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1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3">
        <v>0</v>
      </c>
      <c r="BK999" s="3">
        <v>0</v>
      </c>
      <c r="BL999" s="3">
        <v>0</v>
      </c>
      <c r="BM999" s="3">
        <v>0</v>
      </c>
      <c r="BN999" s="3">
        <v>0</v>
      </c>
      <c r="BO999" s="3">
        <v>0</v>
      </c>
      <c r="BP999" s="3">
        <v>0</v>
      </c>
      <c r="BQ999" s="3">
        <v>0</v>
      </c>
      <c r="BR999" s="3">
        <v>0</v>
      </c>
      <c r="BS999" s="3">
        <v>0</v>
      </c>
      <c r="BT999" s="3">
        <v>0</v>
      </c>
      <c r="BU999" s="3">
        <v>0</v>
      </c>
    </row>
    <row r="1000" spans="1:73" x14ac:dyDescent="0.25">
      <c r="A1000" s="2" t="s">
        <v>130</v>
      </c>
      <c r="B1000" s="4">
        <v>57</v>
      </c>
      <c r="C1000" s="4">
        <v>1</v>
      </c>
      <c r="D1000" s="4">
        <v>3</v>
      </c>
      <c r="E1000" s="4">
        <v>3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1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0</v>
      </c>
      <c r="BF1000" s="3">
        <v>0</v>
      </c>
      <c r="BG1000" s="3">
        <v>0</v>
      </c>
      <c r="BH1000" s="3">
        <v>0</v>
      </c>
      <c r="BI1000" s="3">
        <v>0</v>
      </c>
      <c r="BJ1000" s="3">
        <v>0</v>
      </c>
      <c r="BK1000" s="3">
        <v>0</v>
      </c>
      <c r="BL1000" s="3">
        <v>0</v>
      </c>
      <c r="BM1000" s="3">
        <v>0</v>
      </c>
      <c r="BN1000" s="3">
        <v>0</v>
      </c>
      <c r="BO1000" s="3">
        <v>0</v>
      </c>
      <c r="BP1000" s="3">
        <v>0</v>
      </c>
      <c r="BQ1000" s="3">
        <v>0</v>
      </c>
      <c r="BR1000" s="3">
        <v>0</v>
      </c>
      <c r="BS1000" s="3">
        <v>0</v>
      </c>
      <c r="BT1000" s="3">
        <v>0</v>
      </c>
      <c r="BU1000" s="3">
        <v>0</v>
      </c>
    </row>
    <row r="1001" spans="1:73" x14ac:dyDescent="0.25">
      <c r="A1001" s="2" t="s">
        <v>130</v>
      </c>
      <c r="B1001" s="4">
        <v>57</v>
      </c>
      <c r="C1001" s="4">
        <v>2</v>
      </c>
      <c r="D1001" s="4">
        <v>1</v>
      </c>
      <c r="E1001" s="4">
        <v>1</v>
      </c>
      <c r="F1001" s="3">
        <v>0</v>
      </c>
      <c r="G1001" s="3">
        <v>1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1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1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3">
        <v>0</v>
      </c>
      <c r="BH1001" s="3">
        <v>0</v>
      </c>
      <c r="BI1001" s="3">
        <v>0</v>
      </c>
      <c r="BJ1001" s="3">
        <v>0</v>
      </c>
      <c r="BK1001" s="3">
        <v>0</v>
      </c>
      <c r="BL1001" s="3">
        <v>0</v>
      </c>
      <c r="BM1001" s="3">
        <v>0</v>
      </c>
      <c r="BN1001" s="3">
        <v>0</v>
      </c>
      <c r="BO1001" s="3">
        <v>0</v>
      </c>
      <c r="BP1001" s="3">
        <v>0</v>
      </c>
      <c r="BQ1001" s="3">
        <v>0</v>
      </c>
      <c r="BR1001" s="3">
        <v>0</v>
      </c>
      <c r="BS1001" s="3">
        <v>0</v>
      </c>
      <c r="BT1001" s="3">
        <v>1</v>
      </c>
      <c r="BU1001" s="3">
        <v>0</v>
      </c>
    </row>
    <row r="1002" spans="1:73" x14ac:dyDescent="0.25">
      <c r="A1002" s="2" t="s">
        <v>130</v>
      </c>
      <c r="B1002" s="4">
        <v>57</v>
      </c>
      <c r="C1002" s="4">
        <v>2</v>
      </c>
      <c r="D1002" s="4">
        <v>1</v>
      </c>
      <c r="E1002" s="4">
        <v>2</v>
      </c>
      <c r="F1002" s="3">
        <v>0</v>
      </c>
      <c r="G1002" s="3">
        <v>0</v>
      </c>
      <c r="H1002" s="3">
        <v>0</v>
      </c>
      <c r="I1002" s="3">
        <v>0</v>
      </c>
      <c r="J1002" s="3">
        <v>1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1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0</v>
      </c>
      <c r="BD1002" s="3">
        <v>0</v>
      </c>
      <c r="BE1002" s="3">
        <v>0</v>
      </c>
      <c r="BF1002" s="3">
        <v>0</v>
      </c>
      <c r="BG1002" s="3">
        <v>0</v>
      </c>
      <c r="BH1002" s="3">
        <v>0</v>
      </c>
      <c r="BI1002" s="3">
        <v>0</v>
      </c>
      <c r="BJ1002" s="3">
        <v>0</v>
      </c>
      <c r="BK1002" s="3">
        <v>0</v>
      </c>
      <c r="BL1002" s="3">
        <v>0</v>
      </c>
      <c r="BM1002" s="3">
        <v>0</v>
      </c>
      <c r="BN1002" s="3">
        <v>0</v>
      </c>
      <c r="BO1002" s="3">
        <v>0</v>
      </c>
      <c r="BP1002" s="3">
        <v>0</v>
      </c>
      <c r="BQ1002" s="3">
        <v>0</v>
      </c>
      <c r="BR1002" s="3">
        <v>0</v>
      </c>
      <c r="BS1002" s="3">
        <v>0</v>
      </c>
      <c r="BT1002" s="3">
        <v>2</v>
      </c>
      <c r="BU1002" s="3">
        <v>0</v>
      </c>
    </row>
    <row r="1003" spans="1:73" x14ac:dyDescent="0.25">
      <c r="A1003" s="2" t="s">
        <v>130</v>
      </c>
      <c r="B1003" s="4">
        <v>57</v>
      </c>
      <c r="C1003" s="4">
        <v>2</v>
      </c>
      <c r="D1003" s="4">
        <v>1</v>
      </c>
      <c r="E1003" s="4">
        <v>3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1</v>
      </c>
      <c r="AA1003" s="3">
        <v>0</v>
      </c>
      <c r="AB1003" s="3">
        <v>0</v>
      </c>
      <c r="AC1003" s="3">
        <v>0</v>
      </c>
      <c r="AD1003" s="3">
        <v>0</v>
      </c>
      <c r="AE1003" s="3">
        <v>1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0</v>
      </c>
      <c r="BD1003" s="3">
        <v>0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3">
        <v>0</v>
      </c>
      <c r="BK1003" s="3">
        <v>0</v>
      </c>
      <c r="BL1003" s="3">
        <v>0</v>
      </c>
      <c r="BM1003" s="3">
        <v>0</v>
      </c>
      <c r="BN1003" s="3">
        <v>0</v>
      </c>
      <c r="BO1003" s="3">
        <v>0</v>
      </c>
      <c r="BP1003" s="3">
        <v>0</v>
      </c>
      <c r="BQ1003" s="3">
        <v>0</v>
      </c>
      <c r="BR1003" s="3">
        <v>0</v>
      </c>
      <c r="BS1003" s="3">
        <v>0</v>
      </c>
      <c r="BT1003" s="3">
        <v>0</v>
      </c>
      <c r="BU1003" s="3">
        <v>0</v>
      </c>
    </row>
    <row r="1004" spans="1:73" x14ac:dyDescent="0.25">
      <c r="A1004" s="2" t="s">
        <v>130</v>
      </c>
      <c r="B1004" s="4">
        <v>57</v>
      </c>
      <c r="C1004" s="4">
        <v>2</v>
      </c>
      <c r="D1004" s="4">
        <v>2</v>
      </c>
      <c r="E1004" s="4">
        <v>1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0</v>
      </c>
      <c r="BB1004" s="3">
        <v>0</v>
      </c>
      <c r="BC1004" s="3">
        <v>0</v>
      </c>
      <c r="BD1004" s="3">
        <v>0</v>
      </c>
      <c r="BE1004" s="3">
        <v>0</v>
      </c>
      <c r="BF1004" s="3">
        <v>0</v>
      </c>
      <c r="BG1004" s="3">
        <v>0</v>
      </c>
      <c r="BH1004" s="3">
        <v>0</v>
      </c>
      <c r="BI1004" s="3">
        <v>0</v>
      </c>
      <c r="BJ1004" s="3">
        <v>0</v>
      </c>
      <c r="BK1004" s="3">
        <v>0</v>
      </c>
      <c r="BL1004" s="3">
        <v>0</v>
      </c>
      <c r="BM1004" s="3">
        <v>0</v>
      </c>
      <c r="BN1004" s="3">
        <v>0</v>
      </c>
      <c r="BO1004" s="3">
        <v>0</v>
      </c>
      <c r="BP1004" s="3">
        <v>0</v>
      </c>
      <c r="BQ1004" s="3">
        <v>0</v>
      </c>
      <c r="BR1004" s="3">
        <v>0</v>
      </c>
      <c r="BS1004" s="3">
        <v>0</v>
      </c>
      <c r="BT1004" s="3">
        <v>0</v>
      </c>
      <c r="BU1004" s="3">
        <v>0</v>
      </c>
    </row>
    <row r="1005" spans="1:73" x14ac:dyDescent="0.25">
      <c r="A1005" s="2" t="s">
        <v>130</v>
      </c>
      <c r="B1005" s="4">
        <v>57</v>
      </c>
      <c r="C1005" s="4">
        <v>2</v>
      </c>
      <c r="D1005" s="4">
        <v>2</v>
      </c>
      <c r="E1005" s="4">
        <v>2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0</v>
      </c>
      <c r="BD1005" s="3">
        <v>0</v>
      </c>
      <c r="BE1005" s="3">
        <v>0</v>
      </c>
      <c r="BF1005" s="3">
        <v>0</v>
      </c>
      <c r="BG1005" s="3">
        <v>0</v>
      </c>
      <c r="BH1005" s="3">
        <v>0</v>
      </c>
      <c r="BI1005" s="3">
        <v>0</v>
      </c>
      <c r="BJ1005" s="3">
        <v>0</v>
      </c>
      <c r="BK1005" s="3">
        <v>0</v>
      </c>
      <c r="BL1005" s="3">
        <v>0</v>
      </c>
      <c r="BM1005" s="3">
        <v>0</v>
      </c>
      <c r="BN1005" s="3">
        <v>0</v>
      </c>
      <c r="BO1005" s="3">
        <v>0</v>
      </c>
      <c r="BP1005" s="3">
        <v>0</v>
      </c>
      <c r="BQ1005" s="3">
        <v>0</v>
      </c>
      <c r="BR1005" s="3">
        <v>0</v>
      </c>
      <c r="BS1005" s="3">
        <v>0</v>
      </c>
      <c r="BT1005" s="3">
        <v>0</v>
      </c>
      <c r="BU1005" s="3">
        <v>0</v>
      </c>
    </row>
    <row r="1006" spans="1:73" x14ac:dyDescent="0.25">
      <c r="A1006" s="2" t="s">
        <v>130</v>
      </c>
      <c r="B1006" s="4">
        <v>57</v>
      </c>
      <c r="C1006" s="4">
        <v>2</v>
      </c>
      <c r="D1006" s="4">
        <v>2</v>
      </c>
      <c r="E1006" s="4">
        <v>3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3">
        <v>0</v>
      </c>
      <c r="BE1006" s="3">
        <v>0</v>
      </c>
      <c r="BF1006" s="3">
        <v>0</v>
      </c>
      <c r="BG1006" s="3">
        <v>0</v>
      </c>
      <c r="BH1006" s="3">
        <v>0</v>
      </c>
      <c r="BI1006" s="3">
        <v>0</v>
      </c>
      <c r="BJ1006" s="3">
        <v>0</v>
      </c>
      <c r="BK1006" s="3">
        <v>0</v>
      </c>
      <c r="BL1006" s="3">
        <v>0</v>
      </c>
      <c r="BM1006" s="3">
        <v>0</v>
      </c>
      <c r="BN1006" s="3">
        <v>0</v>
      </c>
      <c r="BO1006" s="3">
        <v>0</v>
      </c>
      <c r="BP1006" s="3">
        <v>0</v>
      </c>
      <c r="BQ1006" s="3">
        <v>0</v>
      </c>
      <c r="BR1006" s="3">
        <v>0</v>
      </c>
      <c r="BS1006" s="3">
        <v>0</v>
      </c>
      <c r="BT1006" s="3">
        <v>0</v>
      </c>
      <c r="BU1006" s="3">
        <v>0</v>
      </c>
    </row>
    <row r="1007" spans="1:73" x14ac:dyDescent="0.25">
      <c r="A1007" s="2" t="s">
        <v>130</v>
      </c>
      <c r="B1007" s="4">
        <v>57</v>
      </c>
      <c r="C1007" s="4">
        <v>2</v>
      </c>
      <c r="D1007" s="4">
        <v>3</v>
      </c>
      <c r="E1007" s="4">
        <v>1</v>
      </c>
      <c r="F1007" s="3">
        <v>0</v>
      </c>
      <c r="G1007" s="3">
        <v>0</v>
      </c>
      <c r="H1007" s="3">
        <v>0</v>
      </c>
      <c r="I1007" s="3">
        <v>0</v>
      </c>
      <c r="J1007" s="3">
        <v>1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1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0</v>
      </c>
      <c r="BD1007" s="3">
        <v>0</v>
      </c>
      <c r="BE1007" s="3">
        <v>0</v>
      </c>
      <c r="BF1007" s="3">
        <v>0</v>
      </c>
      <c r="BG1007" s="3">
        <v>0</v>
      </c>
      <c r="BH1007" s="3">
        <v>0</v>
      </c>
      <c r="BI1007" s="3">
        <v>0</v>
      </c>
      <c r="BJ1007" s="3">
        <v>0</v>
      </c>
      <c r="BK1007" s="3">
        <v>0</v>
      </c>
      <c r="BL1007" s="3">
        <v>0</v>
      </c>
      <c r="BM1007" s="3">
        <v>0</v>
      </c>
      <c r="BN1007" s="3">
        <v>0</v>
      </c>
      <c r="BO1007" s="3">
        <v>0</v>
      </c>
      <c r="BP1007" s="3">
        <v>0</v>
      </c>
      <c r="BQ1007" s="3">
        <v>0</v>
      </c>
      <c r="BR1007" s="3">
        <v>0</v>
      </c>
      <c r="BS1007" s="3">
        <v>0</v>
      </c>
      <c r="BT1007" s="3">
        <v>1</v>
      </c>
      <c r="BU1007" s="3">
        <v>0</v>
      </c>
    </row>
    <row r="1008" spans="1:73" x14ac:dyDescent="0.25">
      <c r="A1008" s="2" t="s">
        <v>130</v>
      </c>
      <c r="B1008" s="4">
        <v>57</v>
      </c>
      <c r="C1008" s="4">
        <v>2</v>
      </c>
      <c r="D1008" s="4">
        <v>3</v>
      </c>
      <c r="E1008" s="4">
        <v>2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1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1</v>
      </c>
      <c r="BB1008" s="3">
        <v>0</v>
      </c>
      <c r="BC1008" s="3">
        <v>0</v>
      </c>
      <c r="BD1008" s="3">
        <v>0</v>
      </c>
      <c r="BE1008" s="3">
        <v>0</v>
      </c>
      <c r="BF1008" s="3">
        <v>0</v>
      </c>
      <c r="BG1008" s="3">
        <v>0</v>
      </c>
      <c r="BH1008" s="3">
        <v>0</v>
      </c>
      <c r="BI1008" s="3">
        <v>0</v>
      </c>
      <c r="BJ1008" s="3">
        <v>0</v>
      </c>
      <c r="BK1008" s="3">
        <v>0</v>
      </c>
      <c r="BL1008" s="3">
        <v>0</v>
      </c>
      <c r="BM1008" s="3">
        <v>0</v>
      </c>
      <c r="BN1008" s="3">
        <v>0</v>
      </c>
      <c r="BO1008" s="3">
        <v>0</v>
      </c>
      <c r="BP1008" s="3">
        <v>0</v>
      </c>
      <c r="BQ1008" s="3">
        <v>0</v>
      </c>
      <c r="BR1008" s="3">
        <v>0</v>
      </c>
      <c r="BS1008" s="3">
        <v>0</v>
      </c>
      <c r="BT1008" s="3">
        <v>1</v>
      </c>
      <c r="BU1008" s="3">
        <v>0</v>
      </c>
    </row>
    <row r="1009" spans="1:73" x14ac:dyDescent="0.25">
      <c r="A1009" s="2" t="s">
        <v>130</v>
      </c>
      <c r="B1009" s="4">
        <v>57</v>
      </c>
      <c r="C1009" s="4">
        <v>2</v>
      </c>
      <c r="D1009" s="4">
        <v>3</v>
      </c>
      <c r="E1009" s="4">
        <v>3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0</v>
      </c>
      <c r="BJ1009" s="3">
        <v>0</v>
      </c>
      <c r="BK1009" s="3">
        <v>0</v>
      </c>
      <c r="BL1009" s="3">
        <v>0</v>
      </c>
      <c r="BM1009" s="3">
        <v>0</v>
      </c>
      <c r="BN1009" s="3">
        <v>0</v>
      </c>
      <c r="BO1009" s="3">
        <v>0</v>
      </c>
      <c r="BP1009" s="3">
        <v>0</v>
      </c>
      <c r="BQ1009" s="3">
        <v>0</v>
      </c>
      <c r="BR1009" s="3">
        <v>0</v>
      </c>
      <c r="BS1009" s="3">
        <v>0</v>
      </c>
      <c r="BT1009" s="3">
        <v>0</v>
      </c>
      <c r="BU1009" s="3">
        <v>0</v>
      </c>
    </row>
    <row r="1010" spans="1:73" x14ac:dyDescent="0.25">
      <c r="A1010" s="2" t="s">
        <v>131</v>
      </c>
      <c r="B1010" s="4">
        <v>58</v>
      </c>
      <c r="C1010" s="4">
        <v>1</v>
      </c>
      <c r="D1010" s="4">
        <v>1</v>
      </c>
      <c r="E1010" s="4">
        <v>1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0</v>
      </c>
      <c r="BD1010" s="3">
        <v>0</v>
      </c>
      <c r="BE1010" s="3">
        <v>0</v>
      </c>
      <c r="BF1010" s="3">
        <v>0</v>
      </c>
      <c r="BG1010" s="3">
        <v>0</v>
      </c>
      <c r="BH1010" s="3">
        <v>0</v>
      </c>
      <c r="BI1010" s="3">
        <v>0</v>
      </c>
      <c r="BJ1010" s="3">
        <v>0</v>
      </c>
      <c r="BK1010" s="3">
        <v>0</v>
      </c>
      <c r="BL1010" s="3">
        <v>0</v>
      </c>
      <c r="BM1010" s="3">
        <v>0</v>
      </c>
      <c r="BN1010" s="3">
        <v>0</v>
      </c>
      <c r="BO1010" s="3">
        <v>0</v>
      </c>
      <c r="BP1010" s="3">
        <v>0</v>
      </c>
      <c r="BQ1010" s="3">
        <v>0</v>
      </c>
      <c r="BR1010" s="3">
        <v>0</v>
      </c>
      <c r="BS1010" s="3">
        <v>0</v>
      </c>
      <c r="BT1010" s="3">
        <v>2</v>
      </c>
      <c r="BU1010" s="3">
        <v>0</v>
      </c>
    </row>
    <row r="1011" spans="1:73" x14ac:dyDescent="0.25">
      <c r="A1011" s="2" t="s">
        <v>131</v>
      </c>
      <c r="B1011" s="4">
        <v>58</v>
      </c>
      <c r="C1011" s="4">
        <v>1</v>
      </c>
      <c r="D1011" s="4">
        <v>1</v>
      </c>
      <c r="E1011" s="4">
        <v>2</v>
      </c>
      <c r="F1011" s="3">
        <v>0</v>
      </c>
      <c r="G1011" s="3">
        <v>2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1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0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0</v>
      </c>
      <c r="BJ1011" s="3">
        <v>0</v>
      </c>
      <c r="BK1011" s="3">
        <v>0</v>
      </c>
      <c r="BL1011" s="3">
        <v>0</v>
      </c>
      <c r="BM1011" s="3">
        <v>0</v>
      </c>
      <c r="BN1011" s="3">
        <v>0</v>
      </c>
      <c r="BO1011" s="3">
        <v>0</v>
      </c>
      <c r="BP1011" s="3">
        <v>0</v>
      </c>
      <c r="BQ1011" s="3">
        <v>0</v>
      </c>
      <c r="BR1011" s="3">
        <v>0</v>
      </c>
      <c r="BS1011" s="3">
        <v>0</v>
      </c>
      <c r="BT1011" s="3">
        <v>1</v>
      </c>
      <c r="BU1011" s="3">
        <v>0</v>
      </c>
    </row>
    <row r="1012" spans="1:73" x14ac:dyDescent="0.25">
      <c r="A1012" s="2" t="s">
        <v>131</v>
      </c>
      <c r="B1012" s="4">
        <v>58</v>
      </c>
      <c r="C1012" s="4">
        <v>1</v>
      </c>
      <c r="D1012" s="4">
        <v>1</v>
      </c>
      <c r="E1012" s="4">
        <v>3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1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1</v>
      </c>
      <c r="AA1012" s="3">
        <v>0</v>
      </c>
      <c r="AB1012" s="3">
        <v>0</v>
      </c>
      <c r="AC1012" s="3">
        <v>0</v>
      </c>
      <c r="AD1012" s="3">
        <v>0</v>
      </c>
      <c r="AE1012" s="3">
        <v>2</v>
      </c>
      <c r="AF1012" s="3">
        <v>0</v>
      </c>
      <c r="AG1012" s="3">
        <v>0</v>
      </c>
      <c r="AH1012" s="3">
        <v>0</v>
      </c>
      <c r="AI1012" s="3">
        <v>2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0</v>
      </c>
      <c r="BD1012" s="3">
        <v>0</v>
      </c>
      <c r="BE1012" s="3">
        <v>0</v>
      </c>
      <c r="BF1012" s="3">
        <v>0</v>
      </c>
      <c r="BG1012" s="3">
        <v>0</v>
      </c>
      <c r="BH1012" s="3">
        <v>0</v>
      </c>
      <c r="BI1012" s="3">
        <v>0</v>
      </c>
      <c r="BJ1012" s="3">
        <v>0</v>
      </c>
      <c r="BK1012" s="3">
        <v>0</v>
      </c>
      <c r="BL1012" s="3">
        <v>0</v>
      </c>
      <c r="BM1012" s="3">
        <v>0</v>
      </c>
      <c r="BN1012" s="3">
        <v>0</v>
      </c>
      <c r="BO1012" s="3">
        <v>0</v>
      </c>
      <c r="BP1012" s="3">
        <v>0</v>
      </c>
      <c r="BQ1012" s="3">
        <v>0</v>
      </c>
      <c r="BR1012" s="3">
        <v>0</v>
      </c>
      <c r="BS1012" s="3">
        <v>0</v>
      </c>
      <c r="BT1012" s="3">
        <v>0</v>
      </c>
      <c r="BU1012" s="3">
        <v>0</v>
      </c>
    </row>
    <row r="1013" spans="1:73" x14ac:dyDescent="0.25">
      <c r="A1013" s="2" t="s">
        <v>131</v>
      </c>
      <c r="B1013" s="4">
        <v>58</v>
      </c>
      <c r="C1013" s="4">
        <v>1</v>
      </c>
      <c r="D1013" s="4">
        <v>2</v>
      </c>
      <c r="E1013" s="4">
        <v>1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0</v>
      </c>
      <c r="BD1013" s="3">
        <v>0</v>
      </c>
      <c r="BE1013" s="3">
        <v>0</v>
      </c>
      <c r="BF1013" s="3">
        <v>0</v>
      </c>
      <c r="BG1013" s="3">
        <v>0</v>
      </c>
      <c r="BH1013" s="3">
        <v>0</v>
      </c>
      <c r="BI1013" s="3">
        <v>0</v>
      </c>
      <c r="BJ1013" s="3">
        <v>0</v>
      </c>
      <c r="BK1013" s="3">
        <v>0</v>
      </c>
      <c r="BL1013" s="3">
        <v>0</v>
      </c>
      <c r="BM1013" s="3">
        <v>0</v>
      </c>
      <c r="BN1013" s="3">
        <v>0</v>
      </c>
      <c r="BO1013" s="3">
        <v>0</v>
      </c>
      <c r="BP1013" s="3">
        <v>0</v>
      </c>
      <c r="BQ1013" s="3">
        <v>0</v>
      </c>
      <c r="BR1013" s="3">
        <v>0</v>
      </c>
      <c r="BS1013" s="3">
        <v>0</v>
      </c>
      <c r="BT1013" s="3">
        <v>0</v>
      </c>
      <c r="BU1013" s="3">
        <v>0</v>
      </c>
    </row>
    <row r="1014" spans="1:73" x14ac:dyDescent="0.25">
      <c r="A1014" s="2" t="s">
        <v>131</v>
      </c>
      <c r="B1014" s="4">
        <v>58</v>
      </c>
      <c r="C1014" s="4">
        <v>1</v>
      </c>
      <c r="D1014" s="4">
        <v>2</v>
      </c>
      <c r="E1014" s="4">
        <v>2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0</v>
      </c>
      <c r="BG1014" s="3">
        <v>0</v>
      </c>
      <c r="BH1014" s="3">
        <v>0</v>
      </c>
      <c r="BI1014" s="3">
        <v>0</v>
      </c>
      <c r="BJ1014" s="3">
        <v>0</v>
      </c>
      <c r="BK1014" s="3">
        <v>0</v>
      </c>
      <c r="BL1014" s="3">
        <v>0</v>
      </c>
      <c r="BM1014" s="3">
        <v>0</v>
      </c>
      <c r="BN1014" s="3">
        <v>0</v>
      </c>
      <c r="BO1014" s="3">
        <v>0</v>
      </c>
      <c r="BP1014" s="3">
        <v>0</v>
      </c>
      <c r="BQ1014" s="3">
        <v>0</v>
      </c>
      <c r="BR1014" s="3">
        <v>0</v>
      </c>
      <c r="BS1014" s="3">
        <v>0</v>
      </c>
      <c r="BT1014" s="3">
        <v>0</v>
      </c>
      <c r="BU1014" s="3">
        <v>0</v>
      </c>
    </row>
    <row r="1015" spans="1:73" x14ac:dyDescent="0.25">
      <c r="A1015" s="2" t="s">
        <v>131</v>
      </c>
      <c r="B1015" s="4">
        <v>58</v>
      </c>
      <c r="C1015" s="4">
        <v>1</v>
      </c>
      <c r="D1015" s="4">
        <v>2</v>
      </c>
      <c r="E1015" s="4">
        <v>3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2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>
        <v>0</v>
      </c>
      <c r="BD1015" s="3">
        <v>0</v>
      </c>
      <c r="BE1015" s="3">
        <v>0</v>
      </c>
      <c r="BF1015" s="3">
        <v>0</v>
      </c>
      <c r="BG1015" s="3">
        <v>0</v>
      </c>
      <c r="BH1015" s="3">
        <v>0</v>
      </c>
      <c r="BI1015" s="3">
        <v>0</v>
      </c>
      <c r="BJ1015" s="3">
        <v>0</v>
      </c>
      <c r="BK1015" s="3">
        <v>0</v>
      </c>
      <c r="BL1015" s="3">
        <v>0</v>
      </c>
      <c r="BM1015" s="3">
        <v>0</v>
      </c>
      <c r="BN1015" s="3">
        <v>0</v>
      </c>
      <c r="BO1015" s="3">
        <v>0</v>
      </c>
      <c r="BP1015" s="3">
        <v>0</v>
      </c>
      <c r="BQ1015" s="3">
        <v>0</v>
      </c>
      <c r="BR1015" s="3">
        <v>0</v>
      </c>
      <c r="BS1015" s="3">
        <v>0</v>
      </c>
      <c r="BT1015" s="3">
        <v>1</v>
      </c>
      <c r="BU1015" s="3">
        <v>0</v>
      </c>
    </row>
    <row r="1016" spans="1:73" x14ac:dyDescent="0.25">
      <c r="A1016" s="2" t="s">
        <v>131</v>
      </c>
      <c r="B1016" s="4">
        <v>58</v>
      </c>
      <c r="C1016" s="4">
        <v>1</v>
      </c>
      <c r="D1016" s="4">
        <v>3</v>
      </c>
      <c r="E1016" s="4">
        <v>1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3">
        <v>0</v>
      </c>
      <c r="BK1016" s="3">
        <v>0</v>
      </c>
      <c r="BL1016" s="3">
        <v>0</v>
      </c>
      <c r="BM1016" s="3">
        <v>0</v>
      </c>
      <c r="BN1016" s="3">
        <v>0</v>
      </c>
      <c r="BO1016" s="3">
        <v>0</v>
      </c>
      <c r="BP1016" s="3">
        <v>0</v>
      </c>
      <c r="BQ1016" s="3">
        <v>0</v>
      </c>
      <c r="BR1016" s="3">
        <v>0</v>
      </c>
      <c r="BS1016" s="3">
        <v>0</v>
      </c>
      <c r="BT1016" s="3">
        <v>0</v>
      </c>
      <c r="BU1016" s="3">
        <v>0</v>
      </c>
    </row>
    <row r="1017" spans="1:73" x14ac:dyDescent="0.25">
      <c r="A1017" s="2" t="s">
        <v>131</v>
      </c>
      <c r="B1017" s="4">
        <v>58</v>
      </c>
      <c r="C1017" s="4">
        <v>1</v>
      </c>
      <c r="D1017" s="4">
        <v>3</v>
      </c>
      <c r="E1017" s="4">
        <v>2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0</v>
      </c>
      <c r="BF1017" s="3">
        <v>0</v>
      </c>
      <c r="BG1017" s="3">
        <v>0</v>
      </c>
      <c r="BH1017" s="3">
        <v>0</v>
      </c>
      <c r="BI1017" s="3">
        <v>0</v>
      </c>
      <c r="BJ1017" s="3">
        <v>0</v>
      </c>
      <c r="BK1017" s="3">
        <v>0</v>
      </c>
      <c r="BL1017" s="3">
        <v>0</v>
      </c>
      <c r="BM1017" s="3">
        <v>0</v>
      </c>
      <c r="BN1017" s="3">
        <v>0</v>
      </c>
      <c r="BO1017" s="3">
        <v>0</v>
      </c>
      <c r="BP1017" s="3">
        <v>0</v>
      </c>
      <c r="BQ1017" s="3">
        <v>0</v>
      </c>
      <c r="BR1017" s="3">
        <v>0</v>
      </c>
      <c r="BS1017" s="3">
        <v>0</v>
      </c>
      <c r="BT1017" s="3">
        <v>0</v>
      </c>
      <c r="BU1017" s="3">
        <v>0</v>
      </c>
    </row>
    <row r="1018" spans="1:73" x14ac:dyDescent="0.25">
      <c r="A1018" s="2" t="s">
        <v>131</v>
      </c>
      <c r="B1018" s="4">
        <v>58</v>
      </c>
      <c r="C1018" s="4">
        <v>1</v>
      </c>
      <c r="D1018" s="4">
        <v>3</v>
      </c>
      <c r="E1018" s="4">
        <v>3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0</v>
      </c>
      <c r="BF1018" s="3">
        <v>0</v>
      </c>
      <c r="BG1018" s="3">
        <v>0</v>
      </c>
      <c r="BH1018" s="3">
        <v>0</v>
      </c>
      <c r="BI1018" s="3">
        <v>0</v>
      </c>
      <c r="BJ1018" s="3">
        <v>0</v>
      </c>
      <c r="BK1018" s="3">
        <v>0</v>
      </c>
      <c r="BL1018" s="3">
        <v>0</v>
      </c>
      <c r="BM1018" s="3">
        <v>0</v>
      </c>
      <c r="BN1018" s="3">
        <v>0</v>
      </c>
      <c r="BO1018" s="3">
        <v>0</v>
      </c>
      <c r="BP1018" s="3">
        <v>0</v>
      </c>
      <c r="BQ1018" s="3">
        <v>0</v>
      </c>
      <c r="BR1018" s="3">
        <v>0</v>
      </c>
      <c r="BS1018" s="3">
        <v>0</v>
      </c>
      <c r="BT1018" s="3">
        <v>0</v>
      </c>
      <c r="BU1018" s="3">
        <v>0</v>
      </c>
    </row>
    <row r="1019" spans="1:73" x14ac:dyDescent="0.25">
      <c r="A1019" s="2" t="s">
        <v>131</v>
      </c>
      <c r="B1019" s="4">
        <v>58</v>
      </c>
      <c r="C1019" s="4">
        <v>2</v>
      </c>
      <c r="D1019" s="4">
        <v>1</v>
      </c>
      <c r="E1019" s="4">
        <v>1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1</v>
      </c>
      <c r="AF1019" s="3">
        <v>0</v>
      </c>
      <c r="AG1019" s="3">
        <v>0</v>
      </c>
      <c r="AH1019" s="3">
        <v>0</v>
      </c>
      <c r="AI1019" s="3">
        <v>0</v>
      </c>
      <c r="AJ1019" s="3">
        <v>1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  <c r="BF1019" s="3">
        <v>0</v>
      </c>
      <c r="BG1019" s="3">
        <v>0</v>
      </c>
      <c r="BH1019" s="3">
        <v>0</v>
      </c>
      <c r="BI1019" s="3">
        <v>0</v>
      </c>
      <c r="BJ1019" s="3">
        <v>0</v>
      </c>
      <c r="BK1019" s="3">
        <v>0</v>
      </c>
      <c r="BL1019" s="3">
        <v>0</v>
      </c>
      <c r="BM1019" s="3">
        <v>0</v>
      </c>
      <c r="BN1019" s="3">
        <v>0</v>
      </c>
      <c r="BO1019" s="3">
        <v>0</v>
      </c>
      <c r="BP1019" s="3">
        <v>0</v>
      </c>
      <c r="BQ1019" s="3">
        <v>0</v>
      </c>
      <c r="BR1019" s="3">
        <v>0</v>
      </c>
      <c r="BS1019" s="3">
        <v>0</v>
      </c>
      <c r="BT1019" s="3">
        <v>1</v>
      </c>
      <c r="BU1019" s="3">
        <v>0</v>
      </c>
    </row>
    <row r="1020" spans="1:73" x14ac:dyDescent="0.25">
      <c r="A1020" s="2" t="s">
        <v>131</v>
      </c>
      <c r="B1020" s="4">
        <v>58</v>
      </c>
      <c r="C1020" s="4">
        <v>2</v>
      </c>
      <c r="D1020" s="4">
        <v>1</v>
      </c>
      <c r="E1020" s="4">
        <v>2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1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1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0</v>
      </c>
      <c r="BD1020" s="3">
        <v>0</v>
      </c>
      <c r="BE1020" s="3">
        <v>0</v>
      </c>
      <c r="BF1020" s="3">
        <v>0</v>
      </c>
      <c r="BG1020" s="3">
        <v>0</v>
      </c>
      <c r="BH1020" s="3">
        <v>0</v>
      </c>
      <c r="BI1020" s="3">
        <v>0</v>
      </c>
      <c r="BJ1020" s="3">
        <v>0</v>
      </c>
      <c r="BK1020" s="3">
        <v>0</v>
      </c>
      <c r="BL1020" s="3">
        <v>0</v>
      </c>
      <c r="BM1020" s="3">
        <v>0</v>
      </c>
      <c r="BN1020" s="3">
        <v>0</v>
      </c>
      <c r="BO1020" s="3">
        <v>0</v>
      </c>
      <c r="BP1020" s="3">
        <v>0</v>
      </c>
      <c r="BQ1020" s="3">
        <v>0</v>
      </c>
      <c r="BR1020" s="3">
        <v>0</v>
      </c>
      <c r="BS1020" s="3">
        <v>0</v>
      </c>
      <c r="BT1020" s="3">
        <v>0</v>
      </c>
      <c r="BU1020" s="3">
        <v>0</v>
      </c>
    </row>
    <row r="1021" spans="1:73" x14ac:dyDescent="0.25">
      <c r="A1021" s="2" t="s">
        <v>131</v>
      </c>
      <c r="B1021" s="4">
        <v>58</v>
      </c>
      <c r="C1021" s="4">
        <v>2</v>
      </c>
      <c r="D1021" s="4">
        <v>1</v>
      </c>
      <c r="E1021" s="4">
        <v>3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0</v>
      </c>
      <c r="BD1021" s="3">
        <v>0</v>
      </c>
      <c r="BE1021" s="3">
        <v>0</v>
      </c>
      <c r="BF1021" s="3">
        <v>0</v>
      </c>
      <c r="BG1021" s="3">
        <v>0</v>
      </c>
      <c r="BH1021" s="3">
        <v>0</v>
      </c>
      <c r="BI1021" s="3">
        <v>0</v>
      </c>
      <c r="BJ1021" s="3">
        <v>0</v>
      </c>
      <c r="BK1021" s="3">
        <v>0</v>
      </c>
      <c r="BL1021" s="3">
        <v>0</v>
      </c>
      <c r="BM1021" s="3">
        <v>0</v>
      </c>
      <c r="BN1021" s="3">
        <v>0</v>
      </c>
      <c r="BO1021" s="3">
        <v>0</v>
      </c>
      <c r="BP1021" s="3">
        <v>0</v>
      </c>
      <c r="BQ1021" s="3">
        <v>0</v>
      </c>
      <c r="BR1021" s="3">
        <v>0</v>
      </c>
      <c r="BS1021" s="3">
        <v>0</v>
      </c>
      <c r="BT1021" s="3">
        <v>0</v>
      </c>
      <c r="BU1021" s="3">
        <v>0</v>
      </c>
    </row>
    <row r="1022" spans="1:73" x14ac:dyDescent="0.25">
      <c r="A1022" s="2" t="s">
        <v>131</v>
      </c>
      <c r="B1022" s="4">
        <v>58</v>
      </c>
      <c r="C1022" s="4">
        <v>2</v>
      </c>
      <c r="D1022" s="4">
        <v>2</v>
      </c>
      <c r="E1022" s="4">
        <v>1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0</v>
      </c>
      <c r="BD1022" s="3">
        <v>0</v>
      </c>
      <c r="BE1022" s="3">
        <v>0</v>
      </c>
      <c r="BF1022" s="3">
        <v>0</v>
      </c>
      <c r="BG1022" s="3">
        <v>0</v>
      </c>
      <c r="BH1022" s="3">
        <v>0</v>
      </c>
      <c r="BI1022" s="3">
        <v>0</v>
      </c>
      <c r="BJ1022" s="3">
        <v>0</v>
      </c>
      <c r="BK1022" s="3">
        <v>0</v>
      </c>
      <c r="BL1022" s="3">
        <v>0</v>
      </c>
      <c r="BM1022" s="3">
        <v>0</v>
      </c>
      <c r="BN1022" s="3">
        <v>0</v>
      </c>
      <c r="BO1022" s="3">
        <v>0</v>
      </c>
      <c r="BP1022" s="3">
        <v>0</v>
      </c>
      <c r="BQ1022" s="3">
        <v>0</v>
      </c>
      <c r="BR1022" s="3">
        <v>0</v>
      </c>
      <c r="BS1022" s="3">
        <v>0</v>
      </c>
      <c r="BT1022" s="3">
        <v>0</v>
      </c>
      <c r="BU1022" s="3">
        <v>0</v>
      </c>
    </row>
    <row r="1023" spans="1:73" x14ac:dyDescent="0.25">
      <c r="A1023" s="2" t="s">
        <v>131</v>
      </c>
      <c r="B1023" s="4">
        <v>58</v>
      </c>
      <c r="C1023" s="4">
        <v>2</v>
      </c>
      <c r="D1023" s="4">
        <v>2</v>
      </c>
      <c r="E1023" s="4">
        <v>2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0</v>
      </c>
      <c r="BF1023" s="3">
        <v>0</v>
      </c>
      <c r="BG1023" s="3">
        <v>0</v>
      </c>
      <c r="BH1023" s="3">
        <v>0</v>
      </c>
      <c r="BI1023" s="3">
        <v>0</v>
      </c>
      <c r="BJ1023" s="3">
        <v>0</v>
      </c>
      <c r="BK1023" s="3">
        <v>0</v>
      </c>
      <c r="BL1023" s="3">
        <v>0</v>
      </c>
      <c r="BM1023" s="3">
        <v>0</v>
      </c>
      <c r="BN1023" s="3">
        <v>0</v>
      </c>
      <c r="BO1023" s="3">
        <v>0</v>
      </c>
      <c r="BP1023" s="3">
        <v>0</v>
      </c>
      <c r="BQ1023" s="3">
        <v>0</v>
      </c>
      <c r="BR1023" s="3">
        <v>0</v>
      </c>
      <c r="BS1023" s="3">
        <v>0</v>
      </c>
      <c r="BT1023" s="3">
        <v>0</v>
      </c>
      <c r="BU1023" s="3">
        <v>0</v>
      </c>
    </row>
    <row r="1024" spans="1:73" x14ac:dyDescent="0.25">
      <c r="A1024" s="2" t="s">
        <v>131</v>
      </c>
      <c r="B1024" s="4">
        <v>58</v>
      </c>
      <c r="C1024" s="4">
        <v>2</v>
      </c>
      <c r="D1024" s="4">
        <v>2</v>
      </c>
      <c r="E1024" s="4">
        <v>3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0</v>
      </c>
      <c r="BG1024" s="3">
        <v>0</v>
      </c>
      <c r="BH1024" s="3">
        <v>0</v>
      </c>
      <c r="BI1024" s="3">
        <v>0</v>
      </c>
      <c r="BJ1024" s="3">
        <v>0</v>
      </c>
      <c r="BK1024" s="3">
        <v>0</v>
      </c>
      <c r="BL1024" s="3">
        <v>0</v>
      </c>
      <c r="BM1024" s="3">
        <v>0</v>
      </c>
      <c r="BN1024" s="3">
        <v>0</v>
      </c>
      <c r="BO1024" s="3">
        <v>0</v>
      </c>
      <c r="BP1024" s="3">
        <v>0</v>
      </c>
      <c r="BQ1024" s="3">
        <v>0</v>
      </c>
      <c r="BR1024" s="3">
        <v>0</v>
      </c>
      <c r="BS1024" s="3">
        <v>0</v>
      </c>
      <c r="BT1024" s="3">
        <v>0</v>
      </c>
      <c r="BU1024" s="3">
        <v>0</v>
      </c>
    </row>
    <row r="1025" spans="1:73" x14ac:dyDescent="0.25">
      <c r="A1025" s="2" t="s">
        <v>131</v>
      </c>
      <c r="B1025" s="4">
        <v>58</v>
      </c>
      <c r="C1025" s="4">
        <v>2</v>
      </c>
      <c r="D1025" s="4">
        <v>3</v>
      </c>
      <c r="E1025" s="4">
        <v>1</v>
      </c>
      <c r="F1025" s="3">
        <v>0</v>
      </c>
      <c r="G1025" s="3">
        <v>2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0</v>
      </c>
      <c r="BF1025" s="3">
        <v>0</v>
      </c>
      <c r="BG1025" s="3">
        <v>0</v>
      </c>
      <c r="BH1025" s="3">
        <v>0</v>
      </c>
      <c r="BI1025" s="3">
        <v>0</v>
      </c>
      <c r="BJ1025" s="3">
        <v>0</v>
      </c>
      <c r="BK1025" s="3">
        <v>0</v>
      </c>
      <c r="BL1025" s="3">
        <v>0</v>
      </c>
      <c r="BM1025" s="3">
        <v>0</v>
      </c>
      <c r="BN1025" s="3">
        <v>0</v>
      </c>
      <c r="BO1025" s="3">
        <v>0</v>
      </c>
      <c r="BP1025" s="3">
        <v>0</v>
      </c>
      <c r="BQ1025" s="3">
        <v>0</v>
      </c>
      <c r="BR1025" s="3">
        <v>0</v>
      </c>
      <c r="BS1025" s="3">
        <v>0</v>
      </c>
      <c r="BT1025" s="3">
        <v>0</v>
      </c>
      <c r="BU1025" s="3">
        <v>0</v>
      </c>
    </row>
    <row r="1026" spans="1:73" x14ac:dyDescent="0.25">
      <c r="A1026" s="2" t="s">
        <v>131</v>
      </c>
      <c r="B1026" s="4">
        <v>58</v>
      </c>
      <c r="C1026" s="4">
        <v>2</v>
      </c>
      <c r="D1026" s="4">
        <v>3</v>
      </c>
      <c r="E1026" s="4">
        <v>2</v>
      </c>
      <c r="F1026" s="3">
        <v>0</v>
      </c>
      <c r="G1026" s="3">
        <v>0</v>
      </c>
      <c r="H1026" s="3">
        <v>0</v>
      </c>
      <c r="I1026" s="3">
        <v>0</v>
      </c>
      <c r="J1026" s="3">
        <v>1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2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1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0</v>
      </c>
      <c r="BE1026" s="3">
        <v>0</v>
      </c>
      <c r="BF1026" s="3">
        <v>0</v>
      </c>
      <c r="BG1026" s="3">
        <v>0</v>
      </c>
      <c r="BH1026" s="3">
        <v>0</v>
      </c>
      <c r="BI1026" s="3">
        <v>0</v>
      </c>
      <c r="BJ1026" s="3">
        <v>0</v>
      </c>
      <c r="BK1026" s="3">
        <v>0</v>
      </c>
      <c r="BL1026" s="3">
        <v>0</v>
      </c>
      <c r="BM1026" s="3">
        <v>0</v>
      </c>
      <c r="BN1026" s="3">
        <v>0</v>
      </c>
      <c r="BO1026" s="3">
        <v>0</v>
      </c>
      <c r="BP1026" s="3">
        <v>0</v>
      </c>
      <c r="BQ1026" s="3">
        <v>0</v>
      </c>
      <c r="BR1026" s="3">
        <v>0</v>
      </c>
      <c r="BS1026" s="3">
        <v>0</v>
      </c>
      <c r="BT1026" s="3">
        <v>1</v>
      </c>
      <c r="BU1026" s="3">
        <v>0</v>
      </c>
    </row>
    <row r="1027" spans="1:73" x14ac:dyDescent="0.25">
      <c r="A1027" s="2" t="s">
        <v>131</v>
      </c>
      <c r="B1027" s="4">
        <v>58</v>
      </c>
      <c r="C1027" s="4">
        <v>2</v>
      </c>
      <c r="D1027" s="4">
        <v>3</v>
      </c>
      <c r="E1027" s="4">
        <v>3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1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0</v>
      </c>
      <c r="BJ1027" s="3">
        <v>0</v>
      </c>
      <c r="BK1027" s="3">
        <v>0</v>
      </c>
      <c r="BL1027" s="3">
        <v>0</v>
      </c>
      <c r="BM1027" s="3">
        <v>0</v>
      </c>
      <c r="BN1027" s="3">
        <v>0</v>
      </c>
      <c r="BO1027" s="3">
        <v>0</v>
      </c>
      <c r="BP1027" s="3">
        <v>0</v>
      </c>
      <c r="BQ1027" s="3">
        <v>0</v>
      </c>
      <c r="BR1027" s="3">
        <v>0</v>
      </c>
      <c r="BS1027" s="3">
        <v>0</v>
      </c>
      <c r="BT1027" s="3">
        <v>0</v>
      </c>
      <c r="BU1027" s="3">
        <v>0</v>
      </c>
    </row>
    <row r="1028" spans="1:73" x14ac:dyDescent="0.25">
      <c r="A1028" s="2" t="s">
        <v>132</v>
      </c>
      <c r="B1028" s="4">
        <v>59</v>
      </c>
      <c r="C1028" s="4">
        <v>1</v>
      </c>
      <c r="D1028" s="4">
        <v>1</v>
      </c>
      <c r="E1028" s="4">
        <v>1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2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0</v>
      </c>
      <c r="BD1028" s="3">
        <v>0</v>
      </c>
      <c r="BE1028" s="3">
        <v>0</v>
      </c>
      <c r="BF1028" s="3">
        <v>0</v>
      </c>
      <c r="BG1028" s="3">
        <v>0</v>
      </c>
      <c r="BH1028" s="3">
        <v>0</v>
      </c>
      <c r="BI1028" s="3">
        <v>0</v>
      </c>
      <c r="BJ1028" s="3">
        <v>0</v>
      </c>
      <c r="BK1028" s="3">
        <v>0</v>
      </c>
      <c r="BL1028" s="3">
        <v>0</v>
      </c>
      <c r="BM1028" s="3">
        <v>0</v>
      </c>
      <c r="BN1028" s="3">
        <v>0</v>
      </c>
      <c r="BO1028" s="3">
        <v>0</v>
      </c>
      <c r="BP1028" s="3">
        <v>0</v>
      </c>
      <c r="BQ1028" s="3">
        <v>0</v>
      </c>
      <c r="BR1028" s="3">
        <v>0</v>
      </c>
      <c r="BS1028" s="3">
        <v>0</v>
      </c>
      <c r="BT1028" s="3">
        <v>0</v>
      </c>
      <c r="BU1028" s="3">
        <v>0</v>
      </c>
    </row>
    <row r="1029" spans="1:73" x14ac:dyDescent="0.25">
      <c r="A1029" s="2" t="s">
        <v>132</v>
      </c>
      <c r="B1029" s="4">
        <v>59</v>
      </c>
      <c r="C1029" s="4">
        <v>1</v>
      </c>
      <c r="D1029" s="4">
        <v>1</v>
      </c>
      <c r="E1029" s="4">
        <v>2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1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2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0</v>
      </c>
      <c r="BJ1029" s="3">
        <v>0</v>
      </c>
      <c r="BK1029" s="3">
        <v>0</v>
      </c>
      <c r="BL1029" s="3">
        <v>0</v>
      </c>
      <c r="BM1029" s="3">
        <v>0</v>
      </c>
      <c r="BN1029" s="3">
        <v>0</v>
      </c>
      <c r="BO1029" s="3">
        <v>0</v>
      </c>
      <c r="BP1029" s="3">
        <v>0</v>
      </c>
      <c r="BQ1029" s="3">
        <v>0</v>
      </c>
      <c r="BR1029" s="3">
        <v>0</v>
      </c>
      <c r="BS1029" s="3">
        <v>0</v>
      </c>
      <c r="BT1029" s="3">
        <v>2</v>
      </c>
      <c r="BU1029" s="3">
        <v>0</v>
      </c>
    </row>
    <row r="1030" spans="1:73" x14ac:dyDescent="0.25">
      <c r="A1030" s="2" t="s">
        <v>132</v>
      </c>
      <c r="B1030" s="4">
        <v>59</v>
      </c>
      <c r="C1030" s="4">
        <v>1</v>
      </c>
      <c r="D1030" s="4">
        <v>1</v>
      </c>
      <c r="E1030" s="4">
        <v>3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0</v>
      </c>
      <c r="BD1030" s="3">
        <v>0</v>
      </c>
      <c r="BE1030" s="3">
        <v>0</v>
      </c>
      <c r="BF1030" s="3">
        <v>0</v>
      </c>
      <c r="BG1030" s="3">
        <v>0</v>
      </c>
      <c r="BH1030" s="3">
        <v>0</v>
      </c>
      <c r="BI1030" s="3">
        <v>0</v>
      </c>
      <c r="BJ1030" s="3">
        <v>0</v>
      </c>
      <c r="BK1030" s="3">
        <v>0</v>
      </c>
      <c r="BL1030" s="3">
        <v>0</v>
      </c>
      <c r="BM1030" s="3">
        <v>0</v>
      </c>
      <c r="BN1030" s="3">
        <v>0</v>
      </c>
      <c r="BO1030" s="3">
        <v>0</v>
      </c>
      <c r="BP1030" s="3">
        <v>0</v>
      </c>
      <c r="BQ1030" s="3">
        <v>1</v>
      </c>
      <c r="BR1030" s="3">
        <v>0</v>
      </c>
      <c r="BS1030" s="3">
        <v>0</v>
      </c>
      <c r="BT1030" s="3">
        <v>0</v>
      </c>
      <c r="BU1030" s="3">
        <v>0</v>
      </c>
    </row>
    <row r="1031" spans="1:73" x14ac:dyDescent="0.25">
      <c r="A1031" s="2" t="s">
        <v>132</v>
      </c>
      <c r="B1031" s="4">
        <v>59</v>
      </c>
      <c r="C1031" s="4">
        <v>1</v>
      </c>
      <c r="D1031" s="4">
        <v>2</v>
      </c>
      <c r="E1031" s="4">
        <v>1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1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>
        <v>0</v>
      </c>
      <c r="BD1031" s="3">
        <v>0</v>
      </c>
      <c r="BE1031" s="3">
        <v>0</v>
      </c>
      <c r="BF1031" s="3">
        <v>0</v>
      </c>
      <c r="BG1031" s="3">
        <v>0</v>
      </c>
      <c r="BH1031" s="3">
        <v>0</v>
      </c>
      <c r="BI1031" s="3">
        <v>0</v>
      </c>
      <c r="BJ1031" s="3">
        <v>0</v>
      </c>
      <c r="BK1031" s="3">
        <v>0</v>
      </c>
      <c r="BL1031" s="3">
        <v>0</v>
      </c>
      <c r="BM1031" s="3">
        <v>0</v>
      </c>
      <c r="BN1031" s="3">
        <v>0</v>
      </c>
      <c r="BO1031" s="3">
        <v>0</v>
      </c>
      <c r="BP1031" s="3">
        <v>0</v>
      </c>
      <c r="BQ1031" s="3">
        <v>0</v>
      </c>
      <c r="BR1031" s="3">
        <v>0</v>
      </c>
      <c r="BS1031" s="3">
        <v>0</v>
      </c>
      <c r="BT1031" s="3">
        <v>1</v>
      </c>
      <c r="BU1031" s="3">
        <v>0</v>
      </c>
    </row>
    <row r="1032" spans="1:73" x14ac:dyDescent="0.25">
      <c r="A1032" s="2" t="s">
        <v>132</v>
      </c>
      <c r="B1032" s="4">
        <v>59</v>
      </c>
      <c r="C1032" s="4">
        <v>1</v>
      </c>
      <c r="D1032" s="4">
        <v>2</v>
      </c>
      <c r="E1032" s="4">
        <v>2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0</v>
      </c>
      <c r="BD1032" s="3">
        <v>0</v>
      </c>
      <c r="BE1032" s="3">
        <v>0</v>
      </c>
      <c r="BF1032" s="3">
        <v>0</v>
      </c>
      <c r="BG1032" s="3">
        <v>0</v>
      </c>
      <c r="BH1032" s="3">
        <v>0</v>
      </c>
      <c r="BI1032" s="3">
        <v>0</v>
      </c>
      <c r="BJ1032" s="3">
        <v>0</v>
      </c>
      <c r="BK1032" s="3">
        <v>0</v>
      </c>
      <c r="BL1032" s="3">
        <v>0</v>
      </c>
      <c r="BM1032" s="3">
        <v>0</v>
      </c>
      <c r="BN1032" s="3">
        <v>0</v>
      </c>
      <c r="BO1032" s="3">
        <v>0</v>
      </c>
      <c r="BP1032" s="3">
        <v>0</v>
      </c>
      <c r="BQ1032" s="3">
        <v>0</v>
      </c>
      <c r="BR1032" s="3">
        <v>0</v>
      </c>
      <c r="BS1032" s="3">
        <v>0</v>
      </c>
      <c r="BT1032" s="3">
        <v>0</v>
      </c>
      <c r="BU1032" s="3">
        <v>0</v>
      </c>
    </row>
    <row r="1033" spans="1:73" x14ac:dyDescent="0.25">
      <c r="A1033" s="2" t="s">
        <v>132</v>
      </c>
      <c r="B1033" s="4">
        <v>59</v>
      </c>
      <c r="C1033" s="4">
        <v>1</v>
      </c>
      <c r="D1033" s="4">
        <v>2</v>
      </c>
      <c r="E1033" s="4">
        <v>3</v>
      </c>
      <c r="F1033" s="3">
        <v>0</v>
      </c>
      <c r="G1033" s="3">
        <v>0</v>
      </c>
      <c r="H1033" s="3">
        <v>0</v>
      </c>
      <c r="I1033" s="3">
        <v>0</v>
      </c>
      <c r="J1033" s="3">
        <v>2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1</v>
      </c>
      <c r="BB1033" s="3">
        <v>0</v>
      </c>
      <c r="BC1033" s="3">
        <v>0</v>
      </c>
      <c r="BD1033" s="3">
        <v>0</v>
      </c>
      <c r="BE1033" s="3">
        <v>0</v>
      </c>
      <c r="BF1033" s="3">
        <v>2</v>
      </c>
      <c r="BG1033" s="3">
        <v>0</v>
      </c>
      <c r="BH1033" s="3">
        <v>0</v>
      </c>
      <c r="BI1033" s="3">
        <v>0</v>
      </c>
      <c r="BJ1033" s="3">
        <v>0</v>
      </c>
      <c r="BK1033" s="3">
        <v>0</v>
      </c>
      <c r="BL1033" s="3">
        <v>0</v>
      </c>
      <c r="BM1033" s="3">
        <v>0</v>
      </c>
      <c r="BN1033" s="3">
        <v>0</v>
      </c>
      <c r="BO1033" s="3">
        <v>0</v>
      </c>
      <c r="BP1033" s="3">
        <v>0</v>
      </c>
      <c r="BQ1033" s="3">
        <v>0</v>
      </c>
      <c r="BR1033" s="3">
        <v>0</v>
      </c>
      <c r="BS1033" s="3">
        <v>0</v>
      </c>
      <c r="BT1033" s="3">
        <v>0</v>
      </c>
      <c r="BU1033" s="3">
        <v>0</v>
      </c>
    </row>
    <row r="1034" spans="1:73" x14ac:dyDescent="0.25">
      <c r="A1034" s="2" t="s">
        <v>132</v>
      </c>
      <c r="B1034" s="4">
        <v>59</v>
      </c>
      <c r="C1034" s="4">
        <v>1</v>
      </c>
      <c r="D1034" s="4">
        <v>3</v>
      </c>
      <c r="E1034" s="4">
        <v>1</v>
      </c>
      <c r="F1034" s="3">
        <v>0</v>
      </c>
      <c r="G1034" s="3">
        <v>1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0</v>
      </c>
      <c r="BD1034" s="3">
        <v>0</v>
      </c>
      <c r="BE1034" s="3">
        <v>0</v>
      </c>
      <c r="BF1034" s="3">
        <v>0</v>
      </c>
      <c r="BG1034" s="3">
        <v>0</v>
      </c>
      <c r="BH1034" s="3">
        <v>0</v>
      </c>
      <c r="BI1034" s="3">
        <v>0</v>
      </c>
      <c r="BJ1034" s="3">
        <v>0</v>
      </c>
      <c r="BK1034" s="3">
        <v>0</v>
      </c>
      <c r="BL1034" s="3">
        <v>0</v>
      </c>
      <c r="BM1034" s="3">
        <v>0</v>
      </c>
      <c r="BN1034" s="3">
        <v>0</v>
      </c>
      <c r="BO1034" s="3">
        <v>0</v>
      </c>
      <c r="BP1034" s="3">
        <v>0</v>
      </c>
      <c r="BQ1034" s="3">
        <v>0</v>
      </c>
      <c r="BR1034" s="3">
        <v>0</v>
      </c>
      <c r="BS1034" s="3">
        <v>0</v>
      </c>
      <c r="BT1034" s="3">
        <v>1</v>
      </c>
      <c r="BU1034" s="3">
        <v>0</v>
      </c>
    </row>
    <row r="1035" spans="1:73" x14ac:dyDescent="0.25">
      <c r="A1035" s="2" t="s">
        <v>132</v>
      </c>
      <c r="B1035" s="4">
        <v>59</v>
      </c>
      <c r="C1035" s="4">
        <v>1</v>
      </c>
      <c r="D1035" s="4">
        <v>3</v>
      </c>
      <c r="E1035" s="4">
        <v>2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0</v>
      </c>
      <c r="BD1035" s="3">
        <v>0</v>
      </c>
      <c r="BE1035" s="3">
        <v>0</v>
      </c>
      <c r="BF1035" s="3">
        <v>0</v>
      </c>
      <c r="BG1035" s="3">
        <v>0</v>
      </c>
      <c r="BH1035" s="3">
        <v>0</v>
      </c>
      <c r="BI1035" s="3">
        <v>0</v>
      </c>
      <c r="BJ1035" s="3">
        <v>0</v>
      </c>
      <c r="BK1035" s="3">
        <v>0</v>
      </c>
      <c r="BL1035" s="3">
        <v>0</v>
      </c>
      <c r="BM1035" s="3">
        <v>0</v>
      </c>
      <c r="BN1035" s="3">
        <v>0</v>
      </c>
      <c r="BO1035" s="3">
        <v>0</v>
      </c>
      <c r="BP1035" s="3">
        <v>0</v>
      </c>
      <c r="BQ1035" s="3">
        <v>0</v>
      </c>
      <c r="BR1035" s="3">
        <v>0</v>
      </c>
      <c r="BS1035" s="3">
        <v>0</v>
      </c>
      <c r="BT1035" s="3">
        <v>0</v>
      </c>
      <c r="BU1035" s="3">
        <v>0</v>
      </c>
    </row>
    <row r="1036" spans="1:73" x14ac:dyDescent="0.25">
      <c r="A1036" s="2" t="s">
        <v>132</v>
      </c>
      <c r="B1036" s="4">
        <v>59</v>
      </c>
      <c r="C1036" s="4">
        <v>1</v>
      </c>
      <c r="D1036" s="4">
        <v>3</v>
      </c>
      <c r="E1036" s="4">
        <v>3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0</v>
      </c>
      <c r="BC1036" s="3">
        <v>0</v>
      </c>
      <c r="BD1036" s="3">
        <v>0</v>
      </c>
      <c r="BE1036" s="3">
        <v>0</v>
      </c>
      <c r="BF1036" s="3">
        <v>0</v>
      </c>
      <c r="BG1036" s="3">
        <v>0</v>
      </c>
      <c r="BH1036" s="3">
        <v>0</v>
      </c>
      <c r="BI1036" s="3">
        <v>0</v>
      </c>
      <c r="BJ1036" s="3">
        <v>0</v>
      </c>
      <c r="BK1036" s="3">
        <v>0</v>
      </c>
      <c r="BL1036" s="3">
        <v>1</v>
      </c>
      <c r="BM1036" s="3">
        <v>0</v>
      </c>
      <c r="BN1036" s="3">
        <v>0</v>
      </c>
      <c r="BO1036" s="3">
        <v>0</v>
      </c>
      <c r="BP1036" s="3">
        <v>0</v>
      </c>
      <c r="BQ1036" s="3">
        <v>0</v>
      </c>
      <c r="BR1036" s="3">
        <v>0</v>
      </c>
      <c r="BS1036" s="3">
        <v>0</v>
      </c>
      <c r="BT1036" s="3">
        <v>0</v>
      </c>
      <c r="BU1036" s="3">
        <v>0</v>
      </c>
    </row>
    <row r="1037" spans="1:73" x14ac:dyDescent="0.25">
      <c r="A1037" s="2" t="s">
        <v>132</v>
      </c>
      <c r="B1037" s="4">
        <v>59</v>
      </c>
      <c r="C1037" s="4">
        <v>2</v>
      </c>
      <c r="D1037" s="4">
        <v>1</v>
      </c>
      <c r="E1037" s="4">
        <v>1</v>
      </c>
      <c r="F1037" s="3">
        <v>0</v>
      </c>
      <c r="G1037" s="3">
        <v>1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2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5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0</v>
      </c>
      <c r="BB1037" s="3">
        <v>0</v>
      </c>
      <c r="BC1037" s="3">
        <v>0</v>
      </c>
      <c r="BD1037" s="3">
        <v>0</v>
      </c>
      <c r="BE1037" s="3">
        <v>0</v>
      </c>
      <c r="BF1037" s="3">
        <v>0</v>
      </c>
      <c r="BG1037" s="3">
        <v>0</v>
      </c>
      <c r="BH1037" s="3">
        <v>0</v>
      </c>
      <c r="BI1037" s="3">
        <v>0</v>
      </c>
      <c r="BJ1037" s="3">
        <v>0</v>
      </c>
      <c r="BK1037" s="3">
        <v>0</v>
      </c>
      <c r="BL1037" s="3">
        <v>0</v>
      </c>
      <c r="BM1037" s="3">
        <v>0</v>
      </c>
      <c r="BN1037" s="3">
        <v>0</v>
      </c>
      <c r="BO1037" s="3">
        <v>0</v>
      </c>
      <c r="BP1037" s="3">
        <v>0</v>
      </c>
      <c r="BQ1037" s="3">
        <v>0</v>
      </c>
      <c r="BR1037" s="3">
        <v>0</v>
      </c>
      <c r="BS1037" s="3">
        <v>0</v>
      </c>
      <c r="BT1037" s="3">
        <v>0</v>
      </c>
      <c r="BU1037" s="3">
        <v>0</v>
      </c>
    </row>
    <row r="1038" spans="1:73" x14ac:dyDescent="0.25">
      <c r="A1038" s="2" t="s">
        <v>132</v>
      </c>
      <c r="B1038" s="4">
        <v>59</v>
      </c>
      <c r="C1038" s="4">
        <v>2</v>
      </c>
      <c r="D1038" s="4">
        <v>1</v>
      </c>
      <c r="E1038" s="4">
        <v>2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1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v>0</v>
      </c>
      <c r="BD1038" s="3">
        <v>0</v>
      </c>
      <c r="BE1038" s="3">
        <v>0</v>
      </c>
      <c r="BF1038" s="3">
        <v>0</v>
      </c>
      <c r="BG1038" s="3">
        <v>0</v>
      </c>
      <c r="BH1038" s="3">
        <v>0</v>
      </c>
      <c r="BI1038" s="3">
        <v>0</v>
      </c>
      <c r="BJ1038" s="3">
        <v>0</v>
      </c>
      <c r="BK1038" s="3">
        <v>0</v>
      </c>
      <c r="BL1038" s="3">
        <v>0</v>
      </c>
      <c r="BM1038" s="3">
        <v>0</v>
      </c>
      <c r="BN1038" s="3">
        <v>0</v>
      </c>
      <c r="BO1038" s="3">
        <v>0</v>
      </c>
      <c r="BP1038" s="3">
        <v>0</v>
      </c>
      <c r="BQ1038" s="3">
        <v>0</v>
      </c>
      <c r="BR1038" s="3">
        <v>0</v>
      </c>
      <c r="BS1038" s="3">
        <v>0</v>
      </c>
      <c r="BT1038" s="3">
        <v>0</v>
      </c>
      <c r="BU1038" s="3">
        <v>0</v>
      </c>
    </row>
    <row r="1039" spans="1:73" x14ac:dyDescent="0.25">
      <c r="A1039" s="2" t="s">
        <v>132</v>
      </c>
      <c r="B1039" s="4">
        <v>59</v>
      </c>
      <c r="C1039" s="4">
        <v>2</v>
      </c>
      <c r="D1039" s="4">
        <v>1</v>
      </c>
      <c r="E1039" s="4">
        <v>3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1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3">
        <v>0</v>
      </c>
      <c r="BB1039" s="3">
        <v>0</v>
      </c>
      <c r="BC1039" s="3">
        <v>0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0</v>
      </c>
      <c r="BJ1039" s="3">
        <v>0</v>
      </c>
      <c r="BK1039" s="3">
        <v>0</v>
      </c>
      <c r="BL1039" s="3">
        <v>0</v>
      </c>
      <c r="BM1039" s="3">
        <v>0</v>
      </c>
      <c r="BN1039" s="3">
        <v>0</v>
      </c>
      <c r="BO1039" s="3">
        <v>1</v>
      </c>
      <c r="BP1039" s="3">
        <v>0</v>
      </c>
      <c r="BQ1039" s="3">
        <v>0</v>
      </c>
      <c r="BR1039" s="3">
        <v>0</v>
      </c>
      <c r="BS1039" s="3">
        <v>0</v>
      </c>
      <c r="BT1039" s="3">
        <v>0</v>
      </c>
      <c r="BU1039" s="3">
        <v>0</v>
      </c>
    </row>
    <row r="1040" spans="1:73" x14ac:dyDescent="0.25">
      <c r="A1040" s="2" t="s">
        <v>132</v>
      </c>
      <c r="B1040" s="4">
        <v>59</v>
      </c>
      <c r="C1040" s="4">
        <v>2</v>
      </c>
      <c r="D1040" s="4">
        <v>2</v>
      </c>
      <c r="E1040" s="4">
        <v>1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>
        <v>0</v>
      </c>
      <c r="BD1040" s="3">
        <v>0</v>
      </c>
      <c r="BE1040" s="3">
        <v>0</v>
      </c>
      <c r="BF1040" s="3">
        <v>0</v>
      </c>
      <c r="BG1040" s="3">
        <v>0</v>
      </c>
      <c r="BH1040" s="3">
        <v>0</v>
      </c>
      <c r="BI1040" s="3">
        <v>0</v>
      </c>
      <c r="BJ1040" s="3">
        <v>0</v>
      </c>
      <c r="BK1040" s="3">
        <v>0</v>
      </c>
      <c r="BL1040" s="3">
        <v>0</v>
      </c>
      <c r="BM1040" s="3">
        <v>0</v>
      </c>
      <c r="BN1040" s="3">
        <v>0</v>
      </c>
      <c r="BO1040" s="3">
        <v>0</v>
      </c>
      <c r="BP1040" s="3">
        <v>0</v>
      </c>
      <c r="BQ1040" s="3">
        <v>0</v>
      </c>
      <c r="BR1040" s="3">
        <v>0</v>
      </c>
      <c r="BS1040" s="3">
        <v>0</v>
      </c>
      <c r="BT1040" s="3">
        <v>0</v>
      </c>
      <c r="BU1040" s="3">
        <v>0</v>
      </c>
    </row>
    <row r="1041" spans="1:73" x14ac:dyDescent="0.25">
      <c r="A1041" s="2" t="s">
        <v>132</v>
      </c>
      <c r="B1041" s="4">
        <v>59</v>
      </c>
      <c r="C1041" s="4">
        <v>2</v>
      </c>
      <c r="D1041" s="4">
        <v>2</v>
      </c>
      <c r="E1041" s="4">
        <v>2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>
        <v>0</v>
      </c>
      <c r="BD1041" s="3">
        <v>0</v>
      </c>
      <c r="BE1041" s="3">
        <v>0</v>
      </c>
      <c r="BF1041" s="3">
        <v>0</v>
      </c>
      <c r="BG1041" s="3">
        <v>0</v>
      </c>
      <c r="BH1041" s="3">
        <v>0</v>
      </c>
      <c r="BI1041" s="3">
        <v>0</v>
      </c>
      <c r="BJ1041" s="3">
        <v>0</v>
      </c>
      <c r="BK1041" s="3">
        <v>0</v>
      </c>
      <c r="BL1041" s="3">
        <v>0</v>
      </c>
      <c r="BM1041" s="3">
        <v>0</v>
      </c>
      <c r="BN1041" s="3">
        <v>0</v>
      </c>
      <c r="BO1041" s="3">
        <v>0</v>
      </c>
      <c r="BP1041" s="3">
        <v>0</v>
      </c>
      <c r="BQ1041" s="3">
        <v>0</v>
      </c>
      <c r="BR1041" s="3">
        <v>0</v>
      </c>
      <c r="BS1041" s="3">
        <v>0</v>
      </c>
      <c r="BT1041" s="3">
        <v>1</v>
      </c>
      <c r="BU1041" s="3">
        <v>0</v>
      </c>
    </row>
    <row r="1042" spans="1:73" x14ac:dyDescent="0.25">
      <c r="A1042" s="2" t="s">
        <v>132</v>
      </c>
      <c r="B1042" s="4">
        <v>59</v>
      </c>
      <c r="C1042" s="4">
        <v>2</v>
      </c>
      <c r="D1042" s="4">
        <v>2</v>
      </c>
      <c r="E1042" s="4">
        <v>3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3">
        <v>0</v>
      </c>
      <c r="AY1042" s="3">
        <v>0</v>
      </c>
      <c r="AZ1042" s="3">
        <v>0</v>
      </c>
      <c r="BA1042" s="3">
        <v>0</v>
      </c>
      <c r="BB1042" s="3">
        <v>0</v>
      </c>
      <c r="BC1042" s="3">
        <v>0</v>
      </c>
      <c r="BD1042" s="3">
        <v>0</v>
      </c>
      <c r="BE1042" s="3">
        <v>0</v>
      </c>
      <c r="BF1042" s="3">
        <v>0</v>
      </c>
      <c r="BG1042" s="3">
        <v>0</v>
      </c>
      <c r="BH1042" s="3">
        <v>0</v>
      </c>
      <c r="BI1042" s="3">
        <v>0</v>
      </c>
      <c r="BJ1042" s="3">
        <v>0</v>
      </c>
      <c r="BK1042" s="3">
        <v>0</v>
      </c>
      <c r="BL1042" s="3">
        <v>1</v>
      </c>
      <c r="BM1042" s="3">
        <v>0</v>
      </c>
      <c r="BN1042" s="3">
        <v>0</v>
      </c>
      <c r="BO1042" s="3">
        <v>0</v>
      </c>
      <c r="BP1042" s="3">
        <v>0</v>
      </c>
      <c r="BQ1042" s="3">
        <v>0</v>
      </c>
      <c r="BR1042" s="3">
        <v>0</v>
      </c>
      <c r="BS1042" s="3">
        <v>0</v>
      </c>
      <c r="BT1042" s="3">
        <v>0</v>
      </c>
      <c r="BU1042" s="3">
        <v>0</v>
      </c>
    </row>
    <row r="1043" spans="1:73" x14ac:dyDescent="0.25">
      <c r="A1043" s="2" t="s">
        <v>132</v>
      </c>
      <c r="B1043" s="4">
        <v>59</v>
      </c>
      <c r="C1043" s="4">
        <v>2</v>
      </c>
      <c r="D1043" s="4">
        <v>3</v>
      </c>
      <c r="E1043" s="4">
        <v>1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2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3">
        <v>0</v>
      </c>
      <c r="BD1043" s="3">
        <v>0</v>
      </c>
      <c r="BE1043" s="3">
        <v>0</v>
      </c>
      <c r="BF1043" s="3">
        <v>0</v>
      </c>
      <c r="BG1043" s="3">
        <v>0</v>
      </c>
      <c r="BH1043" s="3">
        <v>0</v>
      </c>
      <c r="BI1043" s="3">
        <v>0</v>
      </c>
      <c r="BJ1043" s="3">
        <v>0</v>
      </c>
      <c r="BK1043" s="3">
        <v>0</v>
      </c>
      <c r="BL1043" s="3">
        <v>0</v>
      </c>
      <c r="BM1043" s="3">
        <v>0</v>
      </c>
      <c r="BN1043" s="3">
        <v>0</v>
      </c>
      <c r="BO1043" s="3">
        <v>0</v>
      </c>
      <c r="BP1043" s="3">
        <v>0</v>
      </c>
      <c r="BQ1043" s="3">
        <v>0</v>
      </c>
      <c r="BR1043" s="3">
        <v>0</v>
      </c>
      <c r="BS1043" s="3">
        <v>0</v>
      </c>
      <c r="BT1043" s="3">
        <v>0</v>
      </c>
      <c r="BU1043" s="3">
        <v>0</v>
      </c>
    </row>
    <row r="1044" spans="1:73" x14ac:dyDescent="0.25">
      <c r="A1044" s="2" t="s">
        <v>132</v>
      </c>
      <c r="B1044" s="4">
        <v>59</v>
      </c>
      <c r="C1044" s="4">
        <v>2</v>
      </c>
      <c r="D1044" s="4">
        <v>3</v>
      </c>
      <c r="E1044" s="4">
        <v>2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0</v>
      </c>
      <c r="AZ1044" s="3">
        <v>0</v>
      </c>
      <c r="BA1044" s="3">
        <v>0</v>
      </c>
      <c r="BB1044" s="3">
        <v>0</v>
      </c>
      <c r="BC1044" s="3">
        <v>0</v>
      </c>
      <c r="BD1044" s="3">
        <v>0</v>
      </c>
      <c r="BE1044" s="3">
        <v>0</v>
      </c>
      <c r="BF1044" s="3">
        <v>0</v>
      </c>
      <c r="BG1044" s="3">
        <v>0</v>
      </c>
      <c r="BH1044" s="3">
        <v>0</v>
      </c>
      <c r="BI1044" s="3">
        <v>0</v>
      </c>
      <c r="BJ1044" s="3">
        <v>0</v>
      </c>
      <c r="BK1044" s="3">
        <v>0</v>
      </c>
      <c r="BL1044" s="3">
        <v>0</v>
      </c>
      <c r="BM1044" s="3">
        <v>0</v>
      </c>
      <c r="BN1044" s="3">
        <v>0</v>
      </c>
      <c r="BO1044" s="3">
        <v>0</v>
      </c>
      <c r="BP1044" s="3">
        <v>0</v>
      </c>
      <c r="BQ1044" s="3">
        <v>0</v>
      </c>
      <c r="BR1044" s="3">
        <v>0</v>
      </c>
      <c r="BS1044" s="3">
        <v>0</v>
      </c>
      <c r="BT1044" s="3">
        <v>0</v>
      </c>
      <c r="BU1044" s="3">
        <v>0</v>
      </c>
    </row>
    <row r="1045" spans="1:73" x14ac:dyDescent="0.25">
      <c r="A1045" s="2" t="s">
        <v>132</v>
      </c>
      <c r="B1045" s="4">
        <v>59</v>
      </c>
      <c r="C1045" s="4">
        <v>2</v>
      </c>
      <c r="D1045" s="4">
        <v>3</v>
      </c>
      <c r="E1045" s="4">
        <v>3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>
        <v>0</v>
      </c>
      <c r="BD1045" s="3">
        <v>0</v>
      </c>
      <c r="BE1045" s="3">
        <v>0</v>
      </c>
      <c r="BF1045" s="3">
        <v>0</v>
      </c>
      <c r="BG1045" s="3">
        <v>0</v>
      </c>
      <c r="BH1045" s="3">
        <v>0</v>
      </c>
      <c r="BI1045" s="3">
        <v>0</v>
      </c>
      <c r="BJ1045" s="3">
        <v>0</v>
      </c>
      <c r="BK1045" s="3">
        <v>1</v>
      </c>
      <c r="BL1045" s="3">
        <v>0</v>
      </c>
      <c r="BM1045" s="3">
        <v>0</v>
      </c>
      <c r="BN1045" s="3">
        <v>0</v>
      </c>
      <c r="BO1045" s="3">
        <v>0</v>
      </c>
      <c r="BP1045" s="3">
        <v>0</v>
      </c>
      <c r="BQ1045" s="3">
        <v>0</v>
      </c>
      <c r="BR1045" s="3">
        <v>0</v>
      </c>
      <c r="BS1045" s="3">
        <v>0</v>
      </c>
      <c r="BT1045" s="3">
        <v>0</v>
      </c>
      <c r="BU1045" s="3">
        <v>0</v>
      </c>
    </row>
    <row r="1046" spans="1:73" x14ac:dyDescent="0.25">
      <c r="A1046" s="2" t="s">
        <v>133</v>
      </c>
      <c r="B1046" s="4">
        <v>60</v>
      </c>
      <c r="C1046" s="4">
        <v>1</v>
      </c>
      <c r="D1046" s="4">
        <v>1</v>
      </c>
      <c r="E1046" s="4">
        <v>1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2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1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3">
        <v>0</v>
      </c>
      <c r="BB1046" s="3">
        <v>0</v>
      </c>
      <c r="BC1046" s="3">
        <v>0</v>
      </c>
      <c r="BD1046" s="3">
        <v>0</v>
      </c>
      <c r="BE1046" s="3">
        <v>0</v>
      </c>
      <c r="BF1046" s="3">
        <v>0</v>
      </c>
      <c r="BG1046" s="3">
        <v>0</v>
      </c>
      <c r="BH1046" s="3">
        <v>0</v>
      </c>
      <c r="BI1046" s="3">
        <v>0</v>
      </c>
      <c r="BJ1046" s="3">
        <v>0</v>
      </c>
      <c r="BK1046" s="3">
        <v>0</v>
      </c>
      <c r="BL1046" s="3">
        <v>0</v>
      </c>
      <c r="BM1046" s="3">
        <v>0</v>
      </c>
      <c r="BN1046" s="3">
        <v>0</v>
      </c>
      <c r="BO1046" s="3">
        <v>0</v>
      </c>
      <c r="BP1046" s="3">
        <v>0</v>
      </c>
      <c r="BQ1046" s="3">
        <v>0</v>
      </c>
      <c r="BR1046" s="3">
        <v>0</v>
      </c>
      <c r="BS1046" s="3">
        <v>0</v>
      </c>
      <c r="BT1046" s="3">
        <v>1</v>
      </c>
      <c r="BU1046" s="3">
        <v>0</v>
      </c>
    </row>
    <row r="1047" spans="1:73" x14ac:dyDescent="0.25">
      <c r="A1047" s="2" t="s">
        <v>133</v>
      </c>
      <c r="B1047" s="4">
        <v>60</v>
      </c>
      <c r="C1047" s="4">
        <v>1</v>
      </c>
      <c r="D1047" s="4">
        <v>1</v>
      </c>
      <c r="E1047" s="4">
        <v>2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1</v>
      </c>
      <c r="N1047" s="3">
        <v>0</v>
      </c>
      <c r="O1047" s="3">
        <v>0</v>
      </c>
      <c r="P1047" s="3">
        <v>1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1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1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>
        <v>0</v>
      </c>
      <c r="BD1047" s="3">
        <v>0</v>
      </c>
      <c r="BE1047" s="3">
        <v>0</v>
      </c>
      <c r="BF1047" s="3">
        <v>0</v>
      </c>
      <c r="BG1047" s="3">
        <v>0</v>
      </c>
      <c r="BH1047" s="3">
        <v>0</v>
      </c>
      <c r="BI1047" s="3">
        <v>0</v>
      </c>
      <c r="BJ1047" s="3">
        <v>0</v>
      </c>
      <c r="BK1047" s="3">
        <v>0</v>
      </c>
      <c r="BL1047" s="3">
        <v>0</v>
      </c>
      <c r="BM1047" s="3">
        <v>0</v>
      </c>
      <c r="BN1047" s="3">
        <v>0</v>
      </c>
      <c r="BO1047" s="3">
        <v>0</v>
      </c>
      <c r="BP1047" s="3">
        <v>0</v>
      </c>
      <c r="BQ1047" s="3">
        <v>0</v>
      </c>
      <c r="BR1047" s="3">
        <v>0</v>
      </c>
      <c r="BS1047" s="3">
        <v>0</v>
      </c>
      <c r="BT1047" s="3">
        <v>0</v>
      </c>
      <c r="BU1047" s="3">
        <v>0</v>
      </c>
    </row>
    <row r="1048" spans="1:73" x14ac:dyDescent="0.25">
      <c r="A1048" s="2" t="s">
        <v>133</v>
      </c>
      <c r="B1048" s="4">
        <v>60</v>
      </c>
      <c r="C1048" s="4">
        <v>1</v>
      </c>
      <c r="D1048" s="4">
        <v>1</v>
      </c>
      <c r="E1048" s="4">
        <v>3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1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1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1</v>
      </c>
      <c r="AU1048" s="3">
        <v>0</v>
      </c>
      <c r="AV1048" s="3">
        <v>0</v>
      </c>
      <c r="AW1048" s="3">
        <v>1</v>
      </c>
      <c r="AX1048" s="3">
        <v>0</v>
      </c>
      <c r="AY1048" s="3">
        <v>0</v>
      </c>
      <c r="AZ1048" s="3">
        <v>0</v>
      </c>
      <c r="BA1048" s="3">
        <v>1</v>
      </c>
      <c r="BB1048" s="3">
        <v>0</v>
      </c>
      <c r="BC1048" s="3">
        <v>0</v>
      </c>
      <c r="BD1048" s="3">
        <v>0</v>
      </c>
      <c r="BE1048" s="3">
        <v>0</v>
      </c>
      <c r="BF1048" s="3">
        <v>0</v>
      </c>
      <c r="BG1048" s="3">
        <v>0</v>
      </c>
      <c r="BH1048" s="3">
        <v>0</v>
      </c>
      <c r="BI1048" s="3">
        <v>0</v>
      </c>
      <c r="BJ1048" s="3">
        <v>0</v>
      </c>
      <c r="BK1048" s="3">
        <v>1</v>
      </c>
      <c r="BL1048" s="3">
        <v>1</v>
      </c>
      <c r="BM1048" s="3">
        <v>0</v>
      </c>
      <c r="BN1048" s="3">
        <v>0</v>
      </c>
      <c r="BO1048" s="3">
        <v>0</v>
      </c>
      <c r="BP1048" s="3">
        <v>0</v>
      </c>
      <c r="BQ1048" s="3">
        <v>0</v>
      </c>
      <c r="BR1048" s="3">
        <v>0</v>
      </c>
      <c r="BS1048" s="3">
        <v>0</v>
      </c>
      <c r="BT1048" s="3">
        <v>0</v>
      </c>
      <c r="BU1048" s="3">
        <v>0</v>
      </c>
    </row>
    <row r="1049" spans="1:73" x14ac:dyDescent="0.25">
      <c r="A1049" s="2" t="s">
        <v>133</v>
      </c>
      <c r="B1049" s="4">
        <v>60</v>
      </c>
      <c r="C1049" s="4">
        <v>1</v>
      </c>
      <c r="D1049" s="4">
        <v>2</v>
      </c>
      <c r="E1049" s="4">
        <v>1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3">
        <v>0</v>
      </c>
      <c r="BB1049" s="3">
        <v>0</v>
      </c>
      <c r="BC1049" s="3">
        <v>0</v>
      </c>
      <c r="BD1049" s="3">
        <v>0</v>
      </c>
      <c r="BE1049" s="3">
        <v>0</v>
      </c>
      <c r="BF1049" s="3">
        <v>0</v>
      </c>
      <c r="BG1049" s="3">
        <v>0</v>
      </c>
      <c r="BH1049" s="3">
        <v>0</v>
      </c>
      <c r="BI1049" s="3">
        <v>0</v>
      </c>
      <c r="BJ1049" s="3">
        <v>0</v>
      </c>
      <c r="BK1049" s="3">
        <v>0</v>
      </c>
      <c r="BL1049" s="3">
        <v>0</v>
      </c>
      <c r="BM1049" s="3">
        <v>0</v>
      </c>
      <c r="BN1049" s="3">
        <v>0</v>
      </c>
      <c r="BO1049" s="3">
        <v>0</v>
      </c>
      <c r="BP1049" s="3">
        <v>0</v>
      </c>
      <c r="BQ1049" s="3">
        <v>0</v>
      </c>
      <c r="BR1049" s="3">
        <v>0</v>
      </c>
      <c r="BS1049" s="3">
        <v>0</v>
      </c>
      <c r="BT1049" s="3">
        <v>0</v>
      </c>
      <c r="BU1049" s="3">
        <v>0</v>
      </c>
    </row>
    <row r="1050" spans="1:73" x14ac:dyDescent="0.25">
      <c r="A1050" s="2" t="s">
        <v>133</v>
      </c>
      <c r="B1050" s="4">
        <v>60</v>
      </c>
      <c r="C1050" s="4">
        <v>1</v>
      </c>
      <c r="D1050" s="4">
        <v>2</v>
      </c>
      <c r="E1050" s="4">
        <v>2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0</v>
      </c>
      <c r="BB1050" s="3">
        <v>0</v>
      </c>
      <c r="BC1050" s="3">
        <v>0</v>
      </c>
      <c r="BD1050" s="3">
        <v>0</v>
      </c>
      <c r="BE1050" s="3">
        <v>0</v>
      </c>
      <c r="BF1050" s="3">
        <v>0</v>
      </c>
      <c r="BG1050" s="3">
        <v>0</v>
      </c>
      <c r="BH1050" s="3">
        <v>0</v>
      </c>
      <c r="BI1050" s="3">
        <v>0</v>
      </c>
      <c r="BJ1050" s="3">
        <v>0</v>
      </c>
      <c r="BK1050" s="3">
        <v>0</v>
      </c>
      <c r="BL1050" s="3">
        <v>0</v>
      </c>
      <c r="BM1050" s="3">
        <v>0</v>
      </c>
      <c r="BN1050" s="3">
        <v>0</v>
      </c>
      <c r="BO1050" s="3">
        <v>0</v>
      </c>
      <c r="BP1050" s="3">
        <v>0</v>
      </c>
      <c r="BQ1050" s="3">
        <v>0</v>
      </c>
      <c r="BR1050" s="3">
        <v>0</v>
      </c>
      <c r="BS1050" s="3">
        <v>0</v>
      </c>
      <c r="BT1050" s="3">
        <v>0</v>
      </c>
      <c r="BU1050" s="3">
        <v>0</v>
      </c>
    </row>
    <row r="1051" spans="1:73" x14ac:dyDescent="0.25">
      <c r="A1051" s="2" t="s">
        <v>133</v>
      </c>
      <c r="B1051" s="4">
        <v>60</v>
      </c>
      <c r="C1051" s="4">
        <v>1</v>
      </c>
      <c r="D1051" s="4">
        <v>2</v>
      </c>
      <c r="E1051" s="4">
        <v>3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1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0</v>
      </c>
      <c r="BB1051" s="3">
        <v>0</v>
      </c>
      <c r="BC1051" s="3">
        <v>0</v>
      </c>
      <c r="BD1051" s="3">
        <v>0</v>
      </c>
      <c r="BE1051" s="3">
        <v>0</v>
      </c>
      <c r="BF1051" s="3">
        <v>0</v>
      </c>
      <c r="BG1051" s="3">
        <v>0</v>
      </c>
      <c r="BH1051" s="3">
        <v>0</v>
      </c>
      <c r="BI1051" s="3">
        <v>0</v>
      </c>
      <c r="BJ1051" s="3">
        <v>0</v>
      </c>
      <c r="BK1051" s="3">
        <v>0</v>
      </c>
      <c r="BL1051" s="3">
        <v>0</v>
      </c>
      <c r="BM1051" s="3">
        <v>0</v>
      </c>
      <c r="BN1051" s="3">
        <v>0</v>
      </c>
      <c r="BO1051" s="3">
        <v>0</v>
      </c>
      <c r="BP1051" s="3">
        <v>0</v>
      </c>
      <c r="BQ1051" s="3">
        <v>0</v>
      </c>
      <c r="BR1051" s="3">
        <v>1</v>
      </c>
      <c r="BS1051" s="3">
        <v>0</v>
      </c>
      <c r="BT1051" s="3">
        <v>0</v>
      </c>
      <c r="BU1051" s="3">
        <v>0</v>
      </c>
    </row>
    <row r="1052" spans="1:73" x14ac:dyDescent="0.25">
      <c r="A1052" s="2" t="s">
        <v>133</v>
      </c>
      <c r="B1052" s="4">
        <v>60</v>
      </c>
      <c r="C1052" s="4">
        <v>1</v>
      </c>
      <c r="D1052" s="4">
        <v>3</v>
      </c>
      <c r="E1052" s="4">
        <v>1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1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0</v>
      </c>
      <c r="BD1052" s="3">
        <v>0</v>
      </c>
      <c r="BE1052" s="3">
        <v>0</v>
      </c>
      <c r="BF1052" s="3">
        <v>0</v>
      </c>
      <c r="BG1052" s="3">
        <v>0</v>
      </c>
      <c r="BH1052" s="3">
        <v>0</v>
      </c>
      <c r="BI1052" s="3">
        <v>0</v>
      </c>
      <c r="BJ1052" s="3">
        <v>0</v>
      </c>
      <c r="BK1052" s="3">
        <v>0</v>
      </c>
      <c r="BL1052" s="3">
        <v>0</v>
      </c>
      <c r="BM1052" s="3">
        <v>0</v>
      </c>
      <c r="BN1052" s="3">
        <v>0</v>
      </c>
      <c r="BO1052" s="3">
        <v>0</v>
      </c>
      <c r="BP1052" s="3">
        <v>0</v>
      </c>
      <c r="BQ1052" s="3">
        <v>0</v>
      </c>
      <c r="BR1052" s="3">
        <v>0</v>
      </c>
      <c r="BS1052" s="3">
        <v>0</v>
      </c>
      <c r="BT1052" s="3">
        <v>0</v>
      </c>
      <c r="BU1052" s="3">
        <v>0</v>
      </c>
    </row>
    <row r="1053" spans="1:73" x14ac:dyDescent="0.25">
      <c r="A1053" s="2" t="s">
        <v>133</v>
      </c>
      <c r="B1053" s="4">
        <v>60</v>
      </c>
      <c r="C1053" s="4">
        <v>1</v>
      </c>
      <c r="D1053" s="4">
        <v>3</v>
      </c>
      <c r="E1053" s="4">
        <v>2</v>
      </c>
      <c r="F1053" s="3">
        <v>0</v>
      </c>
      <c r="G1053" s="3">
        <v>0</v>
      </c>
      <c r="H1053" s="3">
        <v>0</v>
      </c>
      <c r="I1053" s="3">
        <v>1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1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1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>
        <v>0</v>
      </c>
      <c r="BD1053" s="3">
        <v>0</v>
      </c>
      <c r="BE1053" s="3">
        <v>0</v>
      </c>
      <c r="BF1053" s="3">
        <v>0</v>
      </c>
      <c r="BG1053" s="3">
        <v>0</v>
      </c>
      <c r="BH1053" s="3">
        <v>0</v>
      </c>
      <c r="BI1053" s="3">
        <v>0</v>
      </c>
      <c r="BJ1053" s="3">
        <v>0</v>
      </c>
      <c r="BK1053" s="3">
        <v>0</v>
      </c>
      <c r="BL1053" s="3">
        <v>0</v>
      </c>
      <c r="BM1053" s="3">
        <v>0</v>
      </c>
      <c r="BN1053" s="3">
        <v>0</v>
      </c>
      <c r="BO1053" s="3">
        <v>0</v>
      </c>
      <c r="BP1053" s="3">
        <v>0</v>
      </c>
      <c r="BQ1053" s="3">
        <v>0</v>
      </c>
      <c r="BR1053" s="3">
        <v>0</v>
      </c>
      <c r="BS1053" s="3">
        <v>0</v>
      </c>
      <c r="BT1053" s="3">
        <v>0</v>
      </c>
      <c r="BU1053" s="3">
        <v>0</v>
      </c>
    </row>
    <row r="1054" spans="1:73" x14ac:dyDescent="0.25">
      <c r="A1054" s="2" t="s">
        <v>133</v>
      </c>
      <c r="B1054" s="4">
        <v>60</v>
      </c>
      <c r="C1054" s="4">
        <v>1</v>
      </c>
      <c r="D1054" s="4">
        <v>3</v>
      </c>
      <c r="E1054" s="4">
        <v>3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3">
        <v>0</v>
      </c>
      <c r="BD1054" s="3">
        <v>0</v>
      </c>
      <c r="BE1054" s="3">
        <v>0</v>
      </c>
      <c r="BF1054" s="3">
        <v>0</v>
      </c>
      <c r="BG1054" s="3">
        <v>0</v>
      </c>
      <c r="BH1054" s="3">
        <v>0</v>
      </c>
      <c r="BI1054" s="3">
        <v>0</v>
      </c>
      <c r="BJ1054" s="3">
        <v>0</v>
      </c>
      <c r="BK1054" s="3">
        <v>0</v>
      </c>
      <c r="BL1054" s="3">
        <v>0</v>
      </c>
      <c r="BM1054" s="3">
        <v>0</v>
      </c>
      <c r="BN1054" s="3">
        <v>0</v>
      </c>
      <c r="BO1054" s="3">
        <v>0</v>
      </c>
      <c r="BP1054" s="3">
        <v>0</v>
      </c>
      <c r="BQ1054" s="3">
        <v>0</v>
      </c>
      <c r="BR1054" s="3">
        <v>0</v>
      </c>
      <c r="BS1054" s="3">
        <v>0</v>
      </c>
      <c r="BT1054" s="3">
        <v>0</v>
      </c>
      <c r="BU1054" s="3">
        <v>0</v>
      </c>
    </row>
    <row r="1055" spans="1:73" x14ac:dyDescent="0.25">
      <c r="A1055" s="2" t="s">
        <v>133</v>
      </c>
      <c r="B1055" s="4">
        <v>60</v>
      </c>
      <c r="C1055" s="4">
        <v>2</v>
      </c>
      <c r="D1055" s="4">
        <v>1</v>
      </c>
      <c r="E1055" s="4">
        <v>1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1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1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1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0</v>
      </c>
      <c r="BB1055" s="3">
        <v>0</v>
      </c>
      <c r="BC1055" s="3">
        <v>0</v>
      </c>
      <c r="BD1055" s="3">
        <v>0</v>
      </c>
      <c r="BE1055" s="3">
        <v>0</v>
      </c>
      <c r="BF1055" s="3">
        <v>0</v>
      </c>
      <c r="BG1055" s="3">
        <v>0</v>
      </c>
      <c r="BH1055" s="3">
        <v>0</v>
      </c>
      <c r="BI1055" s="3">
        <v>0</v>
      </c>
      <c r="BJ1055" s="3">
        <v>0</v>
      </c>
      <c r="BK1055" s="3">
        <v>0</v>
      </c>
      <c r="BL1055" s="3">
        <v>0</v>
      </c>
      <c r="BM1055" s="3">
        <v>0</v>
      </c>
      <c r="BN1055" s="3">
        <v>0</v>
      </c>
      <c r="BO1055" s="3">
        <v>0</v>
      </c>
      <c r="BP1055" s="3">
        <v>0</v>
      </c>
      <c r="BQ1055" s="3">
        <v>0</v>
      </c>
      <c r="BR1055" s="3">
        <v>0</v>
      </c>
      <c r="BS1055" s="3">
        <v>0</v>
      </c>
      <c r="BT1055" s="3">
        <v>0</v>
      </c>
      <c r="BU1055" s="3">
        <v>0</v>
      </c>
    </row>
    <row r="1056" spans="1:73" x14ac:dyDescent="0.25">
      <c r="A1056" s="2" t="s">
        <v>133</v>
      </c>
      <c r="B1056" s="4">
        <v>60</v>
      </c>
      <c r="C1056" s="4">
        <v>2</v>
      </c>
      <c r="D1056" s="4">
        <v>1</v>
      </c>
      <c r="E1056" s="4">
        <v>2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2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0</v>
      </c>
      <c r="BB1056" s="3">
        <v>0</v>
      </c>
      <c r="BC1056" s="3">
        <v>0</v>
      </c>
      <c r="BD1056" s="3">
        <v>0</v>
      </c>
      <c r="BE1056" s="3">
        <v>0</v>
      </c>
      <c r="BF1056" s="3">
        <v>0</v>
      </c>
      <c r="BG1056" s="3">
        <v>0</v>
      </c>
      <c r="BH1056" s="3">
        <v>0</v>
      </c>
      <c r="BI1056" s="3">
        <v>0</v>
      </c>
      <c r="BJ1056" s="3">
        <v>0</v>
      </c>
      <c r="BK1056" s="3">
        <v>0</v>
      </c>
      <c r="BL1056" s="3">
        <v>1</v>
      </c>
      <c r="BM1056" s="3">
        <v>0</v>
      </c>
      <c r="BN1056" s="3">
        <v>0</v>
      </c>
      <c r="BO1056" s="3">
        <v>0</v>
      </c>
      <c r="BP1056" s="3">
        <v>0</v>
      </c>
      <c r="BQ1056" s="3">
        <v>0</v>
      </c>
      <c r="BR1056" s="3">
        <v>0</v>
      </c>
      <c r="BS1056" s="3">
        <v>0</v>
      </c>
      <c r="BT1056" s="3">
        <v>0</v>
      </c>
      <c r="BU1056" s="3">
        <v>0</v>
      </c>
    </row>
    <row r="1057" spans="1:73" x14ac:dyDescent="0.25">
      <c r="A1057" s="2" t="s">
        <v>133</v>
      </c>
      <c r="B1057" s="4">
        <v>60</v>
      </c>
      <c r="C1057" s="4">
        <v>2</v>
      </c>
      <c r="D1057" s="4">
        <v>1</v>
      </c>
      <c r="E1057" s="4">
        <v>3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1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1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>
        <v>0</v>
      </c>
      <c r="BD1057" s="3">
        <v>0</v>
      </c>
      <c r="BE1057" s="3">
        <v>0</v>
      </c>
      <c r="BF1057" s="3">
        <v>0</v>
      </c>
      <c r="BG1057" s="3">
        <v>0</v>
      </c>
      <c r="BH1057" s="3">
        <v>0</v>
      </c>
      <c r="BI1057" s="3">
        <v>0</v>
      </c>
      <c r="BJ1057" s="3">
        <v>0</v>
      </c>
      <c r="BK1057" s="3">
        <v>0</v>
      </c>
      <c r="BL1057" s="3">
        <v>0</v>
      </c>
      <c r="BM1057" s="3">
        <v>0</v>
      </c>
      <c r="BN1057" s="3">
        <v>0</v>
      </c>
      <c r="BO1057" s="3">
        <v>0</v>
      </c>
      <c r="BP1057" s="3">
        <v>0</v>
      </c>
      <c r="BQ1057" s="3">
        <v>0</v>
      </c>
      <c r="BR1057" s="3">
        <v>0</v>
      </c>
      <c r="BS1057" s="3">
        <v>0</v>
      </c>
      <c r="BT1057" s="3">
        <v>0</v>
      </c>
      <c r="BU1057" s="3">
        <v>0</v>
      </c>
    </row>
    <row r="1058" spans="1:73" x14ac:dyDescent="0.25">
      <c r="A1058" s="2" t="s">
        <v>133</v>
      </c>
      <c r="B1058" s="4">
        <v>60</v>
      </c>
      <c r="C1058" s="4">
        <v>2</v>
      </c>
      <c r="D1058" s="4">
        <v>2</v>
      </c>
      <c r="E1058" s="4">
        <v>1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0</v>
      </c>
      <c r="BB1058" s="3">
        <v>0</v>
      </c>
      <c r="BC1058" s="3">
        <v>0</v>
      </c>
      <c r="BD1058" s="3">
        <v>0</v>
      </c>
      <c r="BE1058" s="3">
        <v>0</v>
      </c>
      <c r="BF1058" s="3">
        <v>0</v>
      </c>
      <c r="BG1058" s="3">
        <v>0</v>
      </c>
      <c r="BH1058" s="3">
        <v>0</v>
      </c>
      <c r="BI1058" s="3">
        <v>0</v>
      </c>
      <c r="BJ1058" s="3">
        <v>0</v>
      </c>
      <c r="BK1058" s="3">
        <v>0</v>
      </c>
      <c r="BL1058" s="3">
        <v>0</v>
      </c>
      <c r="BM1058" s="3">
        <v>0</v>
      </c>
      <c r="BN1058" s="3">
        <v>0</v>
      </c>
      <c r="BO1058" s="3">
        <v>0</v>
      </c>
      <c r="BP1058" s="3">
        <v>0</v>
      </c>
      <c r="BQ1058" s="3">
        <v>0</v>
      </c>
      <c r="BR1058" s="3">
        <v>0</v>
      </c>
      <c r="BS1058" s="3">
        <v>0</v>
      </c>
      <c r="BT1058" s="3">
        <v>0</v>
      </c>
      <c r="BU1058" s="3">
        <v>0</v>
      </c>
    </row>
    <row r="1059" spans="1:73" x14ac:dyDescent="0.25">
      <c r="A1059" s="2" t="s">
        <v>133</v>
      </c>
      <c r="B1059" s="4">
        <v>60</v>
      </c>
      <c r="C1059" s="4">
        <v>2</v>
      </c>
      <c r="D1059" s="4">
        <v>2</v>
      </c>
      <c r="E1059" s="4">
        <v>2</v>
      </c>
      <c r="F1059" s="3">
        <v>0</v>
      </c>
      <c r="G1059" s="3">
        <v>0</v>
      </c>
      <c r="H1059" s="3">
        <v>0</v>
      </c>
      <c r="I1059" s="3">
        <v>0</v>
      </c>
      <c r="J1059" s="3">
        <v>1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0</v>
      </c>
      <c r="BB1059" s="3">
        <v>0</v>
      </c>
      <c r="BC1059" s="3">
        <v>0</v>
      </c>
      <c r="BD1059" s="3">
        <v>0</v>
      </c>
      <c r="BE1059" s="3">
        <v>0</v>
      </c>
      <c r="BF1059" s="3">
        <v>0</v>
      </c>
      <c r="BG1059" s="3">
        <v>0</v>
      </c>
      <c r="BH1059" s="3">
        <v>0</v>
      </c>
      <c r="BI1059" s="3">
        <v>0</v>
      </c>
      <c r="BJ1059" s="3">
        <v>0</v>
      </c>
      <c r="BK1059" s="3">
        <v>0</v>
      </c>
      <c r="BL1059" s="3">
        <v>0</v>
      </c>
      <c r="BM1059" s="3">
        <v>0</v>
      </c>
      <c r="BN1059" s="3">
        <v>0</v>
      </c>
      <c r="BO1059" s="3">
        <v>0</v>
      </c>
      <c r="BP1059" s="3">
        <v>0</v>
      </c>
      <c r="BQ1059" s="3">
        <v>0</v>
      </c>
      <c r="BR1059" s="3">
        <v>0</v>
      </c>
      <c r="BS1059" s="3">
        <v>0</v>
      </c>
      <c r="BT1059" s="3">
        <v>0</v>
      </c>
      <c r="BU1059" s="3">
        <v>0</v>
      </c>
    </row>
    <row r="1060" spans="1:73" x14ac:dyDescent="0.25">
      <c r="A1060" s="2" t="s">
        <v>133</v>
      </c>
      <c r="B1060" s="4">
        <v>60</v>
      </c>
      <c r="C1060" s="4">
        <v>2</v>
      </c>
      <c r="D1060" s="4">
        <v>2</v>
      </c>
      <c r="E1060" s="4">
        <v>3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1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0</v>
      </c>
      <c r="BB1060" s="3">
        <v>0</v>
      </c>
      <c r="BC1060" s="3">
        <v>0</v>
      </c>
      <c r="BD1060" s="3">
        <v>0</v>
      </c>
      <c r="BE1060" s="3">
        <v>0</v>
      </c>
      <c r="BF1060" s="3">
        <v>0</v>
      </c>
      <c r="BG1060" s="3">
        <v>0</v>
      </c>
      <c r="BH1060" s="3">
        <v>0</v>
      </c>
      <c r="BI1060" s="3">
        <v>0</v>
      </c>
      <c r="BJ1060" s="3">
        <v>0</v>
      </c>
      <c r="BK1060" s="3">
        <v>0</v>
      </c>
      <c r="BL1060" s="3">
        <v>0</v>
      </c>
      <c r="BM1060" s="3">
        <v>0</v>
      </c>
      <c r="BN1060" s="3">
        <v>0</v>
      </c>
      <c r="BO1060" s="3">
        <v>0</v>
      </c>
      <c r="BP1060" s="3">
        <v>0</v>
      </c>
      <c r="BQ1060" s="3">
        <v>0</v>
      </c>
      <c r="BR1060" s="3">
        <v>0</v>
      </c>
      <c r="BS1060" s="3">
        <v>0</v>
      </c>
      <c r="BT1060" s="3">
        <v>0</v>
      </c>
      <c r="BU1060" s="3">
        <v>0</v>
      </c>
    </row>
    <row r="1061" spans="1:73" x14ac:dyDescent="0.25">
      <c r="A1061" s="2" t="s">
        <v>133</v>
      </c>
      <c r="B1061" s="4">
        <v>60</v>
      </c>
      <c r="C1061" s="4">
        <v>2</v>
      </c>
      <c r="D1061" s="4">
        <v>3</v>
      </c>
      <c r="E1061" s="4">
        <v>1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1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0</v>
      </c>
      <c r="BD1061" s="3">
        <v>0</v>
      </c>
      <c r="BE1061" s="3">
        <v>1</v>
      </c>
      <c r="BF1061" s="3">
        <v>0</v>
      </c>
      <c r="BG1061" s="3">
        <v>0</v>
      </c>
      <c r="BH1061" s="3">
        <v>0</v>
      </c>
      <c r="BI1061" s="3">
        <v>0</v>
      </c>
      <c r="BJ1061" s="3">
        <v>1</v>
      </c>
      <c r="BK1061" s="3">
        <v>0</v>
      </c>
      <c r="BL1061" s="3">
        <v>0</v>
      </c>
      <c r="BM1061" s="3">
        <v>0</v>
      </c>
      <c r="BN1061" s="3">
        <v>0</v>
      </c>
      <c r="BO1061" s="3">
        <v>0</v>
      </c>
      <c r="BP1061" s="3">
        <v>0</v>
      </c>
      <c r="BQ1061" s="3">
        <v>0</v>
      </c>
      <c r="BR1061" s="3">
        <v>0</v>
      </c>
      <c r="BS1061" s="3">
        <v>0</v>
      </c>
      <c r="BT1061" s="3">
        <v>1</v>
      </c>
      <c r="BU1061" s="3">
        <v>0</v>
      </c>
    </row>
    <row r="1062" spans="1:73" x14ac:dyDescent="0.25">
      <c r="A1062" s="2" t="s">
        <v>133</v>
      </c>
      <c r="B1062" s="4">
        <v>60</v>
      </c>
      <c r="C1062" s="4">
        <v>2</v>
      </c>
      <c r="D1062" s="4">
        <v>3</v>
      </c>
      <c r="E1062" s="4">
        <v>2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1</v>
      </c>
      <c r="AG1062" s="3">
        <v>0</v>
      </c>
      <c r="AH1062" s="3">
        <v>0</v>
      </c>
      <c r="AI1062" s="3">
        <v>0</v>
      </c>
      <c r="AJ1062" s="3">
        <v>1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0</v>
      </c>
      <c r="BD1062" s="3">
        <v>0</v>
      </c>
      <c r="BE1062" s="3">
        <v>0</v>
      </c>
      <c r="BF1062" s="3">
        <v>0</v>
      </c>
      <c r="BG1062" s="3">
        <v>0</v>
      </c>
      <c r="BH1062" s="3">
        <v>0</v>
      </c>
      <c r="BI1062" s="3">
        <v>0</v>
      </c>
      <c r="BJ1062" s="3">
        <v>0</v>
      </c>
      <c r="BK1062" s="3">
        <v>0</v>
      </c>
      <c r="BL1062" s="3">
        <v>0</v>
      </c>
      <c r="BM1062" s="3">
        <v>0</v>
      </c>
      <c r="BN1062" s="3">
        <v>0</v>
      </c>
      <c r="BO1062" s="3">
        <v>0</v>
      </c>
      <c r="BP1062" s="3">
        <v>0</v>
      </c>
      <c r="BQ1062" s="3">
        <v>0</v>
      </c>
      <c r="BR1062" s="3">
        <v>0</v>
      </c>
      <c r="BS1062" s="3">
        <v>0</v>
      </c>
      <c r="BT1062" s="3">
        <v>1</v>
      </c>
      <c r="BU1062" s="3">
        <v>0</v>
      </c>
    </row>
    <row r="1063" spans="1:73" x14ac:dyDescent="0.25">
      <c r="A1063" s="2" t="s">
        <v>133</v>
      </c>
      <c r="B1063" s="4">
        <v>60</v>
      </c>
      <c r="C1063" s="4">
        <v>2</v>
      </c>
      <c r="D1063" s="4">
        <v>3</v>
      </c>
      <c r="E1063" s="4">
        <v>3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1</v>
      </c>
      <c r="AX1063" s="3">
        <v>0</v>
      </c>
      <c r="AY1063" s="3">
        <v>0</v>
      </c>
      <c r="AZ1063" s="3">
        <v>0</v>
      </c>
      <c r="BA1063" s="3">
        <v>0</v>
      </c>
      <c r="BB1063" s="3">
        <v>0</v>
      </c>
      <c r="BC1063" s="3">
        <v>0</v>
      </c>
      <c r="BD1063" s="3">
        <v>0</v>
      </c>
      <c r="BE1063" s="3">
        <v>0</v>
      </c>
      <c r="BF1063" s="3">
        <v>0</v>
      </c>
      <c r="BG1063" s="3">
        <v>0</v>
      </c>
      <c r="BH1063" s="3">
        <v>0</v>
      </c>
      <c r="BI1063" s="3">
        <v>0</v>
      </c>
      <c r="BJ1063" s="3">
        <v>0</v>
      </c>
      <c r="BK1063" s="3">
        <v>0</v>
      </c>
      <c r="BL1063" s="3">
        <v>0</v>
      </c>
      <c r="BM1063" s="3">
        <v>0</v>
      </c>
      <c r="BN1063" s="3">
        <v>0</v>
      </c>
      <c r="BO1063" s="3">
        <v>0</v>
      </c>
      <c r="BP1063" s="3">
        <v>0</v>
      </c>
      <c r="BQ1063" s="3">
        <v>0</v>
      </c>
      <c r="BR1063" s="3">
        <v>0</v>
      </c>
      <c r="BS1063" s="3">
        <v>0</v>
      </c>
      <c r="BT1063" s="3">
        <v>0</v>
      </c>
      <c r="BU1063" s="3">
        <v>0</v>
      </c>
    </row>
    <row r="1064" spans="1:73" x14ac:dyDescent="0.25">
      <c r="A1064" s="2" t="s">
        <v>134</v>
      </c>
      <c r="B1064" s="4">
        <v>61</v>
      </c>
      <c r="C1064" s="4">
        <v>1</v>
      </c>
      <c r="D1064" s="4">
        <v>1</v>
      </c>
      <c r="E1064" s="4">
        <v>1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1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1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2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0</v>
      </c>
      <c r="BD1064" s="3">
        <v>0</v>
      </c>
      <c r="BE1064" s="3">
        <v>0</v>
      </c>
      <c r="BF1064" s="3">
        <v>0</v>
      </c>
      <c r="BG1064" s="3">
        <v>0</v>
      </c>
      <c r="BH1064" s="3">
        <v>0</v>
      </c>
      <c r="BI1064" s="3">
        <v>0</v>
      </c>
      <c r="BJ1064" s="3">
        <v>0</v>
      </c>
      <c r="BK1064" s="3">
        <v>0</v>
      </c>
      <c r="BL1064" s="3">
        <v>1</v>
      </c>
      <c r="BM1064" s="3">
        <v>0</v>
      </c>
      <c r="BN1064" s="3">
        <v>0</v>
      </c>
      <c r="BO1064" s="3">
        <v>0</v>
      </c>
      <c r="BP1064" s="3">
        <v>0</v>
      </c>
      <c r="BQ1064" s="3">
        <v>0</v>
      </c>
      <c r="BR1064" s="3">
        <v>0</v>
      </c>
      <c r="BS1064" s="3">
        <v>0</v>
      </c>
      <c r="BT1064" s="3">
        <v>2</v>
      </c>
      <c r="BU1064" s="3">
        <v>0</v>
      </c>
    </row>
    <row r="1065" spans="1:73" x14ac:dyDescent="0.25">
      <c r="A1065" s="2" t="s">
        <v>134</v>
      </c>
      <c r="B1065" s="4">
        <v>61</v>
      </c>
      <c r="C1065" s="4">
        <v>1</v>
      </c>
      <c r="D1065" s="4">
        <v>1</v>
      </c>
      <c r="E1065" s="4">
        <v>2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1</v>
      </c>
      <c r="AF1065" s="3">
        <v>0</v>
      </c>
      <c r="AG1065" s="3">
        <v>0</v>
      </c>
      <c r="AH1065" s="3">
        <v>0</v>
      </c>
      <c r="AI1065" s="3">
        <v>0</v>
      </c>
      <c r="AJ1065" s="3">
        <v>1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3">
        <v>0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3">
        <v>0</v>
      </c>
      <c r="BB1065" s="3">
        <v>0</v>
      </c>
      <c r="BC1065" s="3">
        <v>0</v>
      </c>
      <c r="BD1065" s="3">
        <v>0</v>
      </c>
      <c r="BE1065" s="3">
        <v>0</v>
      </c>
      <c r="BF1065" s="3">
        <v>0</v>
      </c>
      <c r="BG1065" s="3">
        <v>0</v>
      </c>
      <c r="BH1065" s="3">
        <v>0</v>
      </c>
      <c r="BI1065" s="3">
        <v>0</v>
      </c>
      <c r="BJ1065" s="3">
        <v>0</v>
      </c>
      <c r="BK1065" s="3">
        <v>0</v>
      </c>
      <c r="BL1065" s="3">
        <v>1</v>
      </c>
      <c r="BM1065" s="3">
        <v>0</v>
      </c>
      <c r="BN1065" s="3">
        <v>0</v>
      </c>
      <c r="BO1065" s="3">
        <v>0</v>
      </c>
      <c r="BP1065" s="3">
        <v>1</v>
      </c>
      <c r="BQ1065" s="3">
        <v>0</v>
      </c>
      <c r="BR1065" s="3">
        <v>0</v>
      </c>
      <c r="BS1065" s="3">
        <v>0</v>
      </c>
      <c r="BT1065" s="3">
        <v>2</v>
      </c>
      <c r="BU1065" s="3">
        <v>0</v>
      </c>
    </row>
    <row r="1066" spans="1:73" x14ac:dyDescent="0.25">
      <c r="A1066" s="2" t="s">
        <v>134</v>
      </c>
      <c r="B1066" s="4">
        <v>61</v>
      </c>
      <c r="C1066" s="4">
        <v>1</v>
      </c>
      <c r="D1066" s="4">
        <v>1</v>
      </c>
      <c r="E1066" s="4">
        <v>3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0</v>
      </c>
      <c r="BD1066" s="3">
        <v>0</v>
      </c>
      <c r="BE1066" s="3">
        <v>0</v>
      </c>
      <c r="BF1066" s="3">
        <v>0</v>
      </c>
      <c r="BG1066" s="3">
        <v>0</v>
      </c>
      <c r="BH1066" s="3">
        <v>0</v>
      </c>
      <c r="BI1066" s="3">
        <v>0</v>
      </c>
      <c r="BJ1066" s="3">
        <v>0</v>
      </c>
      <c r="BK1066" s="3">
        <v>0</v>
      </c>
      <c r="BL1066" s="3">
        <v>0</v>
      </c>
      <c r="BM1066" s="3">
        <v>0</v>
      </c>
      <c r="BN1066" s="3">
        <v>0</v>
      </c>
      <c r="BO1066" s="3">
        <v>0</v>
      </c>
      <c r="BP1066" s="3">
        <v>0</v>
      </c>
      <c r="BQ1066" s="3">
        <v>0</v>
      </c>
      <c r="BR1066" s="3">
        <v>0</v>
      </c>
      <c r="BS1066" s="3">
        <v>0</v>
      </c>
      <c r="BT1066" s="3">
        <v>0</v>
      </c>
      <c r="BU1066" s="3">
        <v>0</v>
      </c>
    </row>
    <row r="1067" spans="1:73" x14ac:dyDescent="0.25">
      <c r="A1067" s="2" t="s">
        <v>134</v>
      </c>
      <c r="B1067" s="4">
        <v>61</v>
      </c>
      <c r="C1067" s="4">
        <v>1</v>
      </c>
      <c r="D1067" s="4">
        <v>2</v>
      </c>
      <c r="E1067" s="4">
        <v>1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  <c r="BC1067" s="3">
        <v>0</v>
      </c>
      <c r="BD1067" s="3">
        <v>0</v>
      </c>
      <c r="BE1067" s="3">
        <v>0</v>
      </c>
      <c r="BF1067" s="3">
        <v>0</v>
      </c>
      <c r="BG1067" s="3">
        <v>0</v>
      </c>
      <c r="BH1067" s="3">
        <v>0</v>
      </c>
      <c r="BI1067" s="3">
        <v>0</v>
      </c>
      <c r="BJ1067" s="3">
        <v>0</v>
      </c>
      <c r="BK1067" s="3">
        <v>0</v>
      </c>
      <c r="BL1067" s="3">
        <v>0</v>
      </c>
      <c r="BM1067" s="3">
        <v>0</v>
      </c>
      <c r="BN1067" s="3">
        <v>0</v>
      </c>
      <c r="BO1067" s="3">
        <v>0</v>
      </c>
      <c r="BP1067" s="3">
        <v>0</v>
      </c>
      <c r="BQ1067" s="3">
        <v>0</v>
      </c>
      <c r="BR1067" s="3">
        <v>0</v>
      </c>
      <c r="BS1067" s="3">
        <v>0</v>
      </c>
      <c r="BT1067" s="3">
        <v>0</v>
      </c>
      <c r="BU1067" s="3">
        <v>0</v>
      </c>
    </row>
    <row r="1068" spans="1:73" x14ac:dyDescent="0.25">
      <c r="A1068" s="2" t="s">
        <v>134</v>
      </c>
      <c r="B1068" s="4">
        <v>61</v>
      </c>
      <c r="C1068" s="4">
        <v>1</v>
      </c>
      <c r="D1068" s="4">
        <v>2</v>
      </c>
      <c r="E1068" s="4">
        <v>2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1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0</v>
      </c>
      <c r="BB1068" s="3">
        <v>0</v>
      </c>
      <c r="BC1068" s="3">
        <v>0</v>
      </c>
      <c r="BD1068" s="3">
        <v>0</v>
      </c>
      <c r="BE1068" s="3">
        <v>0</v>
      </c>
      <c r="BF1068" s="3">
        <v>0</v>
      </c>
      <c r="BG1068" s="3">
        <v>0</v>
      </c>
      <c r="BH1068" s="3">
        <v>0</v>
      </c>
      <c r="BI1068" s="3">
        <v>0</v>
      </c>
      <c r="BJ1068" s="3">
        <v>0</v>
      </c>
      <c r="BK1068" s="3">
        <v>0</v>
      </c>
      <c r="BL1068" s="3">
        <v>0</v>
      </c>
      <c r="BM1068" s="3">
        <v>0</v>
      </c>
      <c r="BN1068" s="3">
        <v>0</v>
      </c>
      <c r="BO1068" s="3">
        <v>0</v>
      </c>
      <c r="BP1068" s="3">
        <v>0</v>
      </c>
      <c r="BQ1068" s="3">
        <v>0</v>
      </c>
      <c r="BR1068" s="3">
        <v>0</v>
      </c>
      <c r="BS1068" s="3">
        <v>0</v>
      </c>
      <c r="BT1068" s="3">
        <v>0</v>
      </c>
      <c r="BU1068" s="3">
        <v>0</v>
      </c>
    </row>
    <row r="1069" spans="1:73" x14ac:dyDescent="0.25">
      <c r="A1069" s="2" t="s">
        <v>134</v>
      </c>
      <c r="B1069" s="4">
        <v>61</v>
      </c>
      <c r="C1069" s="4">
        <v>1</v>
      </c>
      <c r="D1069" s="4">
        <v>2</v>
      </c>
      <c r="E1069" s="4">
        <v>3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  <c r="AX1069" s="3">
        <v>0</v>
      </c>
      <c r="AY1069" s="3">
        <v>0</v>
      </c>
      <c r="AZ1069" s="3">
        <v>0</v>
      </c>
      <c r="BA1069" s="3">
        <v>0</v>
      </c>
      <c r="BB1069" s="3">
        <v>0</v>
      </c>
      <c r="BC1069" s="3">
        <v>0</v>
      </c>
      <c r="BD1069" s="3">
        <v>0</v>
      </c>
      <c r="BE1069" s="3">
        <v>0</v>
      </c>
      <c r="BF1069" s="3">
        <v>0</v>
      </c>
      <c r="BG1069" s="3">
        <v>0</v>
      </c>
      <c r="BH1069" s="3">
        <v>0</v>
      </c>
      <c r="BI1069" s="3">
        <v>0</v>
      </c>
      <c r="BJ1069" s="3">
        <v>0</v>
      </c>
      <c r="BK1069" s="3">
        <v>0</v>
      </c>
      <c r="BL1069" s="3">
        <v>0</v>
      </c>
      <c r="BM1069" s="3">
        <v>0</v>
      </c>
      <c r="BN1069" s="3">
        <v>0</v>
      </c>
      <c r="BO1069" s="3">
        <v>0</v>
      </c>
      <c r="BP1069" s="3">
        <v>0</v>
      </c>
      <c r="BQ1069" s="3">
        <v>0</v>
      </c>
      <c r="BR1069" s="3">
        <v>0</v>
      </c>
      <c r="BS1069" s="3">
        <v>0</v>
      </c>
      <c r="BT1069" s="3">
        <v>0</v>
      </c>
      <c r="BU1069" s="3">
        <v>0</v>
      </c>
    </row>
    <row r="1070" spans="1:73" x14ac:dyDescent="0.25">
      <c r="A1070" s="2" t="s">
        <v>134</v>
      </c>
      <c r="B1070" s="4">
        <v>61</v>
      </c>
      <c r="C1070" s="4">
        <v>1</v>
      </c>
      <c r="D1070" s="4">
        <v>3</v>
      </c>
      <c r="E1070" s="4">
        <v>1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0</v>
      </c>
      <c r="AY1070" s="3">
        <v>0</v>
      </c>
      <c r="AZ1070" s="3">
        <v>0</v>
      </c>
      <c r="BA1070" s="3">
        <v>0</v>
      </c>
      <c r="BB1070" s="3">
        <v>0</v>
      </c>
      <c r="BC1070" s="3">
        <v>0</v>
      </c>
      <c r="BD1070" s="3">
        <v>0</v>
      </c>
      <c r="BE1070" s="3">
        <v>0</v>
      </c>
      <c r="BF1070" s="3">
        <v>0</v>
      </c>
      <c r="BG1070" s="3">
        <v>0</v>
      </c>
      <c r="BH1070" s="3">
        <v>0</v>
      </c>
      <c r="BI1070" s="3">
        <v>0</v>
      </c>
      <c r="BJ1070" s="3">
        <v>0</v>
      </c>
      <c r="BK1070" s="3">
        <v>0</v>
      </c>
      <c r="BL1070" s="3">
        <v>0</v>
      </c>
      <c r="BM1070" s="3">
        <v>0</v>
      </c>
      <c r="BN1070" s="3">
        <v>0</v>
      </c>
      <c r="BO1070" s="3">
        <v>0</v>
      </c>
      <c r="BP1070" s="3">
        <v>0</v>
      </c>
      <c r="BQ1070" s="3">
        <v>0</v>
      </c>
      <c r="BR1070" s="3">
        <v>0</v>
      </c>
      <c r="BS1070" s="3">
        <v>0</v>
      </c>
      <c r="BT1070" s="3">
        <v>0</v>
      </c>
      <c r="BU1070" s="3">
        <v>0</v>
      </c>
    </row>
    <row r="1071" spans="1:73" x14ac:dyDescent="0.25">
      <c r="A1071" s="2" t="s">
        <v>134</v>
      </c>
      <c r="B1071" s="4">
        <v>61</v>
      </c>
      <c r="C1071" s="4">
        <v>1</v>
      </c>
      <c r="D1071" s="4">
        <v>3</v>
      </c>
      <c r="E1071" s="4">
        <v>2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1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0</v>
      </c>
      <c r="BB1071" s="3">
        <v>0</v>
      </c>
      <c r="BC1071" s="3">
        <v>0</v>
      </c>
      <c r="BD1071" s="3">
        <v>0</v>
      </c>
      <c r="BE1071" s="3">
        <v>0</v>
      </c>
      <c r="BF1071" s="3">
        <v>0</v>
      </c>
      <c r="BG1071" s="3">
        <v>0</v>
      </c>
      <c r="BH1071" s="3">
        <v>0</v>
      </c>
      <c r="BI1071" s="3">
        <v>0</v>
      </c>
      <c r="BJ1071" s="3">
        <v>0</v>
      </c>
      <c r="BK1071" s="3">
        <v>0</v>
      </c>
      <c r="BL1071" s="3">
        <v>0</v>
      </c>
      <c r="BM1071" s="3">
        <v>0</v>
      </c>
      <c r="BN1071" s="3">
        <v>0</v>
      </c>
      <c r="BO1071" s="3">
        <v>0</v>
      </c>
      <c r="BP1071" s="3">
        <v>0</v>
      </c>
      <c r="BQ1071" s="3">
        <v>0</v>
      </c>
      <c r="BR1071" s="3">
        <v>0</v>
      </c>
      <c r="BS1071" s="3">
        <v>0</v>
      </c>
      <c r="BT1071" s="3">
        <v>0</v>
      </c>
      <c r="BU1071" s="3">
        <v>0</v>
      </c>
    </row>
    <row r="1072" spans="1:73" x14ac:dyDescent="0.25">
      <c r="A1072" s="2" t="s">
        <v>134</v>
      </c>
      <c r="B1072" s="4">
        <v>61</v>
      </c>
      <c r="C1072" s="4">
        <v>1</v>
      </c>
      <c r="D1072" s="4">
        <v>3</v>
      </c>
      <c r="E1072" s="4">
        <v>3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1</v>
      </c>
      <c r="BB1072" s="3">
        <v>0</v>
      </c>
      <c r="BC1072" s="3">
        <v>0</v>
      </c>
      <c r="BD1072" s="3">
        <v>0</v>
      </c>
      <c r="BE1072" s="3">
        <v>0</v>
      </c>
      <c r="BF1072" s="3">
        <v>0</v>
      </c>
      <c r="BG1072" s="3">
        <v>0</v>
      </c>
      <c r="BH1072" s="3">
        <v>0</v>
      </c>
      <c r="BI1072" s="3">
        <v>0</v>
      </c>
      <c r="BJ1072" s="3">
        <v>0</v>
      </c>
      <c r="BK1072" s="3">
        <v>0</v>
      </c>
      <c r="BL1072" s="3">
        <v>0</v>
      </c>
      <c r="BM1072" s="3">
        <v>0</v>
      </c>
      <c r="BN1072" s="3">
        <v>0</v>
      </c>
      <c r="BO1072" s="3">
        <v>0</v>
      </c>
      <c r="BP1072" s="3">
        <v>0</v>
      </c>
      <c r="BQ1072" s="3">
        <v>0</v>
      </c>
      <c r="BR1072" s="3">
        <v>0</v>
      </c>
      <c r="BS1072" s="3">
        <v>0</v>
      </c>
      <c r="BT1072" s="3">
        <v>1</v>
      </c>
      <c r="BU1072" s="3">
        <v>0</v>
      </c>
    </row>
    <row r="1073" spans="1:73" x14ac:dyDescent="0.25">
      <c r="A1073" s="2" t="s">
        <v>134</v>
      </c>
      <c r="B1073" s="4">
        <v>61</v>
      </c>
      <c r="C1073" s="4">
        <v>2</v>
      </c>
      <c r="D1073" s="4">
        <v>1</v>
      </c>
      <c r="E1073" s="4">
        <v>1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1</v>
      </c>
      <c r="AF1073" s="3">
        <v>0</v>
      </c>
      <c r="AG1073" s="3">
        <v>0</v>
      </c>
      <c r="AH1073" s="3">
        <v>0</v>
      </c>
      <c r="AI1073" s="3">
        <v>0</v>
      </c>
      <c r="AJ1073" s="3">
        <v>2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  <c r="BA1073" s="3">
        <v>0</v>
      </c>
      <c r="BB1073" s="3">
        <v>0</v>
      </c>
      <c r="BC1073" s="3">
        <v>0</v>
      </c>
      <c r="BD1073" s="3">
        <v>0</v>
      </c>
      <c r="BE1073" s="3">
        <v>0</v>
      </c>
      <c r="BF1073" s="3">
        <v>0</v>
      </c>
      <c r="BG1073" s="3">
        <v>0</v>
      </c>
      <c r="BH1073" s="3">
        <v>0</v>
      </c>
      <c r="BI1073" s="3">
        <v>0</v>
      </c>
      <c r="BJ1073" s="3">
        <v>0</v>
      </c>
      <c r="BK1073" s="3">
        <v>0</v>
      </c>
      <c r="BL1073" s="3">
        <v>0</v>
      </c>
      <c r="BM1073" s="3">
        <v>0</v>
      </c>
      <c r="BN1073" s="3">
        <v>0</v>
      </c>
      <c r="BO1073" s="3">
        <v>0</v>
      </c>
      <c r="BP1073" s="3">
        <v>0</v>
      </c>
      <c r="BQ1073" s="3">
        <v>0</v>
      </c>
      <c r="BR1073" s="3">
        <v>0</v>
      </c>
      <c r="BS1073" s="3">
        <v>0</v>
      </c>
      <c r="BT1073" s="3">
        <v>0</v>
      </c>
      <c r="BU1073" s="3">
        <v>0</v>
      </c>
    </row>
    <row r="1074" spans="1:73" x14ac:dyDescent="0.25">
      <c r="A1074" s="2" t="s">
        <v>134</v>
      </c>
      <c r="B1074" s="4">
        <v>61</v>
      </c>
      <c r="C1074" s="4">
        <v>2</v>
      </c>
      <c r="D1074" s="4">
        <v>1</v>
      </c>
      <c r="E1074" s="4">
        <v>2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3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1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0</v>
      </c>
      <c r="BB1074" s="3">
        <v>0</v>
      </c>
      <c r="BC1074" s="3">
        <v>0</v>
      </c>
      <c r="BD1074" s="3">
        <v>0</v>
      </c>
      <c r="BE1074" s="3">
        <v>0</v>
      </c>
      <c r="BF1074" s="3">
        <v>0</v>
      </c>
      <c r="BG1074" s="3">
        <v>0</v>
      </c>
      <c r="BH1074" s="3">
        <v>0</v>
      </c>
      <c r="BI1074" s="3">
        <v>0</v>
      </c>
      <c r="BJ1074" s="3">
        <v>0</v>
      </c>
      <c r="BK1074" s="3">
        <v>0</v>
      </c>
      <c r="BL1074" s="3">
        <v>1</v>
      </c>
      <c r="BM1074" s="3">
        <v>0</v>
      </c>
      <c r="BN1074" s="3">
        <v>0</v>
      </c>
      <c r="BO1074" s="3">
        <v>0</v>
      </c>
      <c r="BP1074" s="3">
        <v>0</v>
      </c>
      <c r="BQ1074" s="3">
        <v>0</v>
      </c>
      <c r="BR1074" s="3">
        <v>0</v>
      </c>
      <c r="BS1074" s="3">
        <v>0</v>
      </c>
      <c r="BT1074" s="3">
        <v>1</v>
      </c>
      <c r="BU1074" s="3">
        <v>0</v>
      </c>
    </row>
    <row r="1075" spans="1:73" x14ac:dyDescent="0.25">
      <c r="A1075" s="2" t="s">
        <v>134</v>
      </c>
      <c r="B1075" s="4">
        <v>61</v>
      </c>
      <c r="C1075" s="4">
        <v>2</v>
      </c>
      <c r="D1075" s="4">
        <v>1</v>
      </c>
      <c r="E1075" s="4">
        <v>3</v>
      </c>
      <c r="F1075" s="3">
        <v>1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0</v>
      </c>
      <c r="AY1075" s="3">
        <v>0</v>
      </c>
      <c r="AZ1075" s="3">
        <v>0</v>
      </c>
      <c r="BA1075" s="3">
        <v>1</v>
      </c>
      <c r="BB1075" s="3">
        <v>0</v>
      </c>
      <c r="BC1075" s="3">
        <v>0</v>
      </c>
      <c r="BD1075" s="3">
        <v>0</v>
      </c>
      <c r="BE1075" s="3">
        <v>0</v>
      </c>
      <c r="BF1075" s="3">
        <v>0</v>
      </c>
      <c r="BG1075" s="3">
        <v>0</v>
      </c>
      <c r="BH1075" s="3">
        <v>0</v>
      </c>
      <c r="BI1075" s="3">
        <v>0</v>
      </c>
      <c r="BJ1075" s="3">
        <v>0</v>
      </c>
      <c r="BK1075" s="3">
        <v>0</v>
      </c>
      <c r="BL1075" s="3">
        <v>0</v>
      </c>
      <c r="BM1075" s="3">
        <v>0</v>
      </c>
      <c r="BN1075" s="3">
        <v>0</v>
      </c>
      <c r="BO1075" s="3">
        <v>0</v>
      </c>
      <c r="BP1075" s="3">
        <v>0</v>
      </c>
      <c r="BQ1075" s="3">
        <v>0</v>
      </c>
      <c r="BR1075" s="3">
        <v>0</v>
      </c>
      <c r="BS1075" s="3">
        <v>0</v>
      </c>
      <c r="BT1075" s="3">
        <v>0</v>
      </c>
      <c r="BU1075" s="3">
        <v>0</v>
      </c>
    </row>
    <row r="1076" spans="1:73" x14ac:dyDescent="0.25">
      <c r="A1076" s="2" t="s">
        <v>134</v>
      </c>
      <c r="B1076" s="4">
        <v>61</v>
      </c>
      <c r="C1076" s="4">
        <v>2</v>
      </c>
      <c r="D1076" s="4">
        <v>2</v>
      </c>
      <c r="E1076" s="4">
        <v>1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1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  <c r="BA1076" s="3">
        <v>0</v>
      </c>
      <c r="BB1076" s="3">
        <v>0</v>
      </c>
      <c r="BC1076" s="3">
        <v>0</v>
      </c>
      <c r="BD1076" s="3">
        <v>0</v>
      </c>
      <c r="BE1076" s="3">
        <v>0</v>
      </c>
      <c r="BF1076" s="3">
        <v>0</v>
      </c>
      <c r="BG1076" s="3">
        <v>0</v>
      </c>
      <c r="BH1076" s="3">
        <v>0</v>
      </c>
      <c r="BI1076" s="3">
        <v>0</v>
      </c>
      <c r="BJ1076" s="3">
        <v>0</v>
      </c>
      <c r="BK1076" s="3">
        <v>0</v>
      </c>
      <c r="BL1076" s="3">
        <v>0</v>
      </c>
      <c r="BM1076" s="3">
        <v>0</v>
      </c>
      <c r="BN1076" s="3">
        <v>0</v>
      </c>
      <c r="BO1076" s="3">
        <v>0</v>
      </c>
      <c r="BP1076" s="3">
        <v>0</v>
      </c>
      <c r="BQ1076" s="3">
        <v>0</v>
      </c>
      <c r="BR1076" s="3">
        <v>0</v>
      </c>
      <c r="BS1076" s="3">
        <v>0</v>
      </c>
      <c r="BT1076" s="3">
        <v>1</v>
      </c>
      <c r="BU1076" s="3">
        <v>0</v>
      </c>
    </row>
    <row r="1077" spans="1:73" x14ac:dyDescent="0.25">
      <c r="A1077" s="2" t="s">
        <v>134</v>
      </c>
      <c r="B1077" s="4">
        <v>61</v>
      </c>
      <c r="C1077" s="4">
        <v>2</v>
      </c>
      <c r="D1077" s="4">
        <v>2</v>
      </c>
      <c r="E1077" s="4">
        <v>2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  <c r="AX1077" s="3">
        <v>0</v>
      </c>
      <c r="AY1077" s="3">
        <v>0</v>
      </c>
      <c r="AZ1077" s="3">
        <v>0</v>
      </c>
      <c r="BA1077" s="3">
        <v>0</v>
      </c>
      <c r="BB1077" s="3">
        <v>0</v>
      </c>
      <c r="BC1077" s="3">
        <v>0</v>
      </c>
      <c r="BD1077" s="3">
        <v>0</v>
      </c>
      <c r="BE1077" s="3">
        <v>0</v>
      </c>
      <c r="BF1077" s="3">
        <v>0</v>
      </c>
      <c r="BG1077" s="3">
        <v>0</v>
      </c>
      <c r="BH1077" s="3">
        <v>0</v>
      </c>
      <c r="BI1077" s="3">
        <v>1</v>
      </c>
      <c r="BJ1077" s="3">
        <v>0</v>
      </c>
      <c r="BK1077" s="3">
        <v>0</v>
      </c>
      <c r="BL1077" s="3">
        <v>0</v>
      </c>
      <c r="BM1077" s="3">
        <v>0</v>
      </c>
      <c r="BN1077" s="3">
        <v>0</v>
      </c>
      <c r="BO1077" s="3">
        <v>0</v>
      </c>
      <c r="BP1077" s="3">
        <v>0</v>
      </c>
      <c r="BQ1077" s="3">
        <v>0</v>
      </c>
      <c r="BR1077" s="3">
        <v>0</v>
      </c>
      <c r="BS1077" s="3">
        <v>0</v>
      </c>
      <c r="BT1077" s="3">
        <v>0</v>
      </c>
      <c r="BU1077" s="3">
        <v>0</v>
      </c>
    </row>
    <row r="1078" spans="1:73" x14ac:dyDescent="0.25">
      <c r="A1078" s="2" t="s">
        <v>134</v>
      </c>
      <c r="B1078" s="4">
        <v>61</v>
      </c>
      <c r="C1078" s="4">
        <v>2</v>
      </c>
      <c r="D1078" s="4">
        <v>2</v>
      </c>
      <c r="E1078" s="4">
        <v>3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v>0</v>
      </c>
      <c r="BD1078" s="3">
        <v>0</v>
      </c>
      <c r="BE1078" s="3">
        <v>0</v>
      </c>
      <c r="BF1078" s="3">
        <v>0</v>
      </c>
      <c r="BG1078" s="3">
        <v>0</v>
      </c>
      <c r="BH1078" s="3">
        <v>0</v>
      </c>
      <c r="BI1078" s="3">
        <v>0</v>
      </c>
      <c r="BJ1078" s="3">
        <v>0</v>
      </c>
      <c r="BK1078" s="3">
        <v>0</v>
      </c>
      <c r="BL1078" s="3">
        <v>0</v>
      </c>
      <c r="BM1078" s="3">
        <v>0</v>
      </c>
      <c r="BN1078" s="3">
        <v>0</v>
      </c>
      <c r="BO1078" s="3">
        <v>0</v>
      </c>
      <c r="BP1078" s="3">
        <v>0</v>
      </c>
      <c r="BQ1078" s="3">
        <v>0</v>
      </c>
      <c r="BR1078" s="3">
        <v>0</v>
      </c>
      <c r="BS1078" s="3">
        <v>0</v>
      </c>
      <c r="BT1078" s="3">
        <v>0</v>
      </c>
      <c r="BU1078" s="3">
        <v>0</v>
      </c>
    </row>
    <row r="1079" spans="1:73" x14ac:dyDescent="0.25">
      <c r="A1079" s="2" t="s">
        <v>134</v>
      </c>
      <c r="B1079" s="4">
        <v>61</v>
      </c>
      <c r="C1079" s="4">
        <v>2</v>
      </c>
      <c r="D1079" s="4">
        <v>3</v>
      </c>
      <c r="E1079" s="4">
        <v>1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0</v>
      </c>
      <c r="BB1079" s="3">
        <v>0</v>
      </c>
      <c r="BC1079" s="3">
        <v>0</v>
      </c>
      <c r="BD1079" s="3">
        <v>0</v>
      </c>
      <c r="BE1079" s="3">
        <v>0</v>
      </c>
      <c r="BF1079" s="3">
        <v>0</v>
      </c>
      <c r="BG1079" s="3">
        <v>0</v>
      </c>
      <c r="BH1079" s="3">
        <v>0</v>
      </c>
      <c r="BI1079" s="3">
        <v>0</v>
      </c>
      <c r="BJ1079" s="3">
        <v>0</v>
      </c>
      <c r="BK1079" s="3">
        <v>0</v>
      </c>
      <c r="BL1079" s="3">
        <v>0</v>
      </c>
      <c r="BM1079" s="3">
        <v>0</v>
      </c>
      <c r="BN1079" s="3">
        <v>0</v>
      </c>
      <c r="BO1079" s="3">
        <v>0</v>
      </c>
      <c r="BP1079" s="3">
        <v>0</v>
      </c>
      <c r="BQ1079" s="3">
        <v>0</v>
      </c>
      <c r="BR1079" s="3">
        <v>0</v>
      </c>
      <c r="BS1079" s="3">
        <v>0</v>
      </c>
      <c r="BT1079" s="3">
        <v>0</v>
      </c>
      <c r="BU1079" s="3">
        <v>0</v>
      </c>
    </row>
    <row r="1080" spans="1:73" x14ac:dyDescent="0.25">
      <c r="A1080" s="2" t="s">
        <v>134</v>
      </c>
      <c r="B1080" s="4">
        <v>61</v>
      </c>
      <c r="C1080" s="4">
        <v>2</v>
      </c>
      <c r="D1080" s="4">
        <v>3</v>
      </c>
      <c r="E1080" s="4">
        <v>2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0</v>
      </c>
      <c r="BD1080" s="3">
        <v>0</v>
      </c>
      <c r="BE1080" s="3">
        <v>0</v>
      </c>
      <c r="BF1080" s="3">
        <v>0</v>
      </c>
      <c r="BG1080" s="3">
        <v>0</v>
      </c>
      <c r="BH1080" s="3">
        <v>0</v>
      </c>
      <c r="BI1080" s="3">
        <v>0</v>
      </c>
      <c r="BJ1080" s="3">
        <v>0</v>
      </c>
      <c r="BK1080" s="3">
        <v>0</v>
      </c>
      <c r="BL1080" s="3">
        <v>0</v>
      </c>
      <c r="BM1080" s="3">
        <v>0</v>
      </c>
      <c r="BN1080" s="3">
        <v>0</v>
      </c>
      <c r="BO1080" s="3">
        <v>0</v>
      </c>
      <c r="BP1080" s="3">
        <v>0</v>
      </c>
      <c r="BQ1080" s="3">
        <v>0</v>
      </c>
      <c r="BR1080" s="3">
        <v>0</v>
      </c>
      <c r="BS1080" s="3">
        <v>0</v>
      </c>
      <c r="BT1080" s="3">
        <v>0</v>
      </c>
      <c r="BU1080" s="3">
        <v>0</v>
      </c>
    </row>
    <row r="1081" spans="1:73" x14ac:dyDescent="0.25">
      <c r="A1081" s="2" t="s">
        <v>134</v>
      </c>
      <c r="B1081" s="4">
        <v>61</v>
      </c>
      <c r="C1081" s="4">
        <v>2</v>
      </c>
      <c r="D1081" s="4">
        <v>3</v>
      </c>
      <c r="E1081" s="4">
        <v>3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0</v>
      </c>
      <c r="BB1081" s="3">
        <v>0</v>
      </c>
      <c r="BC1081" s="3">
        <v>0</v>
      </c>
      <c r="BD1081" s="3">
        <v>0</v>
      </c>
      <c r="BE1081" s="3">
        <v>0</v>
      </c>
      <c r="BF1081" s="3">
        <v>0</v>
      </c>
      <c r="BG1081" s="3">
        <v>0</v>
      </c>
      <c r="BH1081" s="3">
        <v>0</v>
      </c>
      <c r="BI1081" s="3">
        <v>0</v>
      </c>
      <c r="BJ1081" s="3">
        <v>0</v>
      </c>
      <c r="BK1081" s="3">
        <v>0</v>
      </c>
      <c r="BL1081" s="3">
        <v>0</v>
      </c>
      <c r="BM1081" s="3">
        <v>0</v>
      </c>
      <c r="BN1081" s="3">
        <v>0</v>
      </c>
      <c r="BO1081" s="3">
        <v>0</v>
      </c>
      <c r="BP1081" s="3">
        <v>0</v>
      </c>
      <c r="BQ1081" s="3">
        <v>0</v>
      </c>
      <c r="BR1081" s="3">
        <v>0</v>
      </c>
      <c r="BS1081" s="3">
        <v>0</v>
      </c>
      <c r="BT1081" s="3">
        <v>0</v>
      </c>
      <c r="BU1081" s="3">
        <v>0</v>
      </c>
    </row>
    <row r="1082" spans="1:73" x14ac:dyDescent="0.25">
      <c r="A1082" s="2" t="s">
        <v>135</v>
      </c>
      <c r="B1082" s="4">
        <v>62</v>
      </c>
      <c r="C1082" s="4">
        <v>1</v>
      </c>
      <c r="D1082" s="4">
        <v>1</v>
      </c>
      <c r="E1082" s="4">
        <v>1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1</v>
      </c>
      <c r="AA1082" s="3">
        <v>0</v>
      </c>
      <c r="AB1082" s="3">
        <v>0</v>
      </c>
      <c r="AC1082" s="3">
        <v>0</v>
      </c>
      <c r="AD1082" s="3">
        <v>0</v>
      </c>
      <c r="AE1082" s="3">
        <v>1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0</v>
      </c>
      <c r="BJ1082" s="3">
        <v>0</v>
      </c>
      <c r="BK1082" s="3">
        <v>0</v>
      </c>
      <c r="BL1082" s="3">
        <v>0</v>
      </c>
      <c r="BM1082" s="3">
        <v>0</v>
      </c>
      <c r="BN1082" s="3">
        <v>0</v>
      </c>
      <c r="BO1082" s="3">
        <v>0</v>
      </c>
      <c r="BP1082" s="3">
        <v>0</v>
      </c>
      <c r="BQ1082" s="3">
        <v>0</v>
      </c>
      <c r="BR1082" s="3">
        <v>0</v>
      </c>
      <c r="BS1082" s="3">
        <v>0</v>
      </c>
      <c r="BT1082" s="3">
        <v>0</v>
      </c>
      <c r="BU1082" s="3">
        <v>0</v>
      </c>
    </row>
    <row r="1083" spans="1:73" x14ac:dyDescent="0.25">
      <c r="A1083" s="2" t="s">
        <v>135</v>
      </c>
      <c r="B1083" s="4">
        <v>62</v>
      </c>
      <c r="C1083" s="4">
        <v>1</v>
      </c>
      <c r="D1083" s="4">
        <v>1</v>
      </c>
      <c r="E1083" s="4">
        <v>2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1</v>
      </c>
      <c r="N1083" s="3">
        <v>0</v>
      </c>
      <c r="O1083" s="3">
        <v>1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1</v>
      </c>
      <c r="AI1083" s="3">
        <v>0</v>
      </c>
      <c r="AJ1083" s="3">
        <v>1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3">
        <v>0</v>
      </c>
      <c r="BB1083" s="3">
        <v>0</v>
      </c>
      <c r="BC1083" s="3">
        <v>0</v>
      </c>
      <c r="BD1083" s="3">
        <v>0</v>
      </c>
      <c r="BE1083" s="3">
        <v>0</v>
      </c>
      <c r="BF1083" s="3">
        <v>0</v>
      </c>
      <c r="BG1083" s="3">
        <v>0</v>
      </c>
      <c r="BH1083" s="3">
        <v>0</v>
      </c>
      <c r="BI1083" s="3">
        <v>0</v>
      </c>
      <c r="BJ1083" s="3">
        <v>0</v>
      </c>
      <c r="BK1083" s="3">
        <v>0</v>
      </c>
      <c r="BL1083" s="3">
        <v>0</v>
      </c>
      <c r="BM1083" s="3">
        <v>0</v>
      </c>
      <c r="BN1083" s="3">
        <v>0</v>
      </c>
      <c r="BO1083" s="3">
        <v>0</v>
      </c>
      <c r="BP1083" s="3">
        <v>0</v>
      </c>
      <c r="BQ1083" s="3">
        <v>0</v>
      </c>
      <c r="BR1083" s="3">
        <v>0</v>
      </c>
      <c r="BS1083" s="3">
        <v>0</v>
      </c>
      <c r="BT1083" s="3">
        <v>2</v>
      </c>
      <c r="BU1083" s="3">
        <v>0</v>
      </c>
    </row>
    <row r="1084" spans="1:73" x14ac:dyDescent="0.25">
      <c r="A1084" s="2" t="s">
        <v>135</v>
      </c>
      <c r="B1084" s="4">
        <v>62</v>
      </c>
      <c r="C1084" s="4">
        <v>1</v>
      </c>
      <c r="D1084" s="4">
        <v>1</v>
      </c>
      <c r="E1084" s="4">
        <v>3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T1084" s="3">
        <v>1</v>
      </c>
      <c r="AU1084" s="3">
        <v>0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0</v>
      </c>
      <c r="BB1084" s="3">
        <v>0</v>
      </c>
      <c r="BC1084" s="3">
        <v>0</v>
      </c>
      <c r="BD1084" s="3">
        <v>0</v>
      </c>
      <c r="BE1084" s="3">
        <v>0</v>
      </c>
      <c r="BF1084" s="3">
        <v>0</v>
      </c>
      <c r="BG1084" s="3">
        <v>0</v>
      </c>
      <c r="BH1084" s="3">
        <v>0</v>
      </c>
      <c r="BI1084" s="3">
        <v>0</v>
      </c>
      <c r="BJ1084" s="3">
        <v>0</v>
      </c>
      <c r="BK1084" s="3">
        <v>1</v>
      </c>
      <c r="BL1084" s="3">
        <v>0</v>
      </c>
      <c r="BM1084" s="3">
        <v>0</v>
      </c>
      <c r="BN1084" s="3">
        <v>0</v>
      </c>
      <c r="BO1084" s="3">
        <v>0</v>
      </c>
      <c r="BP1084" s="3">
        <v>0</v>
      </c>
      <c r="BQ1084" s="3">
        <v>0</v>
      </c>
      <c r="BR1084" s="3">
        <v>0</v>
      </c>
      <c r="BS1084" s="3">
        <v>0</v>
      </c>
      <c r="BT1084" s="3">
        <v>0</v>
      </c>
      <c r="BU1084" s="3">
        <v>0</v>
      </c>
    </row>
    <row r="1085" spans="1:73" x14ac:dyDescent="0.25">
      <c r="A1085" s="2" t="s">
        <v>135</v>
      </c>
      <c r="B1085" s="4">
        <v>62</v>
      </c>
      <c r="C1085" s="4">
        <v>1</v>
      </c>
      <c r="D1085" s="4">
        <v>2</v>
      </c>
      <c r="E1085" s="4">
        <v>1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0</v>
      </c>
      <c r="BB1085" s="3">
        <v>0</v>
      </c>
      <c r="BC1085" s="3">
        <v>0</v>
      </c>
      <c r="BD1085" s="3">
        <v>0</v>
      </c>
      <c r="BE1085" s="3">
        <v>0</v>
      </c>
      <c r="BF1085" s="3">
        <v>0</v>
      </c>
      <c r="BG1085" s="3">
        <v>0</v>
      </c>
      <c r="BH1085" s="3">
        <v>0</v>
      </c>
      <c r="BI1085" s="3">
        <v>0</v>
      </c>
      <c r="BJ1085" s="3">
        <v>0</v>
      </c>
      <c r="BK1085" s="3">
        <v>0</v>
      </c>
      <c r="BL1085" s="3">
        <v>0</v>
      </c>
      <c r="BM1085" s="3">
        <v>0</v>
      </c>
      <c r="BN1085" s="3">
        <v>0</v>
      </c>
      <c r="BO1085" s="3">
        <v>0</v>
      </c>
      <c r="BP1085" s="3">
        <v>0</v>
      </c>
      <c r="BQ1085" s="3">
        <v>0</v>
      </c>
      <c r="BR1085" s="3">
        <v>0</v>
      </c>
      <c r="BS1085" s="3">
        <v>0</v>
      </c>
      <c r="BT1085" s="3">
        <v>0</v>
      </c>
      <c r="BU1085" s="3">
        <v>0</v>
      </c>
    </row>
    <row r="1086" spans="1:73" x14ac:dyDescent="0.25">
      <c r="A1086" s="2" t="s">
        <v>135</v>
      </c>
      <c r="B1086" s="4">
        <v>62</v>
      </c>
      <c r="C1086" s="4">
        <v>1</v>
      </c>
      <c r="D1086" s="4">
        <v>2</v>
      </c>
      <c r="E1086" s="4">
        <v>2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>
        <v>0</v>
      </c>
      <c r="BD1086" s="3">
        <v>0</v>
      </c>
      <c r="BE1086" s="3">
        <v>0</v>
      </c>
      <c r="BF1086" s="3">
        <v>0</v>
      </c>
      <c r="BG1086" s="3">
        <v>0</v>
      </c>
      <c r="BH1086" s="3">
        <v>0</v>
      </c>
      <c r="BI1086" s="3">
        <v>0</v>
      </c>
      <c r="BJ1086" s="3">
        <v>0</v>
      </c>
      <c r="BK1086" s="3">
        <v>0</v>
      </c>
      <c r="BL1086" s="3">
        <v>0</v>
      </c>
      <c r="BM1086" s="3">
        <v>0</v>
      </c>
      <c r="BN1086" s="3">
        <v>0</v>
      </c>
      <c r="BO1086" s="3">
        <v>0</v>
      </c>
      <c r="BP1086" s="3">
        <v>0</v>
      </c>
      <c r="BQ1086" s="3">
        <v>0</v>
      </c>
      <c r="BR1086" s="3">
        <v>0</v>
      </c>
      <c r="BS1086" s="3">
        <v>0</v>
      </c>
      <c r="BT1086" s="3">
        <v>0</v>
      </c>
      <c r="BU1086" s="3">
        <v>0</v>
      </c>
    </row>
    <row r="1087" spans="1:73" x14ac:dyDescent="0.25">
      <c r="A1087" s="2" t="s">
        <v>135</v>
      </c>
      <c r="B1087" s="4">
        <v>62</v>
      </c>
      <c r="C1087" s="4">
        <v>1</v>
      </c>
      <c r="D1087" s="4">
        <v>2</v>
      </c>
      <c r="E1087" s="4">
        <v>3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0</v>
      </c>
      <c r="BB1087" s="3">
        <v>0</v>
      </c>
      <c r="BC1087" s="3">
        <v>0</v>
      </c>
      <c r="BD1087" s="3">
        <v>0</v>
      </c>
      <c r="BE1087" s="3">
        <v>0</v>
      </c>
      <c r="BF1087" s="3">
        <v>0</v>
      </c>
      <c r="BG1087" s="3">
        <v>0</v>
      </c>
      <c r="BH1087" s="3">
        <v>0</v>
      </c>
      <c r="BI1087" s="3">
        <v>0</v>
      </c>
      <c r="BJ1087" s="3">
        <v>0</v>
      </c>
      <c r="BK1087" s="3">
        <v>0</v>
      </c>
      <c r="BL1087" s="3">
        <v>0</v>
      </c>
      <c r="BM1087" s="3">
        <v>0</v>
      </c>
      <c r="BN1087" s="3">
        <v>0</v>
      </c>
      <c r="BO1087" s="3">
        <v>0</v>
      </c>
      <c r="BP1087" s="3">
        <v>0</v>
      </c>
      <c r="BQ1087" s="3">
        <v>0</v>
      </c>
      <c r="BR1087" s="3">
        <v>0</v>
      </c>
      <c r="BS1087" s="3">
        <v>0</v>
      </c>
      <c r="BT1087" s="3">
        <v>0</v>
      </c>
      <c r="BU1087" s="3">
        <v>0</v>
      </c>
    </row>
    <row r="1088" spans="1:73" x14ac:dyDescent="0.25">
      <c r="A1088" s="2" t="s">
        <v>135</v>
      </c>
      <c r="B1088" s="4">
        <v>62</v>
      </c>
      <c r="C1088" s="4">
        <v>1</v>
      </c>
      <c r="D1088" s="4">
        <v>3</v>
      </c>
      <c r="E1088" s="4">
        <v>1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0</v>
      </c>
      <c r="BD1088" s="3">
        <v>0</v>
      </c>
      <c r="BE1088" s="3">
        <v>0</v>
      </c>
      <c r="BF1088" s="3">
        <v>0</v>
      </c>
      <c r="BG1088" s="3">
        <v>0</v>
      </c>
      <c r="BH1088" s="3">
        <v>0</v>
      </c>
      <c r="BI1088" s="3">
        <v>0</v>
      </c>
      <c r="BJ1088" s="3">
        <v>0</v>
      </c>
      <c r="BK1088" s="3">
        <v>0</v>
      </c>
      <c r="BL1088" s="3">
        <v>0</v>
      </c>
      <c r="BM1088" s="3">
        <v>0</v>
      </c>
      <c r="BN1088" s="3">
        <v>0</v>
      </c>
      <c r="BO1088" s="3">
        <v>0</v>
      </c>
      <c r="BP1088" s="3">
        <v>0</v>
      </c>
      <c r="BQ1088" s="3">
        <v>0</v>
      </c>
      <c r="BR1088" s="3">
        <v>0</v>
      </c>
      <c r="BS1088" s="3">
        <v>0</v>
      </c>
      <c r="BT1088" s="3">
        <v>0</v>
      </c>
      <c r="BU1088" s="3">
        <v>0</v>
      </c>
    </row>
    <row r="1089" spans="1:73" x14ac:dyDescent="0.25">
      <c r="A1089" s="2" t="s">
        <v>135</v>
      </c>
      <c r="B1089" s="4">
        <v>62</v>
      </c>
      <c r="C1089" s="4">
        <v>1</v>
      </c>
      <c r="D1089" s="4">
        <v>3</v>
      </c>
      <c r="E1089" s="4">
        <v>2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1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0</v>
      </c>
      <c r="BB1089" s="3">
        <v>0</v>
      </c>
      <c r="BC1089" s="3">
        <v>0</v>
      </c>
      <c r="BD1089" s="3">
        <v>0</v>
      </c>
      <c r="BE1089" s="3">
        <v>0</v>
      </c>
      <c r="BF1089" s="3">
        <v>0</v>
      </c>
      <c r="BG1089" s="3">
        <v>0</v>
      </c>
      <c r="BH1089" s="3">
        <v>0</v>
      </c>
      <c r="BI1089" s="3">
        <v>0</v>
      </c>
      <c r="BJ1089" s="3">
        <v>0</v>
      </c>
      <c r="BK1089" s="3">
        <v>0</v>
      </c>
      <c r="BL1089" s="3">
        <v>0</v>
      </c>
      <c r="BM1089" s="3">
        <v>0</v>
      </c>
      <c r="BN1089" s="3">
        <v>0</v>
      </c>
      <c r="BO1089" s="3">
        <v>0</v>
      </c>
      <c r="BP1089" s="3">
        <v>0</v>
      </c>
      <c r="BQ1089" s="3">
        <v>0</v>
      </c>
      <c r="BR1089" s="3">
        <v>0</v>
      </c>
      <c r="BS1089" s="3">
        <v>0</v>
      </c>
      <c r="BT1089" s="3">
        <v>0</v>
      </c>
      <c r="BU1089" s="3">
        <v>0</v>
      </c>
    </row>
    <row r="1090" spans="1:73" x14ac:dyDescent="0.25">
      <c r="A1090" s="2" t="s">
        <v>135</v>
      </c>
      <c r="B1090" s="4">
        <v>62</v>
      </c>
      <c r="C1090" s="4">
        <v>1</v>
      </c>
      <c r="D1090" s="4">
        <v>3</v>
      </c>
      <c r="E1090" s="4">
        <v>3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1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0</v>
      </c>
      <c r="BB1090" s="3">
        <v>0</v>
      </c>
      <c r="BC1090" s="3">
        <v>0</v>
      </c>
      <c r="BD1090" s="3">
        <v>0</v>
      </c>
      <c r="BE1090" s="3">
        <v>0</v>
      </c>
      <c r="BF1090" s="3">
        <v>0</v>
      </c>
      <c r="BG1090" s="3">
        <v>0</v>
      </c>
      <c r="BH1090" s="3">
        <v>0</v>
      </c>
      <c r="BI1090" s="3">
        <v>0</v>
      </c>
      <c r="BJ1090" s="3">
        <v>0</v>
      </c>
      <c r="BK1090" s="3">
        <v>0</v>
      </c>
      <c r="BL1090" s="3">
        <v>0</v>
      </c>
      <c r="BM1090" s="3">
        <v>0</v>
      </c>
      <c r="BN1090" s="3">
        <v>0</v>
      </c>
      <c r="BO1090" s="3">
        <v>0</v>
      </c>
      <c r="BP1090" s="3">
        <v>0</v>
      </c>
      <c r="BQ1090" s="3">
        <v>0</v>
      </c>
      <c r="BR1090" s="3">
        <v>0</v>
      </c>
      <c r="BS1090" s="3">
        <v>0</v>
      </c>
      <c r="BT1090" s="3">
        <v>0</v>
      </c>
      <c r="BU1090" s="3">
        <v>0</v>
      </c>
    </row>
    <row r="1091" spans="1:73" x14ac:dyDescent="0.25">
      <c r="A1091" s="2" t="s">
        <v>135</v>
      </c>
      <c r="B1091" s="4">
        <v>62</v>
      </c>
      <c r="C1091" s="4">
        <v>2</v>
      </c>
      <c r="D1091" s="4">
        <v>1</v>
      </c>
      <c r="E1091" s="4">
        <v>1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1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0</v>
      </c>
      <c r="BD1091" s="3">
        <v>0</v>
      </c>
      <c r="BE1091" s="3">
        <v>0</v>
      </c>
      <c r="BF1091" s="3">
        <v>0</v>
      </c>
      <c r="BG1091" s="3">
        <v>0</v>
      </c>
      <c r="BH1091" s="3">
        <v>0</v>
      </c>
      <c r="BI1091" s="3">
        <v>0</v>
      </c>
      <c r="BJ1091" s="3">
        <v>0</v>
      </c>
      <c r="BK1091" s="3">
        <v>0</v>
      </c>
      <c r="BL1091" s="3">
        <v>0</v>
      </c>
      <c r="BM1091" s="3">
        <v>0</v>
      </c>
      <c r="BN1091" s="3">
        <v>0</v>
      </c>
      <c r="BO1091" s="3">
        <v>0</v>
      </c>
      <c r="BP1091" s="3">
        <v>0</v>
      </c>
      <c r="BQ1091" s="3">
        <v>0</v>
      </c>
      <c r="BR1091" s="3">
        <v>0</v>
      </c>
      <c r="BS1091" s="3">
        <v>0</v>
      </c>
      <c r="BT1091" s="3">
        <v>0</v>
      </c>
      <c r="BU1091" s="3">
        <v>0</v>
      </c>
    </row>
    <row r="1092" spans="1:73" x14ac:dyDescent="0.25">
      <c r="A1092" s="2" t="s">
        <v>135</v>
      </c>
      <c r="B1092" s="4">
        <v>62</v>
      </c>
      <c r="C1092" s="4">
        <v>2</v>
      </c>
      <c r="D1092" s="4">
        <v>1</v>
      </c>
      <c r="E1092" s="4">
        <v>2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1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1</v>
      </c>
      <c r="AF1092" s="3">
        <v>0</v>
      </c>
      <c r="AG1092" s="3">
        <v>0</v>
      </c>
      <c r="AH1092" s="3">
        <v>0</v>
      </c>
      <c r="AI1092" s="3">
        <v>1</v>
      </c>
      <c r="AJ1092" s="3">
        <v>1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1</v>
      </c>
      <c r="AX1092" s="3">
        <v>0</v>
      </c>
      <c r="AY1092" s="3">
        <v>0</v>
      </c>
      <c r="AZ1092" s="3">
        <v>0</v>
      </c>
      <c r="BA1092" s="3">
        <v>0</v>
      </c>
      <c r="BB1092" s="3">
        <v>0</v>
      </c>
      <c r="BC1092" s="3">
        <v>0</v>
      </c>
      <c r="BD1092" s="3">
        <v>0</v>
      </c>
      <c r="BE1092" s="3">
        <v>0</v>
      </c>
      <c r="BF1092" s="3">
        <v>0</v>
      </c>
      <c r="BG1092" s="3">
        <v>0</v>
      </c>
      <c r="BH1092" s="3">
        <v>0</v>
      </c>
      <c r="BI1092" s="3">
        <v>0</v>
      </c>
      <c r="BJ1092" s="3">
        <v>0</v>
      </c>
      <c r="BK1092" s="3">
        <v>0</v>
      </c>
      <c r="BL1092" s="3">
        <v>1</v>
      </c>
      <c r="BM1092" s="3">
        <v>0</v>
      </c>
      <c r="BN1092" s="3">
        <v>0</v>
      </c>
      <c r="BO1092" s="3">
        <v>1</v>
      </c>
      <c r="BP1092" s="3">
        <v>0</v>
      </c>
      <c r="BQ1092" s="3">
        <v>0</v>
      </c>
      <c r="BR1092" s="3">
        <v>0</v>
      </c>
      <c r="BS1092" s="3">
        <v>0</v>
      </c>
      <c r="BT1092" s="3">
        <v>1</v>
      </c>
      <c r="BU1092" s="3">
        <v>0</v>
      </c>
    </row>
    <row r="1093" spans="1:73" x14ac:dyDescent="0.25">
      <c r="A1093" s="2" t="s">
        <v>135</v>
      </c>
      <c r="B1093" s="4">
        <v>62</v>
      </c>
      <c r="C1093" s="4">
        <v>2</v>
      </c>
      <c r="D1093" s="4">
        <v>1</v>
      </c>
      <c r="E1093" s="4">
        <v>3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1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3">
        <v>0</v>
      </c>
      <c r="BB1093" s="3">
        <v>0</v>
      </c>
      <c r="BC1093" s="3">
        <v>0</v>
      </c>
      <c r="BD1093" s="3">
        <v>0</v>
      </c>
      <c r="BE1093" s="3">
        <v>0</v>
      </c>
      <c r="BF1093" s="3">
        <v>0</v>
      </c>
      <c r="BG1093" s="3">
        <v>0</v>
      </c>
      <c r="BH1093" s="3">
        <v>0</v>
      </c>
      <c r="BI1093" s="3">
        <v>0</v>
      </c>
      <c r="BJ1093" s="3">
        <v>0</v>
      </c>
      <c r="BK1093" s="3">
        <v>0</v>
      </c>
      <c r="BL1093" s="3">
        <v>0</v>
      </c>
      <c r="BM1093" s="3">
        <v>0</v>
      </c>
      <c r="BN1093" s="3">
        <v>0</v>
      </c>
      <c r="BO1093" s="3">
        <v>0</v>
      </c>
      <c r="BP1093" s="3">
        <v>0</v>
      </c>
      <c r="BQ1093" s="3">
        <v>0</v>
      </c>
      <c r="BR1093" s="3">
        <v>0</v>
      </c>
      <c r="BS1093" s="3">
        <v>0</v>
      </c>
      <c r="BT1093" s="3">
        <v>0</v>
      </c>
      <c r="BU1093" s="3">
        <v>0</v>
      </c>
    </row>
    <row r="1094" spans="1:73" x14ac:dyDescent="0.25">
      <c r="A1094" s="2" t="s">
        <v>135</v>
      </c>
      <c r="B1094" s="4">
        <v>62</v>
      </c>
      <c r="C1094" s="4">
        <v>2</v>
      </c>
      <c r="D1094" s="4">
        <v>2</v>
      </c>
      <c r="E1094" s="4">
        <v>1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0</v>
      </c>
      <c r="BD1094" s="3">
        <v>0</v>
      </c>
      <c r="BE1094" s="3">
        <v>0</v>
      </c>
      <c r="BF1094" s="3">
        <v>0</v>
      </c>
      <c r="BG1094" s="3">
        <v>0</v>
      </c>
      <c r="BH1094" s="3">
        <v>0</v>
      </c>
      <c r="BI1094" s="3">
        <v>0</v>
      </c>
      <c r="BJ1094" s="3">
        <v>0</v>
      </c>
      <c r="BK1094" s="3">
        <v>0</v>
      </c>
      <c r="BL1094" s="3">
        <v>0</v>
      </c>
      <c r="BM1094" s="3">
        <v>0</v>
      </c>
      <c r="BN1094" s="3">
        <v>0</v>
      </c>
      <c r="BO1094" s="3">
        <v>0</v>
      </c>
      <c r="BP1094" s="3">
        <v>0</v>
      </c>
      <c r="BQ1094" s="3">
        <v>0</v>
      </c>
      <c r="BR1094" s="3">
        <v>0</v>
      </c>
      <c r="BS1094" s="3">
        <v>0</v>
      </c>
      <c r="BT1094" s="3">
        <v>0</v>
      </c>
      <c r="BU1094" s="3">
        <v>0</v>
      </c>
    </row>
    <row r="1095" spans="1:73" x14ac:dyDescent="0.25">
      <c r="A1095" s="2" t="s">
        <v>135</v>
      </c>
      <c r="B1095" s="4">
        <v>62</v>
      </c>
      <c r="C1095" s="4">
        <v>2</v>
      </c>
      <c r="D1095" s="4">
        <v>2</v>
      </c>
      <c r="E1095" s="4">
        <v>2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0</v>
      </c>
      <c r="AY1095" s="3">
        <v>0</v>
      </c>
      <c r="AZ1095" s="3">
        <v>0</v>
      </c>
      <c r="BA1095" s="3">
        <v>0</v>
      </c>
      <c r="BB1095" s="3">
        <v>0</v>
      </c>
      <c r="BC1095" s="3">
        <v>0</v>
      </c>
      <c r="BD1095" s="3">
        <v>0</v>
      </c>
      <c r="BE1095" s="3">
        <v>0</v>
      </c>
      <c r="BF1095" s="3">
        <v>0</v>
      </c>
      <c r="BG1095" s="3">
        <v>0</v>
      </c>
      <c r="BH1095" s="3">
        <v>0</v>
      </c>
      <c r="BI1095" s="3">
        <v>0</v>
      </c>
      <c r="BJ1095" s="3">
        <v>0</v>
      </c>
      <c r="BK1095" s="3">
        <v>0</v>
      </c>
      <c r="BL1095" s="3">
        <v>0</v>
      </c>
      <c r="BM1095" s="3">
        <v>0</v>
      </c>
      <c r="BN1095" s="3">
        <v>0</v>
      </c>
      <c r="BO1095" s="3">
        <v>0</v>
      </c>
      <c r="BP1095" s="3">
        <v>0</v>
      </c>
      <c r="BQ1095" s="3">
        <v>0</v>
      </c>
      <c r="BR1095" s="3">
        <v>0</v>
      </c>
      <c r="BS1095" s="3">
        <v>0</v>
      </c>
      <c r="BT1095" s="3">
        <v>0</v>
      </c>
      <c r="BU1095" s="3">
        <v>0</v>
      </c>
    </row>
    <row r="1096" spans="1:73" x14ac:dyDescent="0.25">
      <c r="A1096" s="2" t="s">
        <v>135</v>
      </c>
      <c r="B1096" s="4">
        <v>62</v>
      </c>
      <c r="C1096" s="4">
        <v>2</v>
      </c>
      <c r="D1096" s="4">
        <v>2</v>
      </c>
      <c r="E1096" s="4">
        <v>3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1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0</v>
      </c>
      <c r="AX1096" s="3">
        <v>0</v>
      </c>
      <c r="AY1096" s="3">
        <v>0</v>
      </c>
      <c r="AZ1096" s="3">
        <v>0</v>
      </c>
      <c r="BA1096" s="3">
        <v>0</v>
      </c>
      <c r="BB1096" s="3">
        <v>0</v>
      </c>
      <c r="BC1096" s="3">
        <v>0</v>
      </c>
      <c r="BD1096" s="3">
        <v>0</v>
      </c>
      <c r="BE1096" s="3">
        <v>0</v>
      </c>
      <c r="BF1096" s="3">
        <v>0</v>
      </c>
      <c r="BG1096" s="3">
        <v>0</v>
      </c>
      <c r="BH1096" s="3">
        <v>0</v>
      </c>
      <c r="BI1096" s="3">
        <v>0</v>
      </c>
      <c r="BJ1096" s="3">
        <v>0</v>
      </c>
      <c r="BK1096" s="3">
        <v>0</v>
      </c>
      <c r="BL1096" s="3">
        <v>0</v>
      </c>
      <c r="BM1096" s="3">
        <v>0</v>
      </c>
      <c r="BN1096" s="3">
        <v>0</v>
      </c>
      <c r="BO1096" s="3">
        <v>0</v>
      </c>
      <c r="BP1096" s="3">
        <v>0</v>
      </c>
      <c r="BQ1096" s="3">
        <v>0</v>
      </c>
      <c r="BR1096" s="3">
        <v>0</v>
      </c>
      <c r="BS1096" s="3">
        <v>0</v>
      </c>
      <c r="BT1096" s="3">
        <v>0</v>
      </c>
      <c r="BU1096" s="3">
        <v>0</v>
      </c>
    </row>
    <row r="1097" spans="1:73" x14ac:dyDescent="0.25">
      <c r="A1097" s="2" t="s">
        <v>135</v>
      </c>
      <c r="B1097" s="4">
        <v>62</v>
      </c>
      <c r="C1097" s="4">
        <v>2</v>
      </c>
      <c r="D1097" s="4">
        <v>3</v>
      </c>
      <c r="E1097" s="4">
        <v>1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1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  <c r="BA1097" s="3">
        <v>0</v>
      </c>
      <c r="BB1097" s="3">
        <v>0</v>
      </c>
      <c r="BC1097" s="3">
        <v>0</v>
      </c>
      <c r="BD1097" s="3">
        <v>0</v>
      </c>
      <c r="BE1097" s="3">
        <v>0</v>
      </c>
      <c r="BF1097" s="3">
        <v>0</v>
      </c>
      <c r="BG1097" s="3">
        <v>0</v>
      </c>
      <c r="BH1097" s="3">
        <v>0</v>
      </c>
      <c r="BI1097" s="3">
        <v>0</v>
      </c>
      <c r="BJ1097" s="3">
        <v>0</v>
      </c>
      <c r="BK1097" s="3">
        <v>0</v>
      </c>
      <c r="BL1097" s="3">
        <v>0</v>
      </c>
      <c r="BM1097" s="3">
        <v>0</v>
      </c>
      <c r="BN1097" s="3">
        <v>0</v>
      </c>
      <c r="BO1097" s="3">
        <v>0</v>
      </c>
      <c r="BP1097" s="3">
        <v>0</v>
      </c>
      <c r="BQ1097" s="3">
        <v>0</v>
      </c>
      <c r="BR1097" s="3">
        <v>0</v>
      </c>
      <c r="BS1097" s="3">
        <v>0</v>
      </c>
      <c r="BT1097" s="3">
        <v>0</v>
      </c>
      <c r="BU1097" s="3">
        <v>0</v>
      </c>
    </row>
    <row r="1098" spans="1:73" x14ac:dyDescent="0.25">
      <c r="A1098" s="2" t="s">
        <v>135</v>
      </c>
      <c r="B1098" s="4">
        <v>62</v>
      </c>
      <c r="C1098" s="4">
        <v>2</v>
      </c>
      <c r="D1098" s="4">
        <v>3</v>
      </c>
      <c r="E1098" s="4">
        <v>2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1</v>
      </c>
      <c r="AF1098" s="3">
        <v>0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0</v>
      </c>
      <c r="BB1098" s="3">
        <v>0</v>
      </c>
      <c r="BC1098" s="3">
        <v>0</v>
      </c>
      <c r="BD1098" s="3">
        <v>0</v>
      </c>
      <c r="BE1098" s="3">
        <v>0</v>
      </c>
      <c r="BF1098" s="3">
        <v>0</v>
      </c>
      <c r="BG1098" s="3">
        <v>0</v>
      </c>
      <c r="BH1098" s="3">
        <v>0</v>
      </c>
      <c r="BI1098" s="3">
        <v>0</v>
      </c>
      <c r="BJ1098" s="3">
        <v>0</v>
      </c>
      <c r="BK1098" s="3">
        <v>0</v>
      </c>
      <c r="BL1098" s="3">
        <v>0</v>
      </c>
      <c r="BM1098" s="3">
        <v>0</v>
      </c>
      <c r="BN1098" s="3">
        <v>0</v>
      </c>
      <c r="BO1098" s="3">
        <v>0</v>
      </c>
      <c r="BP1098" s="3">
        <v>0</v>
      </c>
      <c r="BQ1098" s="3">
        <v>0</v>
      </c>
      <c r="BR1098" s="3">
        <v>0</v>
      </c>
      <c r="BS1098" s="3">
        <v>0</v>
      </c>
      <c r="BT1098" s="3">
        <v>0</v>
      </c>
      <c r="BU1098" s="3">
        <v>0</v>
      </c>
    </row>
    <row r="1099" spans="1:73" x14ac:dyDescent="0.25">
      <c r="A1099" s="2" t="s">
        <v>135</v>
      </c>
      <c r="B1099" s="4">
        <v>62</v>
      </c>
      <c r="C1099" s="4">
        <v>2</v>
      </c>
      <c r="D1099" s="4">
        <v>3</v>
      </c>
      <c r="E1099" s="4">
        <v>3</v>
      </c>
      <c r="F1099" s="3">
        <v>0</v>
      </c>
      <c r="G1099" s="3">
        <v>1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1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0</v>
      </c>
      <c r="AY1099" s="3">
        <v>0</v>
      </c>
      <c r="AZ1099" s="3">
        <v>0</v>
      </c>
      <c r="BA1099" s="3">
        <v>0</v>
      </c>
      <c r="BB1099" s="3">
        <v>0</v>
      </c>
      <c r="BC1099" s="3">
        <v>0</v>
      </c>
      <c r="BD1099" s="3">
        <v>0</v>
      </c>
      <c r="BE1099" s="3">
        <v>0</v>
      </c>
      <c r="BF1099" s="3">
        <v>0</v>
      </c>
      <c r="BG1099" s="3">
        <v>0</v>
      </c>
      <c r="BH1099" s="3">
        <v>0</v>
      </c>
      <c r="BI1099" s="3">
        <v>0</v>
      </c>
      <c r="BJ1099" s="3">
        <v>0</v>
      </c>
      <c r="BK1099" s="3">
        <v>0</v>
      </c>
      <c r="BL1099" s="3">
        <v>0</v>
      </c>
      <c r="BM1099" s="3">
        <v>0</v>
      </c>
      <c r="BN1099" s="3">
        <v>0</v>
      </c>
      <c r="BO1099" s="3">
        <v>0</v>
      </c>
      <c r="BP1099" s="3">
        <v>0</v>
      </c>
      <c r="BQ1099" s="3">
        <v>0</v>
      </c>
      <c r="BR1099" s="3">
        <v>0</v>
      </c>
      <c r="BS1099" s="3">
        <v>0</v>
      </c>
      <c r="BT1099" s="3">
        <v>0</v>
      </c>
      <c r="BU1099" s="3">
        <v>0</v>
      </c>
    </row>
    <row r="1100" spans="1:73" x14ac:dyDescent="0.25">
      <c r="A1100" s="2" t="s">
        <v>136</v>
      </c>
      <c r="B1100" s="4">
        <v>63</v>
      </c>
      <c r="C1100" s="4">
        <v>1</v>
      </c>
      <c r="D1100" s="4">
        <v>1</v>
      </c>
      <c r="E1100" s="4">
        <v>1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1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2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0</v>
      </c>
      <c r="BD1100" s="3">
        <v>0</v>
      </c>
      <c r="BE1100" s="3">
        <v>0</v>
      </c>
      <c r="BF1100" s="3">
        <v>0</v>
      </c>
      <c r="BG1100" s="3">
        <v>0</v>
      </c>
      <c r="BH1100" s="3">
        <v>0</v>
      </c>
      <c r="BI1100" s="3">
        <v>0</v>
      </c>
      <c r="BJ1100" s="3">
        <v>0</v>
      </c>
      <c r="BK1100" s="3">
        <v>0</v>
      </c>
      <c r="BL1100" s="3">
        <v>0</v>
      </c>
      <c r="BM1100" s="3">
        <v>0</v>
      </c>
      <c r="BN1100" s="3">
        <v>0</v>
      </c>
      <c r="BO1100" s="3">
        <v>0</v>
      </c>
      <c r="BP1100" s="3">
        <v>0</v>
      </c>
      <c r="BQ1100" s="3">
        <v>0</v>
      </c>
      <c r="BR1100" s="3">
        <v>0</v>
      </c>
      <c r="BS1100" s="3">
        <v>0</v>
      </c>
      <c r="BT1100" s="3">
        <v>1</v>
      </c>
      <c r="BU1100" s="3">
        <v>0</v>
      </c>
    </row>
    <row r="1101" spans="1:73" x14ac:dyDescent="0.25">
      <c r="A1101" s="2" t="s">
        <v>136</v>
      </c>
      <c r="B1101" s="4">
        <v>63</v>
      </c>
      <c r="C1101" s="4">
        <v>1</v>
      </c>
      <c r="D1101" s="4">
        <v>1</v>
      </c>
      <c r="E1101" s="4">
        <v>2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1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1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2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0</v>
      </c>
      <c r="BB1101" s="3">
        <v>0</v>
      </c>
      <c r="BC1101" s="3">
        <v>0</v>
      </c>
      <c r="BD1101" s="3">
        <v>0</v>
      </c>
      <c r="BE1101" s="3">
        <v>0</v>
      </c>
      <c r="BF1101" s="3">
        <v>0</v>
      </c>
      <c r="BG1101" s="3">
        <v>0</v>
      </c>
      <c r="BH1101" s="3">
        <v>0</v>
      </c>
      <c r="BI1101" s="3">
        <v>0</v>
      </c>
      <c r="BJ1101" s="3">
        <v>0</v>
      </c>
      <c r="BK1101" s="3">
        <v>0</v>
      </c>
      <c r="BL1101" s="3">
        <v>0</v>
      </c>
      <c r="BM1101" s="3">
        <v>0</v>
      </c>
      <c r="BN1101" s="3">
        <v>0</v>
      </c>
      <c r="BO1101" s="3">
        <v>0</v>
      </c>
      <c r="BP1101" s="3">
        <v>0</v>
      </c>
      <c r="BQ1101" s="3">
        <v>0</v>
      </c>
      <c r="BR1101" s="3">
        <v>0</v>
      </c>
      <c r="BS1101" s="3">
        <v>0</v>
      </c>
      <c r="BT1101" s="3">
        <v>0</v>
      </c>
      <c r="BU1101" s="3">
        <v>0</v>
      </c>
    </row>
    <row r="1102" spans="1:73" x14ac:dyDescent="0.25">
      <c r="A1102" s="2" t="s">
        <v>136</v>
      </c>
      <c r="B1102" s="4">
        <v>63</v>
      </c>
      <c r="C1102" s="4">
        <v>1</v>
      </c>
      <c r="D1102" s="4">
        <v>1</v>
      </c>
      <c r="E1102" s="4">
        <v>3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1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1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0</v>
      </c>
      <c r="BB1102" s="3">
        <v>0</v>
      </c>
      <c r="BC1102" s="3">
        <v>0</v>
      </c>
      <c r="BD1102" s="3">
        <v>0</v>
      </c>
      <c r="BE1102" s="3">
        <v>0</v>
      </c>
      <c r="BF1102" s="3">
        <v>0</v>
      </c>
      <c r="BG1102" s="3">
        <v>0</v>
      </c>
      <c r="BH1102" s="3">
        <v>0</v>
      </c>
      <c r="BI1102" s="3">
        <v>0</v>
      </c>
      <c r="BJ1102" s="3">
        <v>0</v>
      </c>
      <c r="BK1102" s="3">
        <v>0</v>
      </c>
      <c r="BL1102" s="3">
        <v>0</v>
      </c>
      <c r="BM1102" s="3">
        <v>0</v>
      </c>
      <c r="BN1102" s="3">
        <v>0</v>
      </c>
      <c r="BO1102" s="3">
        <v>0</v>
      </c>
      <c r="BP1102" s="3">
        <v>0</v>
      </c>
      <c r="BQ1102" s="3">
        <v>0</v>
      </c>
      <c r="BR1102" s="3">
        <v>0</v>
      </c>
      <c r="BS1102" s="3">
        <v>0</v>
      </c>
      <c r="BT1102" s="3">
        <v>1</v>
      </c>
      <c r="BU1102" s="3">
        <v>0</v>
      </c>
    </row>
    <row r="1103" spans="1:73" x14ac:dyDescent="0.25">
      <c r="A1103" s="2" t="s">
        <v>136</v>
      </c>
      <c r="B1103" s="4">
        <v>63</v>
      </c>
      <c r="C1103" s="4">
        <v>1</v>
      </c>
      <c r="D1103" s="4">
        <v>2</v>
      </c>
      <c r="E1103" s="4">
        <v>1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0</v>
      </c>
      <c r="BD1103" s="3">
        <v>0</v>
      </c>
      <c r="BE1103" s="3">
        <v>0</v>
      </c>
      <c r="BF1103" s="3">
        <v>0</v>
      </c>
      <c r="BG1103" s="3">
        <v>0</v>
      </c>
      <c r="BH1103" s="3">
        <v>0</v>
      </c>
      <c r="BI1103" s="3">
        <v>0</v>
      </c>
      <c r="BJ1103" s="3">
        <v>0</v>
      </c>
      <c r="BK1103" s="3">
        <v>0</v>
      </c>
      <c r="BL1103" s="3">
        <v>0</v>
      </c>
      <c r="BM1103" s="3">
        <v>0</v>
      </c>
      <c r="BN1103" s="3">
        <v>0</v>
      </c>
      <c r="BO1103" s="3">
        <v>0</v>
      </c>
      <c r="BP1103" s="3">
        <v>0</v>
      </c>
      <c r="BQ1103" s="3">
        <v>0</v>
      </c>
      <c r="BR1103" s="3">
        <v>0</v>
      </c>
      <c r="BS1103" s="3">
        <v>0</v>
      </c>
      <c r="BT1103" s="3">
        <v>0</v>
      </c>
      <c r="BU1103" s="3">
        <v>0</v>
      </c>
    </row>
    <row r="1104" spans="1:73" x14ac:dyDescent="0.25">
      <c r="A1104" s="2" t="s">
        <v>136</v>
      </c>
      <c r="B1104" s="4">
        <v>63</v>
      </c>
      <c r="C1104" s="4">
        <v>1</v>
      </c>
      <c r="D1104" s="4">
        <v>2</v>
      </c>
      <c r="E1104" s="4">
        <v>2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0</v>
      </c>
      <c r="AX1104" s="3">
        <v>0</v>
      </c>
      <c r="AY1104" s="3">
        <v>0</v>
      </c>
      <c r="AZ1104" s="3">
        <v>0</v>
      </c>
      <c r="BA1104" s="3">
        <v>0</v>
      </c>
      <c r="BB1104" s="3">
        <v>0</v>
      </c>
      <c r="BC1104" s="3">
        <v>0</v>
      </c>
      <c r="BD1104" s="3">
        <v>0</v>
      </c>
      <c r="BE1104" s="3">
        <v>0</v>
      </c>
      <c r="BF1104" s="3">
        <v>0</v>
      </c>
      <c r="BG1104" s="3">
        <v>0</v>
      </c>
      <c r="BH1104" s="3">
        <v>0</v>
      </c>
      <c r="BI1104" s="3">
        <v>0</v>
      </c>
      <c r="BJ1104" s="3">
        <v>0</v>
      </c>
      <c r="BK1104" s="3">
        <v>0</v>
      </c>
      <c r="BL1104" s="3">
        <v>0</v>
      </c>
      <c r="BM1104" s="3">
        <v>0</v>
      </c>
      <c r="BN1104" s="3">
        <v>0</v>
      </c>
      <c r="BO1104" s="3">
        <v>0</v>
      </c>
      <c r="BP1104" s="3">
        <v>0</v>
      </c>
      <c r="BQ1104" s="3">
        <v>0</v>
      </c>
      <c r="BR1104" s="3">
        <v>0</v>
      </c>
      <c r="BS1104" s="3">
        <v>0</v>
      </c>
      <c r="BT1104" s="3">
        <v>0</v>
      </c>
      <c r="BU1104" s="3">
        <v>0</v>
      </c>
    </row>
    <row r="1105" spans="1:73" x14ac:dyDescent="0.25">
      <c r="A1105" s="2" t="s">
        <v>136</v>
      </c>
      <c r="B1105" s="4">
        <v>63</v>
      </c>
      <c r="C1105" s="4">
        <v>1</v>
      </c>
      <c r="D1105" s="4">
        <v>2</v>
      </c>
      <c r="E1105" s="4">
        <v>3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1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  <c r="BA1105" s="3">
        <v>0</v>
      </c>
      <c r="BB1105" s="3">
        <v>0</v>
      </c>
      <c r="BC1105" s="3">
        <v>0</v>
      </c>
      <c r="BD1105" s="3">
        <v>0</v>
      </c>
      <c r="BE1105" s="3">
        <v>0</v>
      </c>
      <c r="BF1105" s="3">
        <v>0</v>
      </c>
      <c r="BG1105" s="3">
        <v>0</v>
      </c>
      <c r="BH1105" s="3">
        <v>0</v>
      </c>
      <c r="BI1105" s="3">
        <v>0</v>
      </c>
      <c r="BJ1105" s="3">
        <v>0</v>
      </c>
      <c r="BK1105" s="3">
        <v>0</v>
      </c>
      <c r="BL1105" s="3">
        <v>0</v>
      </c>
      <c r="BM1105" s="3">
        <v>0</v>
      </c>
      <c r="BN1105" s="3">
        <v>0</v>
      </c>
      <c r="BO1105" s="3">
        <v>0</v>
      </c>
      <c r="BP1105" s="3">
        <v>0</v>
      </c>
      <c r="BQ1105" s="3">
        <v>0</v>
      </c>
      <c r="BR1105" s="3">
        <v>0</v>
      </c>
      <c r="BS1105" s="3">
        <v>0</v>
      </c>
      <c r="BT1105" s="3">
        <v>0</v>
      </c>
      <c r="BU1105" s="3">
        <v>0</v>
      </c>
    </row>
    <row r="1106" spans="1:73" x14ac:dyDescent="0.25">
      <c r="A1106" s="2" t="s">
        <v>136</v>
      </c>
      <c r="B1106" s="4">
        <v>63</v>
      </c>
      <c r="C1106" s="4">
        <v>1</v>
      </c>
      <c r="D1106" s="4">
        <v>3</v>
      </c>
      <c r="E1106" s="4">
        <v>1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0</v>
      </c>
      <c r="BB1106" s="3">
        <v>0</v>
      </c>
      <c r="BC1106" s="3">
        <v>0</v>
      </c>
      <c r="BD1106" s="3">
        <v>0</v>
      </c>
      <c r="BE1106" s="3">
        <v>0</v>
      </c>
      <c r="BF1106" s="3">
        <v>0</v>
      </c>
      <c r="BG1106" s="3">
        <v>0</v>
      </c>
      <c r="BH1106" s="3">
        <v>0</v>
      </c>
      <c r="BI1106" s="3">
        <v>0</v>
      </c>
      <c r="BJ1106" s="3">
        <v>0</v>
      </c>
      <c r="BK1106" s="3">
        <v>0</v>
      </c>
      <c r="BL1106" s="3">
        <v>0</v>
      </c>
      <c r="BM1106" s="3">
        <v>0</v>
      </c>
      <c r="BN1106" s="3">
        <v>0</v>
      </c>
      <c r="BO1106" s="3">
        <v>0</v>
      </c>
      <c r="BP1106" s="3">
        <v>0</v>
      </c>
      <c r="BQ1106" s="3">
        <v>0</v>
      </c>
      <c r="BR1106" s="3">
        <v>0</v>
      </c>
      <c r="BS1106" s="3">
        <v>0</v>
      </c>
      <c r="BT1106" s="3">
        <v>0</v>
      </c>
      <c r="BU1106" s="3">
        <v>0</v>
      </c>
    </row>
    <row r="1107" spans="1:73" x14ac:dyDescent="0.25">
      <c r="A1107" s="2" t="s">
        <v>136</v>
      </c>
      <c r="B1107" s="4">
        <v>63</v>
      </c>
      <c r="C1107" s="4">
        <v>1</v>
      </c>
      <c r="D1107" s="4">
        <v>3</v>
      </c>
      <c r="E1107" s="4">
        <v>2</v>
      </c>
      <c r="F1107" s="3">
        <v>0</v>
      </c>
      <c r="G1107" s="3">
        <v>1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0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0</v>
      </c>
      <c r="BD1107" s="3">
        <v>0</v>
      </c>
      <c r="BE1107" s="3">
        <v>0</v>
      </c>
      <c r="BF1107" s="3">
        <v>0</v>
      </c>
      <c r="BG1107" s="3">
        <v>0</v>
      </c>
      <c r="BH1107" s="3">
        <v>0</v>
      </c>
      <c r="BI1107" s="3">
        <v>0</v>
      </c>
      <c r="BJ1107" s="3">
        <v>0</v>
      </c>
      <c r="BK1107" s="3">
        <v>0</v>
      </c>
      <c r="BL1107" s="3">
        <v>0</v>
      </c>
      <c r="BM1107" s="3">
        <v>0</v>
      </c>
      <c r="BN1107" s="3">
        <v>0</v>
      </c>
      <c r="BO1107" s="3">
        <v>0</v>
      </c>
      <c r="BP1107" s="3">
        <v>0</v>
      </c>
      <c r="BQ1107" s="3">
        <v>0</v>
      </c>
      <c r="BR1107" s="3">
        <v>0</v>
      </c>
      <c r="BS1107" s="3">
        <v>0</v>
      </c>
      <c r="BT1107" s="3">
        <v>0</v>
      </c>
      <c r="BU1107" s="3">
        <v>0</v>
      </c>
    </row>
    <row r="1108" spans="1:73" x14ac:dyDescent="0.25">
      <c r="A1108" s="2" t="s">
        <v>136</v>
      </c>
      <c r="B1108" s="4">
        <v>63</v>
      </c>
      <c r="C1108" s="4">
        <v>1</v>
      </c>
      <c r="D1108" s="4">
        <v>3</v>
      </c>
      <c r="E1108" s="4">
        <v>3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  <c r="BA1108" s="3">
        <v>0</v>
      </c>
      <c r="BB1108" s="3">
        <v>0</v>
      </c>
      <c r="BC1108" s="3">
        <v>0</v>
      </c>
      <c r="BD1108" s="3">
        <v>0</v>
      </c>
      <c r="BE1108" s="3">
        <v>0</v>
      </c>
      <c r="BF1108" s="3">
        <v>0</v>
      </c>
      <c r="BG1108" s="3">
        <v>0</v>
      </c>
      <c r="BH1108" s="3">
        <v>0</v>
      </c>
      <c r="BI1108" s="3">
        <v>0</v>
      </c>
      <c r="BJ1108" s="3">
        <v>0</v>
      </c>
      <c r="BK1108" s="3">
        <v>0</v>
      </c>
      <c r="BL1108" s="3">
        <v>0</v>
      </c>
      <c r="BM1108" s="3">
        <v>0</v>
      </c>
      <c r="BN1108" s="3">
        <v>0</v>
      </c>
      <c r="BO1108" s="3">
        <v>0</v>
      </c>
      <c r="BP1108" s="3">
        <v>0</v>
      </c>
      <c r="BQ1108" s="3">
        <v>0</v>
      </c>
      <c r="BR1108" s="3">
        <v>0</v>
      </c>
      <c r="BS1108" s="3">
        <v>0</v>
      </c>
      <c r="BT1108" s="3">
        <v>0</v>
      </c>
      <c r="BU1108" s="3">
        <v>0</v>
      </c>
    </row>
    <row r="1109" spans="1:73" x14ac:dyDescent="0.25">
      <c r="A1109" s="2" t="s">
        <v>136</v>
      </c>
      <c r="B1109" s="4">
        <v>63</v>
      </c>
      <c r="C1109" s="4">
        <v>2</v>
      </c>
      <c r="D1109" s="4">
        <v>1</v>
      </c>
      <c r="E1109" s="4">
        <v>1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1</v>
      </c>
      <c r="AF1109" s="3">
        <v>0</v>
      </c>
      <c r="AG1109" s="3">
        <v>0</v>
      </c>
      <c r="AH1109" s="3">
        <v>0</v>
      </c>
      <c r="AI1109" s="3">
        <v>0</v>
      </c>
      <c r="AJ1109" s="3">
        <v>2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>
        <v>0</v>
      </c>
      <c r="BD1109" s="3">
        <v>0</v>
      </c>
      <c r="BE1109" s="3">
        <v>0</v>
      </c>
      <c r="BF1109" s="3">
        <v>1</v>
      </c>
      <c r="BG1109" s="3">
        <v>0</v>
      </c>
      <c r="BH1109" s="3">
        <v>0</v>
      </c>
      <c r="BI1109" s="3">
        <v>0</v>
      </c>
      <c r="BJ1109" s="3">
        <v>0</v>
      </c>
      <c r="BK1109" s="3">
        <v>0</v>
      </c>
      <c r="BL1109" s="3">
        <v>0</v>
      </c>
      <c r="BM1109" s="3">
        <v>0</v>
      </c>
      <c r="BN1109" s="3">
        <v>0</v>
      </c>
      <c r="BO1109" s="3">
        <v>0</v>
      </c>
      <c r="BP1109" s="3">
        <v>0</v>
      </c>
      <c r="BQ1109" s="3">
        <v>0</v>
      </c>
      <c r="BR1109" s="3">
        <v>0</v>
      </c>
      <c r="BS1109" s="3">
        <v>0</v>
      </c>
      <c r="BT1109" s="3">
        <v>0</v>
      </c>
      <c r="BU1109" s="3">
        <v>0</v>
      </c>
    </row>
    <row r="1110" spans="1:73" x14ac:dyDescent="0.25">
      <c r="A1110" s="2" t="s">
        <v>136</v>
      </c>
      <c r="B1110" s="4">
        <v>63</v>
      </c>
      <c r="C1110" s="4">
        <v>2</v>
      </c>
      <c r="D1110" s="4">
        <v>1</v>
      </c>
      <c r="E1110" s="4">
        <v>2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1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2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0</v>
      </c>
      <c r="BD1110" s="3">
        <v>0</v>
      </c>
      <c r="BE1110" s="3">
        <v>0</v>
      </c>
      <c r="BF1110" s="3">
        <v>0</v>
      </c>
      <c r="BG1110" s="3">
        <v>0</v>
      </c>
      <c r="BH1110" s="3">
        <v>0</v>
      </c>
      <c r="BI1110" s="3">
        <v>0</v>
      </c>
      <c r="BJ1110" s="3">
        <v>0</v>
      </c>
      <c r="BK1110" s="3">
        <v>0</v>
      </c>
      <c r="BL1110" s="3">
        <v>0</v>
      </c>
      <c r="BM1110" s="3">
        <v>0</v>
      </c>
      <c r="BN1110" s="3">
        <v>0</v>
      </c>
      <c r="BO1110" s="3">
        <v>0</v>
      </c>
      <c r="BP1110" s="3">
        <v>0</v>
      </c>
      <c r="BQ1110" s="3">
        <v>0</v>
      </c>
      <c r="BR1110" s="3">
        <v>0</v>
      </c>
      <c r="BS1110" s="3">
        <v>0</v>
      </c>
      <c r="BT1110" s="3">
        <v>2</v>
      </c>
      <c r="BU1110" s="3">
        <v>0</v>
      </c>
    </row>
    <row r="1111" spans="1:73" x14ac:dyDescent="0.25">
      <c r="A1111" s="2" t="s">
        <v>136</v>
      </c>
      <c r="B1111" s="4">
        <v>63</v>
      </c>
      <c r="C1111" s="4">
        <v>2</v>
      </c>
      <c r="D1111" s="4">
        <v>1</v>
      </c>
      <c r="E1111" s="4">
        <v>3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0</v>
      </c>
      <c r="BC1111" s="3">
        <v>0</v>
      </c>
      <c r="BD1111" s="3">
        <v>0</v>
      </c>
      <c r="BE1111" s="3">
        <v>0</v>
      </c>
      <c r="BF1111" s="3">
        <v>0</v>
      </c>
      <c r="BG1111" s="3">
        <v>0</v>
      </c>
      <c r="BH1111" s="3">
        <v>0</v>
      </c>
      <c r="BI1111" s="3">
        <v>0</v>
      </c>
      <c r="BJ1111" s="3">
        <v>0</v>
      </c>
      <c r="BK1111" s="3">
        <v>0</v>
      </c>
      <c r="BL1111" s="3">
        <v>0</v>
      </c>
      <c r="BM1111" s="3">
        <v>0</v>
      </c>
      <c r="BN1111" s="3">
        <v>0</v>
      </c>
      <c r="BO1111" s="3">
        <v>0</v>
      </c>
      <c r="BP1111" s="3">
        <v>0</v>
      </c>
      <c r="BQ1111" s="3">
        <v>0</v>
      </c>
      <c r="BR1111" s="3">
        <v>0</v>
      </c>
      <c r="BS1111" s="3">
        <v>0</v>
      </c>
      <c r="BT1111" s="3">
        <v>0</v>
      </c>
      <c r="BU1111" s="3">
        <v>0</v>
      </c>
    </row>
    <row r="1112" spans="1:73" x14ac:dyDescent="0.25">
      <c r="A1112" s="2" t="s">
        <v>136</v>
      </c>
      <c r="B1112" s="4">
        <v>63</v>
      </c>
      <c r="C1112" s="4">
        <v>2</v>
      </c>
      <c r="D1112" s="4">
        <v>2</v>
      </c>
      <c r="E1112" s="4">
        <v>1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0</v>
      </c>
      <c r="BB1112" s="3">
        <v>0</v>
      </c>
      <c r="BC1112" s="3">
        <v>0</v>
      </c>
      <c r="BD1112" s="3">
        <v>0</v>
      </c>
      <c r="BE1112" s="3">
        <v>0</v>
      </c>
      <c r="BF1112" s="3">
        <v>0</v>
      </c>
      <c r="BG1112" s="3">
        <v>0</v>
      </c>
      <c r="BH1112" s="3">
        <v>0</v>
      </c>
      <c r="BI1112" s="3">
        <v>0</v>
      </c>
      <c r="BJ1112" s="3">
        <v>0</v>
      </c>
      <c r="BK1112" s="3">
        <v>0</v>
      </c>
      <c r="BL1112" s="3">
        <v>0</v>
      </c>
      <c r="BM1112" s="3">
        <v>0</v>
      </c>
      <c r="BN1112" s="3">
        <v>0</v>
      </c>
      <c r="BO1112" s="3">
        <v>0</v>
      </c>
      <c r="BP1112" s="3">
        <v>0</v>
      </c>
      <c r="BQ1112" s="3">
        <v>0</v>
      </c>
      <c r="BR1112" s="3">
        <v>0</v>
      </c>
      <c r="BS1112" s="3">
        <v>0</v>
      </c>
      <c r="BT1112" s="3">
        <v>0</v>
      </c>
      <c r="BU1112" s="3">
        <v>0</v>
      </c>
    </row>
    <row r="1113" spans="1:73" x14ac:dyDescent="0.25">
      <c r="A1113" s="2" t="s">
        <v>136</v>
      </c>
      <c r="B1113" s="4">
        <v>63</v>
      </c>
      <c r="C1113" s="4">
        <v>2</v>
      </c>
      <c r="D1113" s="4">
        <v>2</v>
      </c>
      <c r="E1113" s="4">
        <v>2</v>
      </c>
      <c r="F1113" s="3">
        <v>0</v>
      </c>
      <c r="G1113" s="3">
        <v>1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0</v>
      </c>
      <c r="BB1113" s="3">
        <v>0</v>
      </c>
      <c r="BC1113" s="3">
        <v>0</v>
      </c>
      <c r="BD1113" s="3">
        <v>0</v>
      </c>
      <c r="BE1113" s="3">
        <v>0</v>
      </c>
      <c r="BF1113" s="3">
        <v>0</v>
      </c>
      <c r="BG1113" s="3">
        <v>0</v>
      </c>
      <c r="BH1113" s="3">
        <v>0</v>
      </c>
      <c r="BI1113" s="3">
        <v>0</v>
      </c>
      <c r="BJ1113" s="3">
        <v>0</v>
      </c>
      <c r="BK1113" s="3">
        <v>0</v>
      </c>
      <c r="BL1113" s="3">
        <v>0</v>
      </c>
      <c r="BM1113" s="3">
        <v>0</v>
      </c>
      <c r="BN1113" s="3">
        <v>0</v>
      </c>
      <c r="BO1113" s="3">
        <v>0</v>
      </c>
      <c r="BP1113" s="3">
        <v>0</v>
      </c>
      <c r="BQ1113" s="3">
        <v>0</v>
      </c>
      <c r="BR1113" s="3">
        <v>0</v>
      </c>
      <c r="BS1113" s="3">
        <v>0</v>
      </c>
      <c r="BT1113" s="3">
        <v>0</v>
      </c>
      <c r="BU1113" s="3">
        <v>0</v>
      </c>
    </row>
    <row r="1114" spans="1:73" x14ac:dyDescent="0.25">
      <c r="A1114" s="2" t="s">
        <v>136</v>
      </c>
      <c r="B1114" s="4">
        <v>63</v>
      </c>
      <c r="C1114" s="4">
        <v>2</v>
      </c>
      <c r="D1114" s="4">
        <v>2</v>
      </c>
      <c r="E1114" s="4">
        <v>3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1</v>
      </c>
      <c r="AF1114" s="3">
        <v>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0</v>
      </c>
      <c r="BD1114" s="3">
        <v>0</v>
      </c>
      <c r="BE1114" s="3">
        <v>0</v>
      </c>
      <c r="BF1114" s="3">
        <v>0</v>
      </c>
      <c r="BG1114" s="3">
        <v>0</v>
      </c>
      <c r="BH1114" s="3">
        <v>0</v>
      </c>
      <c r="BI1114" s="3">
        <v>0</v>
      </c>
      <c r="BJ1114" s="3">
        <v>0</v>
      </c>
      <c r="BK1114" s="3">
        <v>0</v>
      </c>
      <c r="BL1114" s="3">
        <v>0</v>
      </c>
      <c r="BM1114" s="3">
        <v>0</v>
      </c>
      <c r="BN1114" s="3">
        <v>0</v>
      </c>
      <c r="BO1114" s="3">
        <v>0</v>
      </c>
      <c r="BP1114" s="3">
        <v>0</v>
      </c>
      <c r="BQ1114" s="3">
        <v>0</v>
      </c>
      <c r="BR1114" s="3">
        <v>0</v>
      </c>
      <c r="BS1114" s="3">
        <v>0</v>
      </c>
      <c r="BT1114" s="3">
        <v>0</v>
      </c>
      <c r="BU1114" s="3">
        <v>0</v>
      </c>
    </row>
    <row r="1115" spans="1:73" x14ac:dyDescent="0.25">
      <c r="A1115" s="2" t="s">
        <v>136</v>
      </c>
      <c r="B1115" s="4">
        <v>63</v>
      </c>
      <c r="C1115" s="4">
        <v>2</v>
      </c>
      <c r="D1115" s="4">
        <v>3</v>
      </c>
      <c r="E1115" s="4">
        <v>1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  <c r="BC1115" s="3">
        <v>0</v>
      </c>
      <c r="BD1115" s="3">
        <v>0</v>
      </c>
      <c r="BE1115" s="3">
        <v>0</v>
      </c>
      <c r="BF1115" s="3">
        <v>0</v>
      </c>
      <c r="BG1115" s="3">
        <v>0</v>
      </c>
      <c r="BH1115" s="3">
        <v>0</v>
      </c>
      <c r="BI1115" s="3">
        <v>0</v>
      </c>
      <c r="BJ1115" s="3">
        <v>0</v>
      </c>
      <c r="BK1115" s="3">
        <v>0</v>
      </c>
      <c r="BL1115" s="3">
        <v>0</v>
      </c>
      <c r="BM1115" s="3">
        <v>0</v>
      </c>
      <c r="BN1115" s="3">
        <v>0</v>
      </c>
      <c r="BO1115" s="3">
        <v>0</v>
      </c>
      <c r="BP1115" s="3">
        <v>0</v>
      </c>
      <c r="BQ1115" s="3">
        <v>0</v>
      </c>
      <c r="BR1115" s="3">
        <v>0</v>
      </c>
      <c r="BS1115" s="3">
        <v>0</v>
      </c>
      <c r="BT1115" s="3">
        <v>2</v>
      </c>
      <c r="BU1115" s="3">
        <v>0</v>
      </c>
    </row>
    <row r="1116" spans="1:73" x14ac:dyDescent="0.25">
      <c r="A1116" s="2" t="s">
        <v>136</v>
      </c>
      <c r="B1116" s="4">
        <v>63</v>
      </c>
      <c r="C1116" s="4">
        <v>2</v>
      </c>
      <c r="D1116" s="4">
        <v>3</v>
      </c>
      <c r="E1116" s="4">
        <v>2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0</v>
      </c>
      <c r="BB1116" s="3">
        <v>0</v>
      </c>
      <c r="BC1116" s="3">
        <v>0</v>
      </c>
      <c r="BD1116" s="3">
        <v>0</v>
      </c>
      <c r="BE1116" s="3">
        <v>0</v>
      </c>
      <c r="BF1116" s="3">
        <v>0</v>
      </c>
      <c r="BG1116" s="3">
        <v>0</v>
      </c>
      <c r="BH1116" s="3">
        <v>0</v>
      </c>
      <c r="BI1116" s="3">
        <v>0</v>
      </c>
      <c r="BJ1116" s="3">
        <v>0</v>
      </c>
      <c r="BK1116" s="3">
        <v>0</v>
      </c>
      <c r="BL1116" s="3">
        <v>0</v>
      </c>
      <c r="BM1116" s="3">
        <v>0</v>
      </c>
      <c r="BN1116" s="3">
        <v>0</v>
      </c>
      <c r="BO1116" s="3">
        <v>0</v>
      </c>
      <c r="BP1116" s="3">
        <v>0</v>
      </c>
      <c r="BQ1116" s="3">
        <v>0</v>
      </c>
      <c r="BR1116" s="3">
        <v>0</v>
      </c>
      <c r="BS1116" s="3">
        <v>0</v>
      </c>
      <c r="BT1116" s="3">
        <v>0</v>
      </c>
      <c r="BU1116" s="3">
        <v>0</v>
      </c>
    </row>
    <row r="1117" spans="1:73" x14ac:dyDescent="0.25">
      <c r="A1117" s="2" t="s">
        <v>136</v>
      </c>
      <c r="B1117" s="4">
        <v>63</v>
      </c>
      <c r="C1117" s="4">
        <v>2</v>
      </c>
      <c r="D1117" s="4">
        <v>3</v>
      </c>
      <c r="E1117" s="4">
        <v>3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3">
        <v>0</v>
      </c>
      <c r="AY1117" s="3">
        <v>0</v>
      </c>
      <c r="AZ1117" s="3">
        <v>0</v>
      </c>
      <c r="BA1117" s="3">
        <v>0</v>
      </c>
      <c r="BB1117" s="3">
        <v>0</v>
      </c>
      <c r="BC1117" s="3">
        <v>0</v>
      </c>
      <c r="BD1117" s="3">
        <v>0</v>
      </c>
      <c r="BE1117" s="3">
        <v>0</v>
      </c>
      <c r="BF1117" s="3">
        <v>0</v>
      </c>
      <c r="BG1117" s="3">
        <v>0</v>
      </c>
      <c r="BH1117" s="3">
        <v>0</v>
      </c>
      <c r="BI1117" s="3">
        <v>0</v>
      </c>
      <c r="BJ1117" s="3">
        <v>0</v>
      </c>
      <c r="BK1117" s="3">
        <v>0</v>
      </c>
      <c r="BL1117" s="3">
        <v>0</v>
      </c>
      <c r="BM1117" s="3">
        <v>0</v>
      </c>
      <c r="BN1117" s="3">
        <v>0</v>
      </c>
      <c r="BO1117" s="3">
        <v>0</v>
      </c>
      <c r="BP1117" s="3">
        <v>0</v>
      </c>
      <c r="BQ1117" s="3">
        <v>0</v>
      </c>
      <c r="BR1117" s="3">
        <v>0</v>
      </c>
      <c r="BS1117" s="3">
        <v>0</v>
      </c>
      <c r="BT1117" s="3">
        <v>0</v>
      </c>
      <c r="BU1117" s="3">
        <v>0</v>
      </c>
    </row>
    <row r="1118" spans="1:73" x14ac:dyDescent="0.25">
      <c r="A1118" s="2" t="s">
        <v>137</v>
      </c>
      <c r="B1118" s="4">
        <v>64</v>
      </c>
      <c r="C1118" s="4">
        <v>1</v>
      </c>
      <c r="D1118" s="4">
        <v>1</v>
      </c>
      <c r="E1118" s="4">
        <v>1</v>
      </c>
      <c r="F1118" s="3">
        <v>0</v>
      </c>
      <c r="G1118" s="3">
        <v>1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1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0</v>
      </c>
      <c r="BD1118" s="3">
        <v>0</v>
      </c>
      <c r="BE1118" s="3">
        <v>0</v>
      </c>
      <c r="BF1118" s="3">
        <v>0</v>
      </c>
      <c r="BG1118" s="3">
        <v>0</v>
      </c>
      <c r="BH1118" s="3">
        <v>0</v>
      </c>
      <c r="BI1118" s="3">
        <v>1</v>
      </c>
      <c r="BJ1118" s="3">
        <v>0</v>
      </c>
      <c r="BK1118" s="3">
        <v>0</v>
      </c>
      <c r="BL1118" s="3">
        <v>0</v>
      </c>
      <c r="BM1118" s="3">
        <v>0</v>
      </c>
      <c r="BN1118" s="3">
        <v>0</v>
      </c>
      <c r="BO1118" s="3">
        <v>0</v>
      </c>
      <c r="BP1118" s="3">
        <v>0</v>
      </c>
      <c r="BQ1118" s="3">
        <v>0</v>
      </c>
      <c r="BR1118" s="3">
        <v>0</v>
      </c>
      <c r="BS1118" s="3">
        <v>0</v>
      </c>
      <c r="BT1118" s="3">
        <v>2</v>
      </c>
      <c r="BU1118" s="3">
        <v>0</v>
      </c>
    </row>
    <row r="1119" spans="1:73" x14ac:dyDescent="0.25">
      <c r="A1119" s="2" t="s">
        <v>137</v>
      </c>
      <c r="B1119" s="4">
        <v>64</v>
      </c>
      <c r="C1119" s="4">
        <v>1</v>
      </c>
      <c r="D1119" s="4">
        <v>1</v>
      </c>
      <c r="E1119" s="4">
        <v>2</v>
      </c>
      <c r="F1119" s="3">
        <v>0</v>
      </c>
      <c r="G1119" s="3">
        <v>0</v>
      </c>
      <c r="H1119" s="3">
        <v>0</v>
      </c>
      <c r="I1119" s="3">
        <v>0</v>
      </c>
      <c r="J1119" s="3">
        <v>1</v>
      </c>
      <c r="K1119" s="3">
        <v>0</v>
      </c>
      <c r="L1119" s="3">
        <v>0</v>
      </c>
      <c r="M1119" s="3">
        <v>1</v>
      </c>
      <c r="N1119" s="3">
        <v>0</v>
      </c>
      <c r="O1119" s="3">
        <v>1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0</v>
      </c>
      <c r="BD1119" s="3">
        <v>0</v>
      </c>
      <c r="BE1119" s="3">
        <v>0</v>
      </c>
      <c r="BF1119" s="3">
        <v>0</v>
      </c>
      <c r="BG1119" s="3">
        <v>0</v>
      </c>
      <c r="BH1119" s="3">
        <v>0</v>
      </c>
      <c r="BI1119" s="3">
        <v>0</v>
      </c>
      <c r="BJ1119" s="3">
        <v>0</v>
      </c>
      <c r="BK1119" s="3">
        <v>0</v>
      </c>
      <c r="BL1119" s="3">
        <v>1</v>
      </c>
      <c r="BM1119" s="3">
        <v>0</v>
      </c>
      <c r="BN1119" s="3">
        <v>0</v>
      </c>
      <c r="BO1119" s="3">
        <v>0</v>
      </c>
      <c r="BP1119" s="3">
        <v>0</v>
      </c>
      <c r="BQ1119" s="3">
        <v>0</v>
      </c>
      <c r="BR1119" s="3">
        <v>0</v>
      </c>
      <c r="BS1119" s="3">
        <v>0</v>
      </c>
      <c r="BT1119" s="3">
        <v>0</v>
      </c>
      <c r="BU1119" s="3">
        <v>0</v>
      </c>
    </row>
    <row r="1120" spans="1:73" x14ac:dyDescent="0.25">
      <c r="A1120" s="2" t="s">
        <v>137</v>
      </c>
      <c r="B1120" s="4">
        <v>64</v>
      </c>
      <c r="C1120" s="4">
        <v>1</v>
      </c>
      <c r="D1120" s="4">
        <v>1</v>
      </c>
      <c r="E1120" s="4">
        <v>3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0</v>
      </c>
      <c r="BC1120" s="3">
        <v>0</v>
      </c>
      <c r="BD1120" s="3">
        <v>0</v>
      </c>
      <c r="BE1120" s="3">
        <v>0</v>
      </c>
      <c r="BF1120" s="3">
        <v>0</v>
      </c>
      <c r="BG1120" s="3">
        <v>0</v>
      </c>
      <c r="BH1120" s="3">
        <v>0</v>
      </c>
      <c r="BI1120" s="3">
        <v>0</v>
      </c>
      <c r="BJ1120" s="3">
        <v>0</v>
      </c>
      <c r="BK1120" s="3">
        <v>0</v>
      </c>
      <c r="BL1120" s="3">
        <v>1</v>
      </c>
      <c r="BM1120" s="3">
        <v>0</v>
      </c>
      <c r="BN1120" s="3">
        <v>0</v>
      </c>
      <c r="BO1120" s="3">
        <v>0</v>
      </c>
      <c r="BP1120" s="3">
        <v>0</v>
      </c>
      <c r="BQ1120" s="3">
        <v>0</v>
      </c>
      <c r="BR1120" s="3">
        <v>0</v>
      </c>
      <c r="BS1120" s="3">
        <v>0</v>
      </c>
      <c r="BT1120" s="3">
        <v>0</v>
      </c>
      <c r="BU1120" s="3">
        <v>0</v>
      </c>
    </row>
    <row r="1121" spans="1:73" x14ac:dyDescent="0.25">
      <c r="A1121" s="2" t="s">
        <v>137</v>
      </c>
      <c r="B1121" s="4">
        <v>64</v>
      </c>
      <c r="C1121" s="4">
        <v>1</v>
      </c>
      <c r="D1121" s="4">
        <v>2</v>
      </c>
      <c r="E1121" s="4">
        <v>1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0</v>
      </c>
      <c r="BB1121" s="3">
        <v>0</v>
      </c>
      <c r="BC1121" s="3">
        <v>0</v>
      </c>
      <c r="BD1121" s="3">
        <v>0</v>
      </c>
      <c r="BE1121" s="3">
        <v>0</v>
      </c>
      <c r="BF1121" s="3">
        <v>0</v>
      </c>
      <c r="BG1121" s="3">
        <v>0</v>
      </c>
      <c r="BH1121" s="3">
        <v>0</v>
      </c>
      <c r="BI1121" s="3">
        <v>0</v>
      </c>
      <c r="BJ1121" s="3">
        <v>0</v>
      </c>
      <c r="BK1121" s="3">
        <v>0</v>
      </c>
      <c r="BL1121" s="3">
        <v>0</v>
      </c>
      <c r="BM1121" s="3">
        <v>0</v>
      </c>
      <c r="BN1121" s="3">
        <v>0</v>
      </c>
      <c r="BO1121" s="3">
        <v>0</v>
      </c>
      <c r="BP1121" s="3">
        <v>0</v>
      </c>
      <c r="BQ1121" s="3">
        <v>0</v>
      </c>
      <c r="BR1121" s="3">
        <v>0</v>
      </c>
      <c r="BS1121" s="3">
        <v>0</v>
      </c>
      <c r="BT1121" s="3">
        <v>0</v>
      </c>
      <c r="BU1121" s="3">
        <v>0</v>
      </c>
    </row>
    <row r="1122" spans="1:73" x14ac:dyDescent="0.25">
      <c r="A1122" s="2" t="s">
        <v>137</v>
      </c>
      <c r="B1122" s="4">
        <v>64</v>
      </c>
      <c r="C1122" s="4">
        <v>1</v>
      </c>
      <c r="D1122" s="4">
        <v>2</v>
      </c>
      <c r="E1122" s="4">
        <v>2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v>0</v>
      </c>
      <c r="BD1122" s="3">
        <v>0</v>
      </c>
      <c r="BE1122" s="3">
        <v>0</v>
      </c>
      <c r="BF1122" s="3">
        <v>0</v>
      </c>
      <c r="BG1122" s="3">
        <v>0</v>
      </c>
      <c r="BH1122" s="3">
        <v>0</v>
      </c>
      <c r="BI1122" s="3">
        <v>0</v>
      </c>
      <c r="BJ1122" s="3">
        <v>0</v>
      </c>
      <c r="BK1122" s="3">
        <v>0</v>
      </c>
      <c r="BL1122" s="3">
        <v>0</v>
      </c>
      <c r="BM1122" s="3">
        <v>0</v>
      </c>
      <c r="BN1122" s="3">
        <v>0</v>
      </c>
      <c r="BO1122" s="3">
        <v>0</v>
      </c>
      <c r="BP1122" s="3">
        <v>0</v>
      </c>
      <c r="BQ1122" s="3">
        <v>0</v>
      </c>
      <c r="BR1122" s="3">
        <v>0</v>
      </c>
      <c r="BS1122" s="3">
        <v>0</v>
      </c>
      <c r="BT1122" s="3">
        <v>0</v>
      </c>
      <c r="BU1122" s="3">
        <v>0</v>
      </c>
    </row>
    <row r="1123" spans="1:73" x14ac:dyDescent="0.25">
      <c r="A1123" s="2" t="s">
        <v>137</v>
      </c>
      <c r="B1123" s="4">
        <v>64</v>
      </c>
      <c r="C1123" s="4">
        <v>1</v>
      </c>
      <c r="D1123" s="4">
        <v>2</v>
      </c>
      <c r="E1123" s="4">
        <v>3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3">
        <v>0</v>
      </c>
      <c r="AY1123" s="3">
        <v>0</v>
      </c>
      <c r="AZ1123" s="3">
        <v>0</v>
      </c>
      <c r="BA1123" s="3">
        <v>0</v>
      </c>
      <c r="BB1123" s="3">
        <v>0</v>
      </c>
      <c r="BC1123" s="3">
        <v>0</v>
      </c>
      <c r="BD1123" s="3">
        <v>0</v>
      </c>
      <c r="BE1123" s="3">
        <v>0</v>
      </c>
      <c r="BF1123" s="3">
        <v>0</v>
      </c>
      <c r="BG1123" s="3">
        <v>0</v>
      </c>
      <c r="BH1123" s="3">
        <v>1</v>
      </c>
      <c r="BI1123" s="3">
        <v>0</v>
      </c>
      <c r="BJ1123" s="3">
        <v>0</v>
      </c>
      <c r="BK1123" s="3">
        <v>0</v>
      </c>
      <c r="BL1123" s="3">
        <v>0</v>
      </c>
      <c r="BM1123" s="3">
        <v>0</v>
      </c>
      <c r="BN1123" s="3">
        <v>0</v>
      </c>
      <c r="BO1123" s="3">
        <v>0</v>
      </c>
      <c r="BP1123" s="3">
        <v>0</v>
      </c>
      <c r="BQ1123" s="3">
        <v>0</v>
      </c>
      <c r="BR1123" s="3">
        <v>0</v>
      </c>
      <c r="BS1123" s="3">
        <v>0</v>
      </c>
      <c r="BT1123" s="3">
        <v>0</v>
      </c>
      <c r="BU1123" s="3">
        <v>0</v>
      </c>
    </row>
    <row r="1124" spans="1:73" x14ac:dyDescent="0.25">
      <c r="A1124" s="2" t="s">
        <v>137</v>
      </c>
      <c r="B1124" s="4">
        <v>64</v>
      </c>
      <c r="C1124" s="4">
        <v>1</v>
      </c>
      <c r="D1124" s="4">
        <v>3</v>
      </c>
      <c r="E1124" s="4">
        <v>1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0</v>
      </c>
      <c r="AX1124" s="3">
        <v>0</v>
      </c>
      <c r="AY1124" s="3">
        <v>0</v>
      </c>
      <c r="AZ1124" s="3">
        <v>0</v>
      </c>
      <c r="BA1124" s="3">
        <v>0</v>
      </c>
      <c r="BB1124" s="3">
        <v>0</v>
      </c>
      <c r="BC1124" s="3">
        <v>0</v>
      </c>
      <c r="BD1124" s="3">
        <v>0</v>
      </c>
      <c r="BE1124" s="3">
        <v>0</v>
      </c>
      <c r="BF1124" s="3">
        <v>0</v>
      </c>
      <c r="BG1124" s="3">
        <v>0</v>
      </c>
      <c r="BH1124" s="3">
        <v>0</v>
      </c>
      <c r="BI1124" s="3">
        <v>0</v>
      </c>
      <c r="BJ1124" s="3">
        <v>0</v>
      </c>
      <c r="BK1124" s="3">
        <v>0</v>
      </c>
      <c r="BL1124" s="3">
        <v>0</v>
      </c>
      <c r="BM1124" s="3">
        <v>0</v>
      </c>
      <c r="BN1124" s="3">
        <v>0</v>
      </c>
      <c r="BO1124" s="3">
        <v>0</v>
      </c>
      <c r="BP1124" s="3">
        <v>0</v>
      </c>
      <c r="BQ1124" s="3">
        <v>0</v>
      </c>
      <c r="BR1124" s="3">
        <v>0</v>
      </c>
      <c r="BS1124" s="3">
        <v>0</v>
      </c>
      <c r="BT1124" s="3">
        <v>0</v>
      </c>
      <c r="BU1124" s="3">
        <v>0</v>
      </c>
    </row>
    <row r="1125" spans="1:73" x14ac:dyDescent="0.25">
      <c r="A1125" s="2" t="s">
        <v>137</v>
      </c>
      <c r="B1125" s="4">
        <v>64</v>
      </c>
      <c r="C1125" s="4">
        <v>1</v>
      </c>
      <c r="D1125" s="4">
        <v>3</v>
      </c>
      <c r="E1125" s="4">
        <v>2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1</v>
      </c>
      <c r="T1125" s="3">
        <v>0</v>
      </c>
      <c r="U1125" s="3">
        <v>0</v>
      </c>
      <c r="V1125" s="3">
        <v>1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  <c r="BA1125" s="3">
        <v>0</v>
      </c>
      <c r="BB1125" s="3">
        <v>0</v>
      </c>
      <c r="BC1125" s="3">
        <v>0</v>
      </c>
      <c r="BD1125" s="3">
        <v>0</v>
      </c>
      <c r="BE1125" s="3">
        <v>0</v>
      </c>
      <c r="BF1125" s="3">
        <v>0</v>
      </c>
      <c r="BG1125" s="3">
        <v>0</v>
      </c>
      <c r="BH1125" s="3">
        <v>0</v>
      </c>
      <c r="BI1125" s="3">
        <v>0</v>
      </c>
      <c r="BJ1125" s="3">
        <v>0</v>
      </c>
      <c r="BK1125" s="3">
        <v>0</v>
      </c>
      <c r="BL1125" s="3">
        <v>0</v>
      </c>
      <c r="BM1125" s="3">
        <v>0</v>
      </c>
      <c r="BN1125" s="3">
        <v>0</v>
      </c>
      <c r="BO1125" s="3">
        <v>0</v>
      </c>
      <c r="BP1125" s="3">
        <v>0</v>
      </c>
      <c r="BQ1125" s="3">
        <v>0</v>
      </c>
      <c r="BR1125" s="3">
        <v>0</v>
      </c>
      <c r="BS1125" s="3">
        <v>0</v>
      </c>
      <c r="BT1125" s="3">
        <v>0</v>
      </c>
      <c r="BU1125" s="3">
        <v>0</v>
      </c>
    </row>
    <row r="1126" spans="1:73" x14ac:dyDescent="0.25">
      <c r="A1126" s="2" t="s">
        <v>137</v>
      </c>
      <c r="B1126" s="4">
        <v>64</v>
      </c>
      <c r="C1126" s="4">
        <v>1</v>
      </c>
      <c r="D1126" s="4">
        <v>3</v>
      </c>
      <c r="E1126" s="4">
        <v>3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0</v>
      </c>
      <c r="BB1126" s="3">
        <v>0</v>
      </c>
      <c r="BC1126" s="3">
        <v>0</v>
      </c>
      <c r="BD1126" s="3">
        <v>0</v>
      </c>
      <c r="BE1126" s="3">
        <v>0</v>
      </c>
      <c r="BF1126" s="3">
        <v>0</v>
      </c>
      <c r="BG1126" s="3">
        <v>0</v>
      </c>
      <c r="BH1126" s="3">
        <v>0</v>
      </c>
      <c r="BI1126" s="3">
        <v>0</v>
      </c>
      <c r="BJ1126" s="3">
        <v>0</v>
      </c>
      <c r="BK1126" s="3">
        <v>0</v>
      </c>
      <c r="BL1126" s="3">
        <v>0</v>
      </c>
      <c r="BM1126" s="3">
        <v>0</v>
      </c>
      <c r="BN1126" s="3">
        <v>0</v>
      </c>
      <c r="BO1126" s="3">
        <v>0</v>
      </c>
      <c r="BP1126" s="3">
        <v>0</v>
      </c>
      <c r="BQ1126" s="3">
        <v>0</v>
      </c>
      <c r="BR1126" s="3">
        <v>0</v>
      </c>
      <c r="BS1126" s="3">
        <v>0</v>
      </c>
      <c r="BT1126" s="3">
        <v>0</v>
      </c>
      <c r="BU1126" s="3">
        <v>0</v>
      </c>
    </row>
    <row r="1127" spans="1:73" x14ac:dyDescent="0.25">
      <c r="A1127" s="2" t="s">
        <v>137</v>
      </c>
      <c r="B1127" s="4">
        <v>64</v>
      </c>
      <c r="C1127" s="4">
        <v>2</v>
      </c>
      <c r="D1127" s="4">
        <v>1</v>
      </c>
      <c r="E1127" s="4">
        <v>1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  <c r="BA1127" s="3">
        <v>0</v>
      </c>
      <c r="BB1127" s="3">
        <v>0</v>
      </c>
      <c r="BC1127" s="3">
        <v>0</v>
      </c>
      <c r="BD1127" s="3">
        <v>0</v>
      </c>
      <c r="BE1127" s="3">
        <v>0</v>
      </c>
      <c r="BF1127" s="3">
        <v>0</v>
      </c>
      <c r="BG1127" s="3">
        <v>0</v>
      </c>
      <c r="BH1127" s="3">
        <v>0</v>
      </c>
      <c r="BI1127" s="3">
        <v>0</v>
      </c>
      <c r="BJ1127" s="3">
        <v>0</v>
      </c>
      <c r="BK1127" s="3">
        <v>0</v>
      </c>
      <c r="BL1127" s="3">
        <v>1</v>
      </c>
      <c r="BM1127" s="3">
        <v>0</v>
      </c>
      <c r="BN1127" s="3">
        <v>0</v>
      </c>
      <c r="BO1127" s="3">
        <v>0</v>
      </c>
      <c r="BP1127" s="3">
        <v>0</v>
      </c>
      <c r="BQ1127" s="3">
        <v>0</v>
      </c>
      <c r="BR1127" s="3">
        <v>0</v>
      </c>
      <c r="BS1127" s="3">
        <v>0</v>
      </c>
      <c r="BT1127" s="3">
        <v>0</v>
      </c>
      <c r="BU1127" s="3">
        <v>0</v>
      </c>
    </row>
    <row r="1128" spans="1:73" x14ac:dyDescent="0.25">
      <c r="A1128" s="2" t="s">
        <v>137</v>
      </c>
      <c r="B1128" s="4">
        <v>64</v>
      </c>
      <c r="C1128" s="4">
        <v>2</v>
      </c>
      <c r="D1128" s="4">
        <v>1</v>
      </c>
      <c r="E1128" s="4">
        <v>2</v>
      </c>
      <c r="F1128" s="3">
        <v>0</v>
      </c>
      <c r="G1128" s="3">
        <v>1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1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0</v>
      </c>
      <c r="AX1128" s="3">
        <v>0</v>
      </c>
      <c r="AY1128" s="3">
        <v>0</v>
      </c>
      <c r="AZ1128" s="3">
        <v>0</v>
      </c>
      <c r="BA1128" s="3">
        <v>0</v>
      </c>
      <c r="BB1128" s="3">
        <v>0</v>
      </c>
      <c r="BC1128" s="3">
        <v>0</v>
      </c>
      <c r="BD1128" s="3">
        <v>0</v>
      </c>
      <c r="BE1128" s="3">
        <v>0</v>
      </c>
      <c r="BF1128" s="3">
        <v>0</v>
      </c>
      <c r="BG1128" s="3">
        <v>0</v>
      </c>
      <c r="BH1128" s="3">
        <v>0</v>
      </c>
      <c r="BI1128" s="3">
        <v>0</v>
      </c>
      <c r="BJ1128" s="3">
        <v>0</v>
      </c>
      <c r="BK1128" s="3">
        <v>1</v>
      </c>
      <c r="BL1128" s="3">
        <v>0</v>
      </c>
      <c r="BM1128" s="3">
        <v>0</v>
      </c>
      <c r="BN1128" s="3">
        <v>0</v>
      </c>
      <c r="BO1128" s="3">
        <v>0</v>
      </c>
      <c r="BP1128" s="3">
        <v>0</v>
      </c>
      <c r="BQ1128" s="3">
        <v>0</v>
      </c>
      <c r="BR1128" s="3">
        <v>0</v>
      </c>
      <c r="BS1128" s="3">
        <v>0</v>
      </c>
      <c r="BT1128" s="3">
        <v>1</v>
      </c>
      <c r="BU1128" s="3">
        <v>0</v>
      </c>
    </row>
    <row r="1129" spans="1:73" x14ac:dyDescent="0.25">
      <c r="A1129" s="2" t="s">
        <v>137</v>
      </c>
      <c r="B1129" s="4">
        <v>64</v>
      </c>
      <c r="C1129" s="4">
        <v>2</v>
      </c>
      <c r="D1129" s="4">
        <v>1</v>
      </c>
      <c r="E1129" s="4">
        <v>3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0</v>
      </c>
      <c r="AX1129" s="3">
        <v>0</v>
      </c>
      <c r="AY1129" s="3">
        <v>0</v>
      </c>
      <c r="AZ1129" s="3">
        <v>0</v>
      </c>
      <c r="BA1129" s="3">
        <v>0</v>
      </c>
      <c r="BB1129" s="3">
        <v>0</v>
      </c>
      <c r="BC1129" s="3">
        <v>0</v>
      </c>
      <c r="BD1129" s="3">
        <v>0</v>
      </c>
      <c r="BE1129" s="3">
        <v>0</v>
      </c>
      <c r="BF1129" s="3">
        <v>0</v>
      </c>
      <c r="BG1129" s="3">
        <v>0</v>
      </c>
      <c r="BH1129" s="3">
        <v>0</v>
      </c>
      <c r="BI1129" s="3">
        <v>0</v>
      </c>
      <c r="BJ1129" s="3">
        <v>0</v>
      </c>
      <c r="BK1129" s="3">
        <v>0</v>
      </c>
      <c r="BL1129" s="3">
        <v>1</v>
      </c>
      <c r="BM1129" s="3">
        <v>0</v>
      </c>
      <c r="BN1129" s="3">
        <v>0</v>
      </c>
      <c r="BO1129" s="3">
        <v>0</v>
      </c>
      <c r="BP1129" s="3">
        <v>0</v>
      </c>
      <c r="BQ1129" s="3">
        <v>0</v>
      </c>
      <c r="BR1129" s="3">
        <v>0</v>
      </c>
      <c r="BS1129" s="3">
        <v>0</v>
      </c>
      <c r="BT1129" s="3">
        <v>0</v>
      </c>
      <c r="BU1129" s="3">
        <v>0</v>
      </c>
    </row>
    <row r="1130" spans="1:73" x14ac:dyDescent="0.25">
      <c r="A1130" s="2" t="s">
        <v>137</v>
      </c>
      <c r="B1130" s="4">
        <v>64</v>
      </c>
      <c r="C1130" s="4">
        <v>2</v>
      </c>
      <c r="D1130" s="4">
        <v>2</v>
      </c>
      <c r="E1130" s="4">
        <v>1</v>
      </c>
      <c r="F1130" s="3">
        <v>0</v>
      </c>
      <c r="G1130" s="3">
        <v>1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0</v>
      </c>
      <c r="BD1130" s="3">
        <v>0</v>
      </c>
      <c r="BE1130" s="3">
        <v>0</v>
      </c>
      <c r="BF1130" s="3">
        <v>0</v>
      </c>
      <c r="BG1130" s="3">
        <v>0</v>
      </c>
      <c r="BH1130" s="3">
        <v>0</v>
      </c>
      <c r="BI1130" s="3">
        <v>0</v>
      </c>
      <c r="BJ1130" s="3">
        <v>0</v>
      </c>
      <c r="BK1130" s="3">
        <v>0</v>
      </c>
      <c r="BL1130" s="3">
        <v>0</v>
      </c>
      <c r="BM1130" s="3">
        <v>0</v>
      </c>
      <c r="BN1130" s="3">
        <v>0</v>
      </c>
      <c r="BO1130" s="3">
        <v>0</v>
      </c>
      <c r="BP1130" s="3">
        <v>0</v>
      </c>
      <c r="BQ1130" s="3">
        <v>0</v>
      </c>
      <c r="BR1130" s="3">
        <v>0</v>
      </c>
      <c r="BS1130" s="3">
        <v>0</v>
      </c>
      <c r="BT1130" s="3">
        <v>0</v>
      </c>
      <c r="BU1130" s="3">
        <v>0</v>
      </c>
    </row>
    <row r="1131" spans="1:73" x14ac:dyDescent="0.25">
      <c r="A1131" s="2" t="s">
        <v>137</v>
      </c>
      <c r="B1131" s="4">
        <v>64</v>
      </c>
      <c r="C1131" s="4">
        <v>2</v>
      </c>
      <c r="D1131" s="4">
        <v>2</v>
      </c>
      <c r="E1131" s="4">
        <v>2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1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0</v>
      </c>
      <c r="AX1131" s="3">
        <v>0</v>
      </c>
      <c r="AY1131" s="3">
        <v>0</v>
      </c>
      <c r="AZ1131" s="3">
        <v>0</v>
      </c>
      <c r="BA1131" s="3">
        <v>0</v>
      </c>
      <c r="BB1131" s="3">
        <v>0</v>
      </c>
      <c r="BC1131" s="3">
        <v>0</v>
      </c>
      <c r="BD1131" s="3">
        <v>0</v>
      </c>
      <c r="BE1131" s="3">
        <v>0</v>
      </c>
      <c r="BF1131" s="3">
        <v>0</v>
      </c>
      <c r="BG1131" s="3">
        <v>0</v>
      </c>
      <c r="BH1131" s="3">
        <v>0</v>
      </c>
      <c r="BI1131" s="3">
        <v>0</v>
      </c>
      <c r="BJ1131" s="3">
        <v>0</v>
      </c>
      <c r="BK1131" s="3">
        <v>0</v>
      </c>
      <c r="BL1131" s="3">
        <v>0</v>
      </c>
      <c r="BM1131" s="3">
        <v>0</v>
      </c>
      <c r="BN1131" s="3">
        <v>0</v>
      </c>
      <c r="BO1131" s="3">
        <v>0</v>
      </c>
      <c r="BP1131" s="3">
        <v>0</v>
      </c>
      <c r="BQ1131" s="3">
        <v>0</v>
      </c>
      <c r="BR1131" s="3">
        <v>0</v>
      </c>
      <c r="BS1131" s="3">
        <v>0</v>
      </c>
      <c r="BT1131" s="3">
        <v>0</v>
      </c>
      <c r="BU1131" s="3">
        <v>0</v>
      </c>
    </row>
    <row r="1132" spans="1:73" x14ac:dyDescent="0.25">
      <c r="A1132" s="2" t="s">
        <v>137</v>
      </c>
      <c r="B1132" s="4">
        <v>64</v>
      </c>
      <c r="C1132" s="4">
        <v>2</v>
      </c>
      <c r="D1132" s="4">
        <v>2</v>
      </c>
      <c r="E1132" s="4">
        <v>3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0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0</v>
      </c>
      <c r="BD1132" s="3">
        <v>0</v>
      </c>
      <c r="BE1132" s="3">
        <v>0</v>
      </c>
      <c r="BF1132" s="3">
        <v>0</v>
      </c>
      <c r="BG1132" s="3">
        <v>0</v>
      </c>
      <c r="BH1132" s="3">
        <v>0</v>
      </c>
      <c r="BI1132" s="3">
        <v>0</v>
      </c>
      <c r="BJ1132" s="3">
        <v>0</v>
      </c>
      <c r="BK1132" s="3">
        <v>0</v>
      </c>
      <c r="BL1132" s="3">
        <v>0</v>
      </c>
      <c r="BM1132" s="3">
        <v>0</v>
      </c>
      <c r="BN1132" s="3">
        <v>0</v>
      </c>
      <c r="BO1132" s="3">
        <v>0</v>
      </c>
      <c r="BP1132" s="3">
        <v>0</v>
      </c>
      <c r="BQ1132" s="3">
        <v>0</v>
      </c>
      <c r="BR1132" s="3">
        <v>0</v>
      </c>
      <c r="BS1132" s="3">
        <v>0</v>
      </c>
      <c r="BT1132" s="3">
        <v>0</v>
      </c>
      <c r="BU1132" s="3">
        <v>0</v>
      </c>
    </row>
    <row r="1133" spans="1:73" x14ac:dyDescent="0.25">
      <c r="A1133" s="2" t="s">
        <v>137</v>
      </c>
      <c r="B1133" s="4">
        <v>64</v>
      </c>
      <c r="C1133" s="4">
        <v>2</v>
      </c>
      <c r="D1133" s="4">
        <v>3</v>
      </c>
      <c r="E1133" s="4">
        <v>1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1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2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0</v>
      </c>
      <c r="AX1133" s="3">
        <v>0</v>
      </c>
      <c r="AY1133" s="3">
        <v>0</v>
      </c>
      <c r="AZ1133" s="3">
        <v>0</v>
      </c>
      <c r="BA1133" s="3">
        <v>0</v>
      </c>
      <c r="BB1133" s="3">
        <v>0</v>
      </c>
      <c r="BC1133" s="3">
        <v>0</v>
      </c>
      <c r="BD1133" s="3">
        <v>0</v>
      </c>
      <c r="BE1133" s="3">
        <v>0</v>
      </c>
      <c r="BF1133" s="3">
        <v>0</v>
      </c>
      <c r="BG1133" s="3">
        <v>0</v>
      </c>
      <c r="BH1133" s="3">
        <v>0</v>
      </c>
      <c r="BI1133" s="3">
        <v>0</v>
      </c>
      <c r="BJ1133" s="3">
        <v>0</v>
      </c>
      <c r="BK1133" s="3">
        <v>0</v>
      </c>
      <c r="BL1133" s="3">
        <v>0</v>
      </c>
      <c r="BM1133" s="3">
        <v>0</v>
      </c>
      <c r="BN1133" s="3">
        <v>0</v>
      </c>
      <c r="BO1133" s="3">
        <v>0</v>
      </c>
      <c r="BP1133" s="3">
        <v>0</v>
      </c>
      <c r="BQ1133" s="3">
        <v>0</v>
      </c>
      <c r="BR1133" s="3">
        <v>0</v>
      </c>
      <c r="BS1133" s="3">
        <v>0</v>
      </c>
      <c r="BT1133" s="3">
        <v>0</v>
      </c>
      <c r="BU1133" s="3">
        <v>0</v>
      </c>
    </row>
    <row r="1134" spans="1:73" x14ac:dyDescent="0.25">
      <c r="A1134" s="2" t="s">
        <v>137</v>
      </c>
      <c r="B1134" s="4">
        <v>64</v>
      </c>
      <c r="C1134" s="4">
        <v>2</v>
      </c>
      <c r="D1134" s="4">
        <v>3</v>
      </c>
      <c r="E1134" s="4">
        <v>2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1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0</v>
      </c>
      <c r="BB1134" s="3">
        <v>0</v>
      </c>
      <c r="BC1134" s="3">
        <v>0</v>
      </c>
      <c r="BD1134" s="3">
        <v>0</v>
      </c>
      <c r="BE1134" s="3">
        <v>0</v>
      </c>
      <c r="BF1134" s="3">
        <v>0</v>
      </c>
      <c r="BG1134" s="3">
        <v>0</v>
      </c>
      <c r="BH1134" s="3">
        <v>0</v>
      </c>
      <c r="BI1134" s="3">
        <v>0</v>
      </c>
      <c r="BJ1134" s="3">
        <v>0</v>
      </c>
      <c r="BK1134" s="3">
        <v>1</v>
      </c>
      <c r="BL1134" s="3">
        <v>0</v>
      </c>
      <c r="BM1134" s="3">
        <v>0</v>
      </c>
      <c r="BN1134" s="3">
        <v>0</v>
      </c>
      <c r="BO1134" s="3">
        <v>0</v>
      </c>
      <c r="BP1134" s="3">
        <v>0</v>
      </c>
      <c r="BQ1134" s="3">
        <v>0</v>
      </c>
      <c r="BR1134" s="3">
        <v>1</v>
      </c>
      <c r="BS1134" s="3">
        <v>0</v>
      </c>
      <c r="BT1134" s="3">
        <v>0</v>
      </c>
      <c r="BU1134" s="3">
        <v>0</v>
      </c>
    </row>
    <row r="1135" spans="1:73" x14ac:dyDescent="0.25">
      <c r="A1135" s="2" t="s">
        <v>137</v>
      </c>
      <c r="B1135" s="4">
        <v>64</v>
      </c>
      <c r="C1135" s="4">
        <v>2</v>
      </c>
      <c r="D1135" s="4">
        <v>3</v>
      </c>
      <c r="E1135" s="4">
        <v>3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2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  <c r="AX1135" s="3">
        <v>0</v>
      </c>
      <c r="AY1135" s="3">
        <v>0</v>
      </c>
      <c r="AZ1135" s="3">
        <v>0</v>
      </c>
      <c r="BA1135" s="3">
        <v>0</v>
      </c>
      <c r="BB1135" s="3">
        <v>0</v>
      </c>
      <c r="BC1135" s="3">
        <v>0</v>
      </c>
      <c r="BD1135" s="3">
        <v>0</v>
      </c>
      <c r="BE1135" s="3">
        <v>0</v>
      </c>
      <c r="BF1135" s="3">
        <v>0</v>
      </c>
      <c r="BG1135" s="3">
        <v>0</v>
      </c>
      <c r="BH1135" s="3">
        <v>0</v>
      </c>
      <c r="BI1135" s="3">
        <v>0</v>
      </c>
      <c r="BJ1135" s="3">
        <v>0</v>
      </c>
      <c r="BK1135" s="3">
        <v>0</v>
      </c>
      <c r="BL1135" s="3">
        <v>0</v>
      </c>
      <c r="BM1135" s="3">
        <v>0</v>
      </c>
      <c r="BN1135" s="3">
        <v>0</v>
      </c>
      <c r="BO1135" s="3">
        <v>0</v>
      </c>
      <c r="BP1135" s="3">
        <v>0</v>
      </c>
      <c r="BQ1135" s="3">
        <v>0</v>
      </c>
      <c r="BR1135" s="3">
        <v>0</v>
      </c>
      <c r="BS1135" s="3">
        <v>0</v>
      </c>
      <c r="BT1135" s="3">
        <v>0</v>
      </c>
      <c r="BU1135" s="3">
        <v>0</v>
      </c>
    </row>
    <row r="1136" spans="1:73" x14ac:dyDescent="0.25">
      <c r="A1136" s="2" t="s">
        <v>138</v>
      </c>
      <c r="B1136" s="4">
        <v>65</v>
      </c>
      <c r="C1136" s="4">
        <v>1</v>
      </c>
      <c r="D1136" s="4">
        <v>1</v>
      </c>
      <c r="E1136" s="4">
        <v>1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1</v>
      </c>
      <c r="AF1136" s="3">
        <v>0</v>
      </c>
      <c r="AG1136" s="3">
        <v>0</v>
      </c>
      <c r="AH1136" s="3">
        <v>0</v>
      </c>
      <c r="AI1136" s="3">
        <v>0</v>
      </c>
      <c r="AJ1136" s="3">
        <v>2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0</v>
      </c>
      <c r="BB1136" s="3">
        <v>0</v>
      </c>
      <c r="BC1136" s="3">
        <v>0</v>
      </c>
      <c r="BD1136" s="3">
        <v>0</v>
      </c>
      <c r="BE1136" s="3">
        <v>0</v>
      </c>
      <c r="BF1136" s="3">
        <v>0</v>
      </c>
      <c r="BG1136" s="3">
        <v>0</v>
      </c>
      <c r="BH1136" s="3">
        <v>0</v>
      </c>
      <c r="BI1136" s="3">
        <v>0</v>
      </c>
      <c r="BJ1136" s="3">
        <v>0</v>
      </c>
      <c r="BK1136" s="3">
        <v>0</v>
      </c>
      <c r="BL1136" s="3">
        <v>0</v>
      </c>
      <c r="BM1136" s="3">
        <v>0</v>
      </c>
      <c r="BN1136" s="3">
        <v>0</v>
      </c>
      <c r="BO1136" s="3">
        <v>0</v>
      </c>
      <c r="BP1136" s="3">
        <v>0</v>
      </c>
      <c r="BQ1136" s="3">
        <v>0</v>
      </c>
      <c r="BR1136" s="3">
        <v>0</v>
      </c>
      <c r="BS1136" s="3">
        <v>0</v>
      </c>
      <c r="BT1136" s="3">
        <v>1</v>
      </c>
      <c r="BU1136" s="3">
        <v>0</v>
      </c>
    </row>
    <row r="1137" spans="1:73" x14ac:dyDescent="0.25">
      <c r="A1137" s="2" t="s">
        <v>138</v>
      </c>
      <c r="B1137" s="4">
        <v>65</v>
      </c>
      <c r="C1137" s="4">
        <v>1</v>
      </c>
      <c r="D1137" s="4">
        <v>1</v>
      </c>
      <c r="E1137" s="4">
        <v>2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1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1</v>
      </c>
      <c r="AF1137" s="3">
        <v>0</v>
      </c>
      <c r="AG1137" s="3">
        <v>0</v>
      </c>
      <c r="AH1137" s="3">
        <v>0</v>
      </c>
      <c r="AI1137" s="3">
        <v>0</v>
      </c>
      <c r="AJ1137" s="3">
        <v>1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0</v>
      </c>
      <c r="BB1137" s="3">
        <v>0</v>
      </c>
      <c r="BC1137" s="3">
        <v>0</v>
      </c>
      <c r="BD1137" s="3">
        <v>0</v>
      </c>
      <c r="BE1137" s="3">
        <v>0</v>
      </c>
      <c r="BF1137" s="3">
        <v>0</v>
      </c>
      <c r="BG1137" s="3">
        <v>0</v>
      </c>
      <c r="BH1137" s="3">
        <v>0</v>
      </c>
      <c r="BI1137" s="3">
        <v>0</v>
      </c>
      <c r="BJ1137" s="3">
        <v>0</v>
      </c>
      <c r="BK1137" s="3">
        <v>0</v>
      </c>
      <c r="BL1137" s="3">
        <v>0</v>
      </c>
      <c r="BM1137" s="3">
        <v>0</v>
      </c>
      <c r="BN1137" s="3">
        <v>0</v>
      </c>
      <c r="BO1137" s="3">
        <v>0</v>
      </c>
      <c r="BP1137" s="3">
        <v>0</v>
      </c>
      <c r="BQ1137" s="3">
        <v>0</v>
      </c>
      <c r="BR1137" s="3">
        <v>0</v>
      </c>
      <c r="BS1137" s="3">
        <v>1</v>
      </c>
      <c r="BT1137" s="3">
        <v>1</v>
      </c>
      <c r="BU1137" s="3">
        <v>0</v>
      </c>
    </row>
    <row r="1138" spans="1:73" x14ac:dyDescent="0.25">
      <c r="A1138" s="2" t="s">
        <v>138</v>
      </c>
      <c r="B1138" s="4">
        <v>65</v>
      </c>
      <c r="C1138" s="4">
        <v>1</v>
      </c>
      <c r="D1138" s="4">
        <v>1</v>
      </c>
      <c r="E1138" s="4">
        <v>3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3">
        <v>1</v>
      </c>
      <c r="BB1138" s="3">
        <v>0</v>
      </c>
      <c r="BC1138" s="3">
        <v>0</v>
      </c>
      <c r="BD1138" s="3">
        <v>0</v>
      </c>
      <c r="BE1138" s="3">
        <v>0</v>
      </c>
      <c r="BF1138" s="3">
        <v>0</v>
      </c>
      <c r="BG1138" s="3">
        <v>0</v>
      </c>
      <c r="BH1138" s="3">
        <v>0</v>
      </c>
      <c r="BI1138" s="3">
        <v>0</v>
      </c>
      <c r="BJ1138" s="3">
        <v>0</v>
      </c>
      <c r="BK1138" s="3">
        <v>0</v>
      </c>
      <c r="BL1138" s="3">
        <v>1</v>
      </c>
      <c r="BM1138" s="3">
        <v>0</v>
      </c>
      <c r="BN1138" s="3">
        <v>0</v>
      </c>
      <c r="BO1138" s="3">
        <v>0</v>
      </c>
      <c r="BP1138" s="3">
        <v>0</v>
      </c>
      <c r="BQ1138" s="3">
        <v>0</v>
      </c>
      <c r="BR1138" s="3">
        <v>0</v>
      </c>
      <c r="BS1138" s="3">
        <v>0</v>
      </c>
      <c r="BT1138" s="3">
        <v>0</v>
      </c>
      <c r="BU1138" s="3">
        <v>0</v>
      </c>
    </row>
    <row r="1139" spans="1:73" x14ac:dyDescent="0.25">
      <c r="A1139" s="2" t="s">
        <v>138</v>
      </c>
      <c r="B1139" s="4">
        <v>65</v>
      </c>
      <c r="C1139" s="4">
        <v>1</v>
      </c>
      <c r="D1139" s="4">
        <v>2</v>
      </c>
      <c r="E1139" s="4">
        <v>1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  <c r="BA1139" s="3">
        <v>0</v>
      </c>
      <c r="BB1139" s="3">
        <v>0</v>
      </c>
      <c r="BC1139" s="3">
        <v>0</v>
      </c>
      <c r="BD1139" s="3">
        <v>0</v>
      </c>
      <c r="BE1139" s="3">
        <v>0</v>
      </c>
      <c r="BF1139" s="3">
        <v>0</v>
      </c>
      <c r="BG1139" s="3">
        <v>0</v>
      </c>
      <c r="BH1139" s="3">
        <v>0</v>
      </c>
      <c r="BI1139" s="3">
        <v>0</v>
      </c>
      <c r="BJ1139" s="3">
        <v>0</v>
      </c>
      <c r="BK1139" s="3">
        <v>0</v>
      </c>
      <c r="BL1139" s="3">
        <v>0</v>
      </c>
      <c r="BM1139" s="3">
        <v>0</v>
      </c>
      <c r="BN1139" s="3">
        <v>0</v>
      </c>
      <c r="BO1139" s="3">
        <v>0</v>
      </c>
      <c r="BP1139" s="3">
        <v>0</v>
      </c>
      <c r="BQ1139" s="3">
        <v>0</v>
      </c>
      <c r="BR1139" s="3">
        <v>0</v>
      </c>
      <c r="BS1139" s="3">
        <v>0</v>
      </c>
      <c r="BT1139" s="3">
        <v>0</v>
      </c>
      <c r="BU1139" s="3">
        <v>0</v>
      </c>
    </row>
    <row r="1140" spans="1:73" x14ac:dyDescent="0.25">
      <c r="A1140" s="2" t="s">
        <v>138</v>
      </c>
      <c r="B1140" s="4">
        <v>65</v>
      </c>
      <c r="C1140" s="4">
        <v>1</v>
      </c>
      <c r="D1140" s="4">
        <v>2</v>
      </c>
      <c r="E1140" s="4">
        <v>2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0</v>
      </c>
      <c r="BD1140" s="3">
        <v>0</v>
      </c>
      <c r="BE1140" s="3">
        <v>0</v>
      </c>
      <c r="BF1140" s="3">
        <v>0</v>
      </c>
      <c r="BG1140" s="3">
        <v>0</v>
      </c>
      <c r="BH1140" s="3">
        <v>0</v>
      </c>
      <c r="BI1140" s="3">
        <v>0</v>
      </c>
      <c r="BJ1140" s="3">
        <v>0</v>
      </c>
      <c r="BK1140" s="3">
        <v>0</v>
      </c>
      <c r="BL1140" s="3">
        <v>0</v>
      </c>
      <c r="BM1140" s="3">
        <v>0</v>
      </c>
      <c r="BN1140" s="3">
        <v>0</v>
      </c>
      <c r="BO1140" s="3">
        <v>0</v>
      </c>
      <c r="BP1140" s="3">
        <v>0</v>
      </c>
      <c r="BQ1140" s="3">
        <v>0</v>
      </c>
      <c r="BR1140" s="3">
        <v>0</v>
      </c>
      <c r="BS1140" s="3">
        <v>0</v>
      </c>
      <c r="BT1140" s="3">
        <v>0</v>
      </c>
      <c r="BU1140" s="3">
        <v>0</v>
      </c>
    </row>
    <row r="1141" spans="1:73" x14ac:dyDescent="0.25">
      <c r="A1141" s="2" t="s">
        <v>138</v>
      </c>
      <c r="B1141" s="4">
        <v>65</v>
      </c>
      <c r="C1141" s="4">
        <v>1</v>
      </c>
      <c r="D1141" s="4">
        <v>2</v>
      </c>
      <c r="E1141" s="4">
        <v>3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0</v>
      </c>
      <c r="BB1141" s="3">
        <v>0</v>
      </c>
      <c r="BC1141" s="3">
        <v>0</v>
      </c>
      <c r="BD1141" s="3">
        <v>0</v>
      </c>
      <c r="BE1141" s="3">
        <v>0</v>
      </c>
      <c r="BF1141" s="3">
        <v>0</v>
      </c>
      <c r="BG1141" s="3">
        <v>0</v>
      </c>
      <c r="BH1141" s="3">
        <v>0</v>
      </c>
      <c r="BI1141" s="3">
        <v>0</v>
      </c>
      <c r="BJ1141" s="3">
        <v>0</v>
      </c>
      <c r="BK1141" s="3">
        <v>0</v>
      </c>
      <c r="BL1141" s="3">
        <v>0</v>
      </c>
      <c r="BM1141" s="3">
        <v>0</v>
      </c>
      <c r="BN1141" s="3">
        <v>0</v>
      </c>
      <c r="BO1141" s="3">
        <v>0</v>
      </c>
      <c r="BP1141" s="3">
        <v>0</v>
      </c>
      <c r="BQ1141" s="3">
        <v>0</v>
      </c>
      <c r="BR1141" s="3">
        <v>0</v>
      </c>
      <c r="BS1141" s="3">
        <v>0</v>
      </c>
      <c r="BT1141" s="3">
        <v>0</v>
      </c>
      <c r="BU1141" s="3">
        <v>0</v>
      </c>
    </row>
    <row r="1142" spans="1:73" x14ac:dyDescent="0.25">
      <c r="A1142" s="2" t="s">
        <v>138</v>
      </c>
      <c r="B1142" s="4">
        <v>65</v>
      </c>
      <c r="C1142" s="4">
        <v>1</v>
      </c>
      <c r="D1142" s="4">
        <v>3</v>
      </c>
      <c r="E1142" s="4">
        <v>1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1</v>
      </c>
      <c r="T1142" s="3">
        <v>0</v>
      </c>
      <c r="U1142" s="3">
        <v>0</v>
      </c>
      <c r="V1142" s="3">
        <v>0</v>
      </c>
      <c r="W1142" s="3">
        <v>0</v>
      </c>
      <c r="X1142" s="3">
        <v>1</v>
      </c>
      <c r="Y1142" s="3">
        <v>0</v>
      </c>
      <c r="Z1142" s="3">
        <v>1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1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0</v>
      </c>
      <c r="BC1142" s="3">
        <v>0</v>
      </c>
      <c r="BD1142" s="3">
        <v>0</v>
      </c>
      <c r="BE1142" s="3">
        <v>0</v>
      </c>
      <c r="BF1142" s="3">
        <v>0</v>
      </c>
      <c r="BG1142" s="3">
        <v>0</v>
      </c>
      <c r="BH1142" s="3">
        <v>0</v>
      </c>
      <c r="BI1142" s="3">
        <v>0</v>
      </c>
      <c r="BJ1142" s="3">
        <v>0</v>
      </c>
      <c r="BK1142" s="3">
        <v>0</v>
      </c>
      <c r="BL1142" s="3">
        <v>0</v>
      </c>
      <c r="BM1142" s="3">
        <v>0</v>
      </c>
      <c r="BN1142" s="3">
        <v>0</v>
      </c>
      <c r="BO1142" s="3">
        <v>0</v>
      </c>
      <c r="BP1142" s="3">
        <v>0</v>
      </c>
      <c r="BQ1142" s="3">
        <v>0</v>
      </c>
      <c r="BR1142" s="3">
        <v>0</v>
      </c>
      <c r="BS1142" s="3">
        <v>0</v>
      </c>
      <c r="BT1142" s="3">
        <v>0</v>
      </c>
      <c r="BU1142" s="3">
        <v>0</v>
      </c>
    </row>
    <row r="1143" spans="1:73" x14ac:dyDescent="0.25">
      <c r="A1143" s="2" t="s">
        <v>138</v>
      </c>
      <c r="B1143" s="4">
        <v>65</v>
      </c>
      <c r="C1143" s="4">
        <v>1</v>
      </c>
      <c r="D1143" s="4">
        <v>3</v>
      </c>
      <c r="E1143" s="4">
        <v>2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0</v>
      </c>
      <c r="BD1143" s="3">
        <v>0</v>
      </c>
      <c r="BE1143" s="3">
        <v>0</v>
      </c>
      <c r="BF1143" s="3">
        <v>0</v>
      </c>
      <c r="BG1143" s="3">
        <v>0</v>
      </c>
      <c r="BH1143" s="3">
        <v>0</v>
      </c>
      <c r="BI1143" s="3">
        <v>0</v>
      </c>
      <c r="BJ1143" s="3">
        <v>0</v>
      </c>
      <c r="BK1143" s="3">
        <v>0</v>
      </c>
      <c r="BL1143" s="3">
        <v>0</v>
      </c>
      <c r="BM1143" s="3">
        <v>0</v>
      </c>
      <c r="BN1143" s="3">
        <v>0</v>
      </c>
      <c r="BO1143" s="3">
        <v>0</v>
      </c>
      <c r="BP1143" s="3">
        <v>0</v>
      </c>
      <c r="BQ1143" s="3">
        <v>0</v>
      </c>
      <c r="BR1143" s="3">
        <v>0</v>
      </c>
      <c r="BS1143" s="3">
        <v>0</v>
      </c>
      <c r="BT1143" s="3">
        <v>0</v>
      </c>
      <c r="BU1143" s="3">
        <v>0</v>
      </c>
    </row>
    <row r="1144" spans="1:73" x14ac:dyDescent="0.25">
      <c r="A1144" s="2" t="s">
        <v>138</v>
      </c>
      <c r="B1144" s="4">
        <v>65</v>
      </c>
      <c r="C1144" s="4">
        <v>1</v>
      </c>
      <c r="D1144" s="4">
        <v>3</v>
      </c>
      <c r="E1144" s="4">
        <v>3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1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0</v>
      </c>
      <c r="BD1144" s="3">
        <v>0</v>
      </c>
      <c r="BE1144" s="3">
        <v>0</v>
      </c>
      <c r="BF1144" s="3">
        <v>0</v>
      </c>
      <c r="BG1144" s="3">
        <v>0</v>
      </c>
      <c r="BH1144" s="3">
        <v>0</v>
      </c>
      <c r="BI1144" s="3">
        <v>0</v>
      </c>
      <c r="BJ1144" s="3">
        <v>0</v>
      </c>
      <c r="BK1144" s="3">
        <v>0</v>
      </c>
      <c r="BL1144" s="3">
        <v>0</v>
      </c>
      <c r="BM1144" s="3">
        <v>0</v>
      </c>
      <c r="BN1144" s="3">
        <v>0</v>
      </c>
      <c r="BO1144" s="3">
        <v>0</v>
      </c>
      <c r="BP1144" s="3">
        <v>0</v>
      </c>
      <c r="BQ1144" s="3">
        <v>0</v>
      </c>
      <c r="BR1144" s="3">
        <v>0</v>
      </c>
      <c r="BS1144" s="3">
        <v>0</v>
      </c>
      <c r="BT1144" s="3">
        <v>0</v>
      </c>
      <c r="BU1144" s="3">
        <v>0</v>
      </c>
    </row>
    <row r="1145" spans="1:73" x14ac:dyDescent="0.25">
      <c r="A1145" s="2" t="s">
        <v>138</v>
      </c>
      <c r="B1145" s="4">
        <v>65</v>
      </c>
      <c r="C1145" s="4">
        <v>2</v>
      </c>
      <c r="D1145" s="4">
        <v>1</v>
      </c>
      <c r="E1145" s="4">
        <v>1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2</v>
      </c>
      <c r="AA1145" s="3">
        <v>0</v>
      </c>
      <c r="AB1145" s="3">
        <v>0</v>
      </c>
      <c r="AC1145" s="3">
        <v>0</v>
      </c>
      <c r="AD1145" s="3">
        <v>0</v>
      </c>
      <c r="AE1145" s="3">
        <v>1</v>
      </c>
      <c r="AF1145" s="3">
        <v>0</v>
      </c>
      <c r="AG1145" s="3">
        <v>0</v>
      </c>
      <c r="AH1145" s="3">
        <v>0</v>
      </c>
      <c r="AI1145" s="3">
        <v>0</v>
      </c>
      <c r="AJ1145" s="3">
        <v>2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0</v>
      </c>
      <c r="BD1145" s="3">
        <v>0</v>
      </c>
      <c r="BE1145" s="3">
        <v>0</v>
      </c>
      <c r="BF1145" s="3">
        <v>0</v>
      </c>
      <c r="BG1145" s="3">
        <v>0</v>
      </c>
      <c r="BH1145" s="3">
        <v>0</v>
      </c>
      <c r="BI1145" s="3">
        <v>0</v>
      </c>
      <c r="BJ1145" s="3">
        <v>0</v>
      </c>
      <c r="BK1145" s="3">
        <v>0</v>
      </c>
      <c r="BL1145" s="3">
        <v>0</v>
      </c>
      <c r="BM1145" s="3">
        <v>0</v>
      </c>
      <c r="BN1145" s="3">
        <v>0</v>
      </c>
      <c r="BO1145" s="3">
        <v>0</v>
      </c>
      <c r="BP1145" s="3">
        <v>0</v>
      </c>
      <c r="BQ1145" s="3">
        <v>0</v>
      </c>
      <c r="BR1145" s="3">
        <v>0</v>
      </c>
      <c r="BS1145" s="3">
        <v>0</v>
      </c>
      <c r="BT1145" s="3">
        <v>0</v>
      </c>
      <c r="BU1145" s="3">
        <v>0</v>
      </c>
    </row>
    <row r="1146" spans="1:73" x14ac:dyDescent="0.25">
      <c r="A1146" s="2" t="s">
        <v>138</v>
      </c>
      <c r="B1146" s="4">
        <v>65</v>
      </c>
      <c r="C1146" s="4">
        <v>2</v>
      </c>
      <c r="D1146" s="4">
        <v>1</v>
      </c>
      <c r="E1146" s="4">
        <v>2</v>
      </c>
      <c r="F1146" s="3">
        <v>0</v>
      </c>
      <c r="G1146" s="3">
        <v>0</v>
      </c>
      <c r="H1146" s="3">
        <v>0</v>
      </c>
      <c r="I1146" s="3">
        <v>0</v>
      </c>
      <c r="J1146" s="3">
        <v>1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1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3">
        <v>0</v>
      </c>
      <c r="BB1146" s="3">
        <v>0</v>
      </c>
      <c r="BC1146" s="3">
        <v>0</v>
      </c>
      <c r="BD1146" s="3">
        <v>0</v>
      </c>
      <c r="BE1146" s="3">
        <v>0</v>
      </c>
      <c r="BF1146" s="3">
        <v>0</v>
      </c>
      <c r="BG1146" s="3">
        <v>0</v>
      </c>
      <c r="BH1146" s="3">
        <v>0</v>
      </c>
      <c r="BI1146" s="3">
        <v>0</v>
      </c>
      <c r="BJ1146" s="3">
        <v>0</v>
      </c>
      <c r="BK1146" s="3">
        <v>0</v>
      </c>
      <c r="BL1146" s="3">
        <v>0</v>
      </c>
      <c r="BM1146" s="3">
        <v>0</v>
      </c>
      <c r="BN1146" s="3">
        <v>0</v>
      </c>
      <c r="BO1146" s="3">
        <v>0</v>
      </c>
      <c r="BP1146" s="3">
        <v>0</v>
      </c>
      <c r="BQ1146" s="3">
        <v>0</v>
      </c>
      <c r="BR1146" s="3">
        <v>0</v>
      </c>
      <c r="BS1146" s="3">
        <v>0</v>
      </c>
      <c r="BT1146" s="3">
        <v>0</v>
      </c>
      <c r="BU1146" s="3">
        <v>0</v>
      </c>
    </row>
    <row r="1147" spans="1:73" x14ac:dyDescent="0.25">
      <c r="A1147" s="2" t="s">
        <v>138</v>
      </c>
      <c r="B1147" s="4">
        <v>65</v>
      </c>
      <c r="C1147" s="4">
        <v>2</v>
      </c>
      <c r="D1147" s="4">
        <v>1</v>
      </c>
      <c r="E1147" s="4">
        <v>3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0</v>
      </c>
      <c r="AX1147" s="3">
        <v>0</v>
      </c>
      <c r="AY1147" s="3">
        <v>0</v>
      </c>
      <c r="AZ1147" s="3">
        <v>0</v>
      </c>
      <c r="BA1147" s="3">
        <v>0</v>
      </c>
      <c r="BB1147" s="3">
        <v>0</v>
      </c>
      <c r="BC1147" s="3">
        <v>0</v>
      </c>
      <c r="BD1147" s="3">
        <v>0</v>
      </c>
      <c r="BE1147" s="3">
        <v>0</v>
      </c>
      <c r="BF1147" s="3">
        <v>0</v>
      </c>
      <c r="BG1147" s="3">
        <v>0</v>
      </c>
      <c r="BH1147" s="3">
        <v>0</v>
      </c>
      <c r="BI1147" s="3">
        <v>0</v>
      </c>
      <c r="BJ1147" s="3">
        <v>0</v>
      </c>
      <c r="BK1147" s="3">
        <v>0</v>
      </c>
      <c r="BL1147" s="3">
        <v>1</v>
      </c>
      <c r="BM1147" s="3">
        <v>0</v>
      </c>
      <c r="BN1147" s="3">
        <v>0</v>
      </c>
      <c r="BO1147" s="3">
        <v>0</v>
      </c>
      <c r="BP1147" s="3">
        <v>0</v>
      </c>
      <c r="BQ1147" s="3">
        <v>0</v>
      </c>
      <c r="BR1147" s="3">
        <v>0</v>
      </c>
      <c r="BS1147" s="3">
        <v>0</v>
      </c>
      <c r="BT1147" s="3">
        <v>0</v>
      </c>
      <c r="BU1147" s="3">
        <v>0</v>
      </c>
    </row>
    <row r="1148" spans="1:73" x14ac:dyDescent="0.25">
      <c r="A1148" s="2" t="s">
        <v>138</v>
      </c>
      <c r="B1148" s="4">
        <v>65</v>
      </c>
      <c r="C1148" s="4">
        <v>2</v>
      </c>
      <c r="D1148" s="4">
        <v>2</v>
      </c>
      <c r="E1148" s="4">
        <v>1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3">
        <v>0</v>
      </c>
      <c r="AV1148" s="3">
        <v>0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0</v>
      </c>
      <c r="BD1148" s="3">
        <v>0</v>
      </c>
      <c r="BE1148" s="3">
        <v>0</v>
      </c>
      <c r="BF1148" s="3">
        <v>0</v>
      </c>
      <c r="BG1148" s="3">
        <v>0</v>
      </c>
      <c r="BH1148" s="3">
        <v>0</v>
      </c>
      <c r="BI1148" s="3">
        <v>0</v>
      </c>
      <c r="BJ1148" s="3">
        <v>0</v>
      </c>
      <c r="BK1148" s="3">
        <v>0</v>
      </c>
      <c r="BL1148" s="3">
        <v>0</v>
      </c>
      <c r="BM1148" s="3">
        <v>0</v>
      </c>
      <c r="BN1148" s="3">
        <v>0</v>
      </c>
      <c r="BO1148" s="3">
        <v>0</v>
      </c>
      <c r="BP1148" s="3">
        <v>0</v>
      </c>
      <c r="BQ1148" s="3">
        <v>0</v>
      </c>
      <c r="BR1148" s="3">
        <v>0</v>
      </c>
      <c r="BS1148" s="3">
        <v>0</v>
      </c>
      <c r="BT1148" s="3">
        <v>0</v>
      </c>
      <c r="BU1148" s="3">
        <v>0</v>
      </c>
    </row>
    <row r="1149" spans="1:73" x14ac:dyDescent="0.25">
      <c r="A1149" s="2" t="s">
        <v>138</v>
      </c>
      <c r="B1149" s="4">
        <v>65</v>
      </c>
      <c r="C1149" s="4">
        <v>2</v>
      </c>
      <c r="D1149" s="4">
        <v>2</v>
      </c>
      <c r="E1149" s="4">
        <v>2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0</v>
      </c>
      <c r="BD1149" s="3">
        <v>0</v>
      </c>
      <c r="BE1149" s="3">
        <v>0</v>
      </c>
      <c r="BF1149" s="3">
        <v>0</v>
      </c>
      <c r="BG1149" s="3">
        <v>0</v>
      </c>
      <c r="BH1149" s="3">
        <v>0</v>
      </c>
      <c r="BI1149" s="3">
        <v>0</v>
      </c>
      <c r="BJ1149" s="3">
        <v>0</v>
      </c>
      <c r="BK1149" s="3">
        <v>0</v>
      </c>
      <c r="BL1149" s="3">
        <v>0</v>
      </c>
      <c r="BM1149" s="3">
        <v>0</v>
      </c>
      <c r="BN1149" s="3">
        <v>0</v>
      </c>
      <c r="BO1149" s="3">
        <v>0</v>
      </c>
      <c r="BP1149" s="3">
        <v>0</v>
      </c>
      <c r="BQ1149" s="3">
        <v>0</v>
      </c>
      <c r="BR1149" s="3">
        <v>0</v>
      </c>
      <c r="BS1149" s="3">
        <v>0</v>
      </c>
      <c r="BT1149" s="3">
        <v>0</v>
      </c>
      <c r="BU1149" s="3">
        <v>0</v>
      </c>
    </row>
    <row r="1150" spans="1:73" x14ac:dyDescent="0.25">
      <c r="A1150" s="2" t="s">
        <v>138</v>
      </c>
      <c r="B1150" s="4">
        <v>65</v>
      </c>
      <c r="C1150" s="4">
        <v>2</v>
      </c>
      <c r="D1150" s="4">
        <v>2</v>
      </c>
      <c r="E1150" s="4">
        <v>3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0</v>
      </c>
      <c r="BB1150" s="3">
        <v>0</v>
      </c>
      <c r="BC1150" s="3">
        <v>0</v>
      </c>
      <c r="BD1150" s="3">
        <v>0</v>
      </c>
      <c r="BE1150" s="3">
        <v>0</v>
      </c>
      <c r="BF1150" s="3">
        <v>0</v>
      </c>
      <c r="BG1150" s="3">
        <v>0</v>
      </c>
      <c r="BH1150" s="3">
        <v>0</v>
      </c>
      <c r="BI1150" s="3">
        <v>0</v>
      </c>
      <c r="BJ1150" s="3">
        <v>0</v>
      </c>
      <c r="BK1150" s="3">
        <v>0</v>
      </c>
      <c r="BL1150" s="3">
        <v>0</v>
      </c>
      <c r="BM1150" s="3">
        <v>0</v>
      </c>
      <c r="BN1150" s="3">
        <v>0</v>
      </c>
      <c r="BO1150" s="3">
        <v>0</v>
      </c>
      <c r="BP1150" s="3">
        <v>0</v>
      </c>
      <c r="BQ1150" s="3">
        <v>0</v>
      </c>
      <c r="BR1150" s="3">
        <v>0</v>
      </c>
      <c r="BS1150" s="3">
        <v>0</v>
      </c>
      <c r="BT1150" s="3">
        <v>0</v>
      </c>
      <c r="BU1150" s="3">
        <v>0</v>
      </c>
    </row>
    <row r="1151" spans="1:73" x14ac:dyDescent="0.25">
      <c r="A1151" s="2" t="s">
        <v>138</v>
      </c>
      <c r="B1151" s="4">
        <v>65</v>
      </c>
      <c r="C1151" s="4">
        <v>2</v>
      </c>
      <c r="D1151" s="4">
        <v>3</v>
      </c>
      <c r="E1151" s="4">
        <v>1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0</v>
      </c>
      <c r="AY1151" s="3">
        <v>0</v>
      </c>
      <c r="AZ1151" s="3">
        <v>0</v>
      </c>
      <c r="BA1151" s="3">
        <v>0</v>
      </c>
      <c r="BB1151" s="3">
        <v>0</v>
      </c>
      <c r="BC1151" s="3">
        <v>0</v>
      </c>
      <c r="BD1151" s="3">
        <v>0</v>
      </c>
      <c r="BE1151" s="3">
        <v>0</v>
      </c>
      <c r="BF1151" s="3">
        <v>0</v>
      </c>
      <c r="BG1151" s="3">
        <v>0</v>
      </c>
      <c r="BH1151" s="3">
        <v>0</v>
      </c>
      <c r="BI1151" s="3">
        <v>0</v>
      </c>
      <c r="BJ1151" s="3">
        <v>0</v>
      </c>
      <c r="BK1151" s="3">
        <v>0</v>
      </c>
      <c r="BL1151" s="3">
        <v>0</v>
      </c>
      <c r="BM1151" s="3">
        <v>0</v>
      </c>
      <c r="BN1151" s="3">
        <v>0</v>
      </c>
      <c r="BO1151" s="3">
        <v>0</v>
      </c>
      <c r="BP1151" s="3">
        <v>0</v>
      </c>
      <c r="BQ1151" s="3">
        <v>0</v>
      </c>
      <c r="BR1151" s="3">
        <v>0</v>
      </c>
      <c r="BS1151" s="3">
        <v>0</v>
      </c>
      <c r="BT1151" s="3">
        <v>0</v>
      </c>
      <c r="BU1151" s="3">
        <v>0</v>
      </c>
    </row>
    <row r="1152" spans="1:73" x14ac:dyDescent="0.25">
      <c r="A1152" s="2" t="s">
        <v>138</v>
      </c>
      <c r="B1152" s="4">
        <v>65</v>
      </c>
      <c r="C1152" s="4">
        <v>2</v>
      </c>
      <c r="D1152" s="4">
        <v>3</v>
      </c>
      <c r="E1152" s="4">
        <v>2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0</v>
      </c>
      <c r="BD1152" s="3">
        <v>0</v>
      </c>
      <c r="BE1152" s="3">
        <v>0</v>
      </c>
      <c r="BF1152" s="3">
        <v>0</v>
      </c>
      <c r="BG1152" s="3">
        <v>0</v>
      </c>
      <c r="BH1152" s="3">
        <v>0</v>
      </c>
      <c r="BI1152" s="3">
        <v>0</v>
      </c>
      <c r="BJ1152" s="3">
        <v>0</v>
      </c>
      <c r="BK1152" s="3">
        <v>0</v>
      </c>
      <c r="BL1152" s="3">
        <v>0</v>
      </c>
      <c r="BM1152" s="3">
        <v>0</v>
      </c>
      <c r="BN1152" s="3">
        <v>0</v>
      </c>
      <c r="BO1152" s="3">
        <v>0</v>
      </c>
      <c r="BP1152" s="3">
        <v>0</v>
      </c>
      <c r="BQ1152" s="3">
        <v>0</v>
      </c>
      <c r="BR1152" s="3">
        <v>0</v>
      </c>
      <c r="BS1152" s="3">
        <v>0</v>
      </c>
      <c r="BT1152" s="3">
        <v>0</v>
      </c>
      <c r="BU1152" s="3">
        <v>0</v>
      </c>
    </row>
    <row r="1153" spans="1:73" x14ac:dyDescent="0.25">
      <c r="A1153" s="2" t="s">
        <v>138</v>
      </c>
      <c r="B1153" s="4">
        <v>65</v>
      </c>
      <c r="C1153" s="4">
        <v>2</v>
      </c>
      <c r="D1153" s="4">
        <v>3</v>
      </c>
      <c r="E1153" s="4">
        <v>3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3">
        <v>1</v>
      </c>
      <c r="AU1153" s="3">
        <v>0</v>
      </c>
      <c r="AV1153" s="3">
        <v>0</v>
      </c>
      <c r="AW1153" s="3">
        <v>0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0</v>
      </c>
      <c r="BD1153" s="3">
        <v>0</v>
      </c>
      <c r="BE1153" s="3">
        <v>0</v>
      </c>
      <c r="BF1153" s="3">
        <v>0</v>
      </c>
      <c r="BG1153" s="3">
        <v>0</v>
      </c>
      <c r="BH1153" s="3">
        <v>0</v>
      </c>
      <c r="BI1153" s="3">
        <v>0</v>
      </c>
      <c r="BJ1153" s="3">
        <v>0</v>
      </c>
      <c r="BK1153" s="3">
        <v>0</v>
      </c>
      <c r="BL1153" s="3">
        <v>0</v>
      </c>
      <c r="BM1153" s="3">
        <v>0</v>
      </c>
      <c r="BN1153" s="3">
        <v>0</v>
      </c>
      <c r="BO1153" s="3">
        <v>0</v>
      </c>
      <c r="BP1153" s="3">
        <v>0</v>
      </c>
      <c r="BQ1153" s="3">
        <v>0</v>
      </c>
      <c r="BR1153" s="3">
        <v>0</v>
      </c>
      <c r="BS1153" s="3">
        <v>0</v>
      </c>
      <c r="BT1153" s="3">
        <v>0</v>
      </c>
      <c r="BU1153" s="3">
        <v>1</v>
      </c>
    </row>
    <row r="1154" spans="1:73" x14ac:dyDescent="0.25">
      <c r="A1154" s="2" t="s">
        <v>139</v>
      </c>
      <c r="B1154" s="4">
        <v>66</v>
      </c>
      <c r="C1154" s="4">
        <v>1</v>
      </c>
      <c r="D1154" s="4">
        <v>1</v>
      </c>
      <c r="E1154" s="4">
        <v>1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2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  <c r="AV1154" s="3">
        <v>0</v>
      </c>
      <c r="AW1154" s="3">
        <v>0</v>
      </c>
      <c r="AX1154" s="3">
        <v>0</v>
      </c>
      <c r="AY1154" s="3">
        <v>0</v>
      </c>
      <c r="AZ1154" s="3">
        <v>0</v>
      </c>
      <c r="BA1154" s="3">
        <v>0</v>
      </c>
      <c r="BB1154" s="3">
        <v>0</v>
      </c>
      <c r="BC1154" s="3">
        <v>0</v>
      </c>
      <c r="BD1154" s="3">
        <v>0</v>
      </c>
      <c r="BE1154" s="3">
        <v>0</v>
      </c>
      <c r="BF1154" s="3">
        <v>0</v>
      </c>
      <c r="BG1154" s="3">
        <v>0</v>
      </c>
      <c r="BH1154" s="3">
        <v>0</v>
      </c>
      <c r="BI1154" s="3">
        <v>0</v>
      </c>
      <c r="BJ1154" s="3">
        <v>0</v>
      </c>
      <c r="BK1154" s="3">
        <v>0</v>
      </c>
      <c r="BL1154" s="3">
        <v>0</v>
      </c>
      <c r="BM1154" s="3">
        <v>0</v>
      </c>
      <c r="BN1154" s="3">
        <v>0</v>
      </c>
      <c r="BO1154" s="3">
        <v>0</v>
      </c>
      <c r="BP1154" s="3">
        <v>0</v>
      </c>
      <c r="BQ1154" s="3">
        <v>0</v>
      </c>
      <c r="BR1154" s="3">
        <v>0</v>
      </c>
      <c r="BS1154" s="3">
        <v>0</v>
      </c>
      <c r="BT1154" s="3">
        <v>1</v>
      </c>
      <c r="BU1154" s="3">
        <v>0</v>
      </c>
    </row>
    <row r="1155" spans="1:73" x14ac:dyDescent="0.25">
      <c r="A1155" s="2" t="s">
        <v>139</v>
      </c>
      <c r="B1155" s="4">
        <v>66</v>
      </c>
      <c r="C1155" s="4">
        <v>1</v>
      </c>
      <c r="D1155" s="4">
        <v>1</v>
      </c>
      <c r="E1155" s="4">
        <v>2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1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3">
        <v>0</v>
      </c>
      <c r="AY1155" s="3">
        <v>0</v>
      </c>
      <c r="AZ1155" s="3">
        <v>0</v>
      </c>
      <c r="BA1155" s="3">
        <v>0</v>
      </c>
      <c r="BB1155" s="3">
        <v>0</v>
      </c>
      <c r="BC1155" s="3">
        <v>0</v>
      </c>
      <c r="BD1155" s="3">
        <v>0</v>
      </c>
      <c r="BE1155" s="3">
        <v>0</v>
      </c>
      <c r="BF1155" s="3">
        <v>0</v>
      </c>
      <c r="BG1155" s="3">
        <v>0</v>
      </c>
      <c r="BH1155" s="3">
        <v>0</v>
      </c>
      <c r="BI1155" s="3">
        <v>0</v>
      </c>
      <c r="BJ1155" s="3">
        <v>0</v>
      </c>
      <c r="BK1155" s="3">
        <v>0</v>
      </c>
      <c r="BL1155" s="3">
        <v>0</v>
      </c>
      <c r="BM1155" s="3">
        <v>0</v>
      </c>
      <c r="BN1155" s="3">
        <v>0</v>
      </c>
      <c r="BO1155" s="3">
        <v>0</v>
      </c>
      <c r="BP1155" s="3">
        <v>0</v>
      </c>
      <c r="BQ1155" s="3">
        <v>0</v>
      </c>
      <c r="BR1155" s="3">
        <v>0</v>
      </c>
      <c r="BS1155" s="3">
        <v>0</v>
      </c>
      <c r="BT1155" s="3">
        <v>1</v>
      </c>
      <c r="BU1155" s="3">
        <v>0</v>
      </c>
    </row>
    <row r="1156" spans="1:73" x14ac:dyDescent="0.25">
      <c r="A1156" s="2" t="s">
        <v>139</v>
      </c>
      <c r="B1156" s="4">
        <v>66</v>
      </c>
      <c r="C1156" s="4">
        <v>1</v>
      </c>
      <c r="D1156" s="4">
        <v>1</v>
      </c>
      <c r="E1156" s="4">
        <v>3</v>
      </c>
      <c r="F1156" s="3">
        <v>0</v>
      </c>
      <c r="G1156" s="3">
        <v>0</v>
      </c>
      <c r="H1156" s="3">
        <v>0</v>
      </c>
      <c r="I1156" s="3">
        <v>0</v>
      </c>
      <c r="J1156" s="3">
        <v>1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0</v>
      </c>
      <c r="BD1156" s="3">
        <v>0</v>
      </c>
      <c r="BE1156" s="3">
        <v>0</v>
      </c>
      <c r="BF1156" s="3">
        <v>0</v>
      </c>
      <c r="BG1156" s="3">
        <v>0</v>
      </c>
      <c r="BH1156" s="3">
        <v>0</v>
      </c>
      <c r="BI1156" s="3">
        <v>0</v>
      </c>
      <c r="BJ1156" s="3">
        <v>0</v>
      </c>
      <c r="BK1156" s="3">
        <v>0</v>
      </c>
      <c r="BL1156" s="3">
        <v>0</v>
      </c>
      <c r="BM1156" s="3">
        <v>0</v>
      </c>
      <c r="BN1156" s="3">
        <v>0</v>
      </c>
      <c r="BO1156" s="3">
        <v>0</v>
      </c>
      <c r="BP1156" s="3">
        <v>0</v>
      </c>
      <c r="BQ1156" s="3">
        <v>0</v>
      </c>
      <c r="BR1156" s="3">
        <v>0</v>
      </c>
      <c r="BS1156" s="3">
        <v>0</v>
      </c>
      <c r="BT1156" s="3">
        <v>0</v>
      </c>
      <c r="BU1156" s="3">
        <v>0</v>
      </c>
    </row>
    <row r="1157" spans="1:73" x14ac:dyDescent="0.25">
      <c r="A1157" s="2" t="s">
        <v>139</v>
      </c>
      <c r="B1157" s="4">
        <v>66</v>
      </c>
      <c r="C1157" s="4">
        <v>1</v>
      </c>
      <c r="D1157" s="4">
        <v>2</v>
      </c>
      <c r="E1157" s="4">
        <v>1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0</v>
      </c>
      <c r="AX1157" s="3">
        <v>0</v>
      </c>
      <c r="AY1157" s="3">
        <v>0</v>
      </c>
      <c r="AZ1157" s="3">
        <v>0</v>
      </c>
      <c r="BA1157" s="3">
        <v>0</v>
      </c>
      <c r="BB1157" s="3">
        <v>0</v>
      </c>
      <c r="BC1157" s="3">
        <v>0</v>
      </c>
      <c r="BD1157" s="3">
        <v>0</v>
      </c>
      <c r="BE1157" s="3">
        <v>0</v>
      </c>
      <c r="BF1157" s="3">
        <v>0</v>
      </c>
      <c r="BG1157" s="3">
        <v>0</v>
      </c>
      <c r="BH1157" s="3">
        <v>0</v>
      </c>
      <c r="BI1157" s="3">
        <v>0</v>
      </c>
      <c r="BJ1157" s="3">
        <v>0</v>
      </c>
      <c r="BK1157" s="3">
        <v>0</v>
      </c>
      <c r="BL1157" s="3">
        <v>0</v>
      </c>
      <c r="BM1157" s="3">
        <v>0</v>
      </c>
      <c r="BN1157" s="3">
        <v>0</v>
      </c>
      <c r="BO1157" s="3">
        <v>0</v>
      </c>
      <c r="BP1157" s="3">
        <v>0</v>
      </c>
      <c r="BQ1157" s="3">
        <v>0</v>
      </c>
      <c r="BR1157" s="3">
        <v>0</v>
      </c>
      <c r="BS1157" s="3">
        <v>0</v>
      </c>
      <c r="BT1157" s="3">
        <v>0</v>
      </c>
      <c r="BU1157" s="3">
        <v>0</v>
      </c>
    </row>
    <row r="1158" spans="1:73" x14ac:dyDescent="0.25">
      <c r="A1158" s="2" t="s">
        <v>139</v>
      </c>
      <c r="B1158" s="4">
        <v>66</v>
      </c>
      <c r="C1158" s="4">
        <v>1</v>
      </c>
      <c r="D1158" s="4">
        <v>2</v>
      </c>
      <c r="E1158" s="4">
        <v>2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1</v>
      </c>
      <c r="AU1158" s="3">
        <v>0</v>
      </c>
      <c r="AV1158" s="3">
        <v>0</v>
      </c>
      <c r="AW1158" s="3">
        <v>0</v>
      </c>
      <c r="AX1158" s="3">
        <v>0</v>
      </c>
      <c r="AY1158" s="3">
        <v>0</v>
      </c>
      <c r="AZ1158" s="3">
        <v>0</v>
      </c>
      <c r="BA1158" s="3">
        <v>0</v>
      </c>
      <c r="BB1158" s="3">
        <v>0</v>
      </c>
      <c r="BC1158" s="3">
        <v>0</v>
      </c>
      <c r="BD1158" s="3">
        <v>0</v>
      </c>
      <c r="BE1158" s="3">
        <v>0</v>
      </c>
      <c r="BF1158" s="3">
        <v>0</v>
      </c>
      <c r="BG1158" s="3">
        <v>0</v>
      </c>
      <c r="BH1158" s="3">
        <v>0</v>
      </c>
      <c r="BI1158" s="3">
        <v>0</v>
      </c>
      <c r="BJ1158" s="3">
        <v>0</v>
      </c>
      <c r="BK1158" s="3">
        <v>0</v>
      </c>
      <c r="BL1158" s="3">
        <v>0</v>
      </c>
      <c r="BM1158" s="3">
        <v>0</v>
      </c>
      <c r="BN1158" s="3">
        <v>0</v>
      </c>
      <c r="BO1158" s="3">
        <v>0</v>
      </c>
      <c r="BP1158" s="3">
        <v>0</v>
      </c>
      <c r="BQ1158" s="3">
        <v>0</v>
      </c>
      <c r="BR1158" s="3">
        <v>0</v>
      </c>
      <c r="BS1158" s="3">
        <v>0</v>
      </c>
      <c r="BT1158" s="3">
        <v>0</v>
      </c>
      <c r="BU1158" s="3">
        <v>0</v>
      </c>
    </row>
    <row r="1159" spans="1:73" x14ac:dyDescent="0.25">
      <c r="A1159" s="2" t="s">
        <v>139</v>
      </c>
      <c r="B1159" s="4">
        <v>66</v>
      </c>
      <c r="C1159" s="4">
        <v>1</v>
      </c>
      <c r="D1159" s="4">
        <v>2</v>
      </c>
      <c r="E1159" s="4">
        <v>3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3">
        <v>0</v>
      </c>
      <c r="AY1159" s="3">
        <v>0</v>
      </c>
      <c r="AZ1159" s="3">
        <v>0</v>
      </c>
      <c r="BA1159" s="3">
        <v>0</v>
      </c>
      <c r="BB1159" s="3">
        <v>0</v>
      </c>
      <c r="BC1159" s="3">
        <v>0</v>
      </c>
      <c r="BD1159" s="3">
        <v>0</v>
      </c>
      <c r="BE1159" s="3">
        <v>0</v>
      </c>
      <c r="BF1159" s="3">
        <v>0</v>
      </c>
      <c r="BG1159" s="3">
        <v>0</v>
      </c>
      <c r="BH1159" s="3">
        <v>0</v>
      </c>
      <c r="BI1159" s="3">
        <v>0</v>
      </c>
      <c r="BJ1159" s="3">
        <v>0</v>
      </c>
      <c r="BK1159" s="3">
        <v>0</v>
      </c>
      <c r="BL1159" s="3">
        <v>1</v>
      </c>
      <c r="BM1159" s="3">
        <v>0</v>
      </c>
      <c r="BN1159" s="3">
        <v>0</v>
      </c>
      <c r="BO1159" s="3">
        <v>0</v>
      </c>
      <c r="BP1159" s="3">
        <v>0</v>
      </c>
      <c r="BQ1159" s="3">
        <v>0</v>
      </c>
      <c r="BR1159" s="3">
        <v>0</v>
      </c>
      <c r="BS1159" s="3">
        <v>0</v>
      </c>
      <c r="BT1159" s="3">
        <v>0</v>
      </c>
      <c r="BU1159" s="3">
        <v>0</v>
      </c>
    </row>
    <row r="1160" spans="1:73" x14ac:dyDescent="0.25">
      <c r="A1160" s="2" t="s">
        <v>139</v>
      </c>
      <c r="B1160" s="4">
        <v>66</v>
      </c>
      <c r="C1160" s="4">
        <v>1</v>
      </c>
      <c r="D1160" s="4">
        <v>3</v>
      </c>
      <c r="E1160" s="4">
        <v>1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  <c r="AV1160" s="3">
        <v>0</v>
      </c>
      <c r="AW1160" s="3">
        <v>0</v>
      </c>
      <c r="AX1160" s="3">
        <v>0</v>
      </c>
      <c r="AY1160" s="3">
        <v>0</v>
      </c>
      <c r="AZ1160" s="3">
        <v>0</v>
      </c>
      <c r="BA1160" s="3">
        <v>0</v>
      </c>
      <c r="BB1160" s="3">
        <v>0</v>
      </c>
      <c r="BC1160" s="3">
        <v>0</v>
      </c>
      <c r="BD1160" s="3">
        <v>0</v>
      </c>
      <c r="BE1160" s="3">
        <v>0</v>
      </c>
      <c r="BF1160" s="3">
        <v>0</v>
      </c>
      <c r="BG1160" s="3">
        <v>0</v>
      </c>
      <c r="BH1160" s="3">
        <v>0</v>
      </c>
      <c r="BI1160" s="3">
        <v>0</v>
      </c>
      <c r="BJ1160" s="3">
        <v>0</v>
      </c>
      <c r="BK1160" s="3">
        <v>0</v>
      </c>
      <c r="BL1160" s="3">
        <v>0</v>
      </c>
      <c r="BM1160" s="3">
        <v>0</v>
      </c>
      <c r="BN1160" s="3">
        <v>0</v>
      </c>
      <c r="BO1160" s="3">
        <v>0</v>
      </c>
      <c r="BP1160" s="3">
        <v>0</v>
      </c>
      <c r="BQ1160" s="3">
        <v>0</v>
      </c>
      <c r="BR1160" s="3">
        <v>0</v>
      </c>
      <c r="BS1160" s="3">
        <v>0</v>
      </c>
      <c r="BT1160" s="3">
        <v>0</v>
      </c>
      <c r="BU1160" s="3">
        <v>0</v>
      </c>
    </row>
    <row r="1161" spans="1:73" x14ac:dyDescent="0.25">
      <c r="A1161" s="2" t="s">
        <v>139</v>
      </c>
      <c r="B1161" s="4">
        <v>66</v>
      </c>
      <c r="C1161" s="4">
        <v>1</v>
      </c>
      <c r="D1161" s="4">
        <v>3</v>
      </c>
      <c r="E1161" s="4">
        <v>2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3">
        <v>0</v>
      </c>
      <c r="AY1161" s="3">
        <v>0</v>
      </c>
      <c r="AZ1161" s="3">
        <v>0</v>
      </c>
      <c r="BA1161" s="3">
        <v>0</v>
      </c>
      <c r="BB1161" s="3">
        <v>0</v>
      </c>
      <c r="BC1161" s="3">
        <v>0</v>
      </c>
      <c r="BD1161" s="3">
        <v>0</v>
      </c>
      <c r="BE1161" s="3">
        <v>0</v>
      </c>
      <c r="BF1161" s="3">
        <v>0</v>
      </c>
      <c r="BG1161" s="3">
        <v>0</v>
      </c>
      <c r="BH1161" s="3">
        <v>0</v>
      </c>
      <c r="BI1161" s="3">
        <v>0</v>
      </c>
      <c r="BJ1161" s="3">
        <v>0</v>
      </c>
      <c r="BK1161" s="3">
        <v>0</v>
      </c>
      <c r="BL1161" s="3">
        <v>0</v>
      </c>
      <c r="BM1161" s="3">
        <v>0</v>
      </c>
      <c r="BN1161" s="3">
        <v>0</v>
      </c>
      <c r="BO1161" s="3">
        <v>0</v>
      </c>
      <c r="BP1161" s="3">
        <v>0</v>
      </c>
      <c r="BQ1161" s="3">
        <v>0</v>
      </c>
      <c r="BR1161" s="3">
        <v>0</v>
      </c>
      <c r="BS1161" s="3">
        <v>0</v>
      </c>
      <c r="BT1161" s="3">
        <v>0</v>
      </c>
      <c r="BU1161" s="3">
        <v>0</v>
      </c>
    </row>
    <row r="1162" spans="1:73" x14ac:dyDescent="0.25">
      <c r="A1162" s="2" t="s">
        <v>139</v>
      </c>
      <c r="B1162" s="4">
        <v>66</v>
      </c>
      <c r="C1162" s="4">
        <v>1</v>
      </c>
      <c r="D1162" s="4">
        <v>3</v>
      </c>
      <c r="E1162" s="4">
        <v>3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3">
        <v>0</v>
      </c>
      <c r="AW1162" s="3">
        <v>0</v>
      </c>
      <c r="AX1162" s="3">
        <v>0</v>
      </c>
      <c r="AY1162" s="3">
        <v>0</v>
      </c>
      <c r="AZ1162" s="3">
        <v>0</v>
      </c>
      <c r="BA1162" s="3">
        <v>0</v>
      </c>
      <c r="BB1162" s="3">
        <v>0</v>
      </c>
      <c r="BC1162" s="3">
        <v>0</v>
      </c>
      <c r="BD1162" s="3">
        <v>0</v>
      </c>
      <c r="BE1162" s="3">
        <v>0</v>
      </c>
      <c r="BF1162" s="3">
        <v>0</v>
      </c>
      <c r="BG1162" s="3">
        <v>0</v>
      </c>
      <c r="BH1162" s="3">
        <v>0</v>
      </c>
      <c r="BI1162" s="3">
        <v>0</v>
      </c>
      <c r="BJ1162" s="3">
        <v>0</v>
      </c>
      <c r="BK1162" s="3">
        <v>0</v>
      </c>
      <c r="BL1162" s="3">
        <v>0</v>
      </c>
      <c r="BM1162" s="3">
        <v>0</v>
      </c>
      <c r="BN1162" s="3">
        <v>0</v>
      </c>
      <c r="BO1162" s="3">
        <v>0</v>
      </c>
      <c r="BP1162" s="3">
        <v>0</v>
      </c>
      <c r="BQ1162" s="3">
        <v>0</v>
      </c>
      <c r="BR1162" s="3">
        <v>0</v>
      </c>
      <c r="BS1162" s="3">
        <v>0</v>
      </c>
      <c r="BT1162" s="3">
        <v>0</v>
      </c>
      <c r="BU1162" s="3">
        <v>0</v>
      </c>
    </row>
    <row r="1163" spans="1:73" x14ac:dyDescent="0.25">
      <c r="A1163" s="2" t="s">
        <v>139</v>
      </c>
      <c r="B1163" s="4">
        <v>66</v>
      </c>
      <c r="C1163" s="4">
        <v>2</v>
      </c>
      <c r="D1163" s="4">
        <v>1</v>
      </c>
      <c r="E1163" s="4">
        <v>1</v>
      </c>
      <c r="F1163" s="3">
        <v>0</v>
      </c>
      <c r="G1163" s="3">
        <v>1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0</v>
      </c>
      <c r="BD1163" s="3">
        <v>0</v>
      </c>
      <c r="BE1163" s="3">
        <v>0</v>
      </c>
      <c r="BF1163" s="3">
        <v>0</v>
      </c>
      <c r="BG1163" s="3">
        <v>0</v>
      </c>
      <c r="BH1163" s="3">
        <v>0</v>
      </c>
      <c r="BI1163" s="3">
        <v>0</v>
      </c>
      <c r="BJ1163" s="3">
        <v>0</v>
      </c>
      <c r="BK1163" s="3">
        <v>0</v>
      </c>
      <c r="BL1163" s="3">
        <v>0</v>
      </c>
      <c r="BM1163" s="3">
        <v>0</v>
      </c>
      <c r="BN1163" s="3">
        <v>0</v>
      </c>
      <c r="BO1163" s="3">
        <v>0</v>
      </c>
      <c r="BP1163" s="3">
        <v>0</v>
      </c>
      <c r="BQ1163" s="3">
        <v>0</v>
      </c>
      <c r="BR1163" s="3">
        <v>0</v>
      </c>
      <c r="BS1163" s="3">
        <v>0</v>
      </c>
      <c r="BT1163" s="3">
        <v>1</v>
      </c>
      <c r="BU1163" s="3">
        <v>0</v>
      </c>
    </row>
    <row r="1164" spans="1:73" x14ac:dyDescent="0.25">
      <c r="A1164" s="2" t="s">
        <v>139</v>
      </c>
      <c r="B1164" s="4">
        <v>66</v>
      </c>
      <c r="C1164" s="4">
        <v>2</v>
      </c>
      <c r="D1164" s="4">
        <v>1</v>
      </c>
      <c r="E1164" s="4">
        <v>2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X1164" s="3">
        <v>0</v>
      </c>
      <c r="AY1164" s="3">
        <v>0</v>
      </c>
      <c r="AZ1164" s="3">
        <v>0</v>
      </c>
      <c r="BA1164" s="3">
        <v>0</v>
      </c>
      <c r="BB1164" s="3">
        <v>1</v>
      </c>
      <c r="BC1164" s="3">
        <v>0</v>
      </c>
      <c r="BD1164" s="3">
        <v>0</v>
      </c>
      <c r="BE1164" s="3">
        <v>0</v>
      </c>
      <c r="BF1164" s="3">
        <v>0</v>
      </c>
      <c r="BG1164" s="3">
        <v>0</v>
      </c>
      <c r="BH1164" s="3">
        <v>0</v>
      </c>
      <c r="BI1164" s="3">
        <v>0</v>
      </c>
      <c r="BJ1164" s="3">
        <v>0</v>
      </c>
      <c r="BK1164" s="3">
        <v>0</v>
      </c>
      <c r="BL1164" s="3">
        <v>0</v>
      </c>
      <c r="BM1164" s="3">
        <v>0</v>
      </c>
      <c r="BN1164" s="3">
        <v>0</v>
      </c>
      <c r="BO1164" s="3">
        <v>1</v>
      </c>
      <c r="BP1164" s="3">
        <v>0</v>
      </c>
      <c r="BQ1164" s="3">
        <v>0</v>
      </c>
      <c r="BR1164" s="3">
        <v>0</v>
      </c>
      <c r="BS1164" s="3">
        <v>0</v>
      </c>
      <c r="BT1164" s="3">
        <v>1</v>
      </c>
      <c r="BU1164" s="3">
        <v>0</v>
      </c>
    </row>
    <row r="1165" spans="1:73" x14ac:dyDescent="0.25">
      <c r="A1165" s="2" t="s">
        <v>139</v>
      </c>
      <c r="B1165" s="4">
        <v>66</v>
      </c>
      <c r="C1165" s="4">
        <v>2</v>
      </c>
      <c r="D1165" s="4">
        <v>1</v>
      </c>
      <c r="E1165" s="4">
        <v>3</v>
      </c>
      <c r="F1165" s="3">
        <v>0</v>
      </c>
      <c r="G1165" s="3">
        <v>0</v>
      </c>
      <c r="H1165" s="3">
        <v>0</v>
      </c>
      <c r="I1165" s="3">
        <v>0</v>
      </c>
      <c r="J1165" s="3">
        <v>1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3">
        <v>0</v>
      </c>
      <c r="AZ1165" s="3">
        <v>0</v>
      </c>
      <c r="BA1165" s="3">
        <v>0</v>
      </c>
      <c r="BB1165" s="3">
        <v>0</v>
      </c>
      <c r="BC1165" s="3">
        <v>0</v>
      </c>
      <c r="BD1165" s="3">
        <v>0</v>
      </c>
      <c r="BE1165" s="3">
        <v>0</v>
      </c>
      <c r="BF1165" s="3">
        <v>0</v>
      </c>
      <c r="BG1165" s="3">
        <v>0</v>
      </c>
      <c r="BH1165" s="3">
        <v>0</v>
      </c>
      <c r="BI1165" s="3">
        <v>0</v>
      </c>
      <c r="BJ1165" s="3">
        <v>0</v>
      </c>
      <c r="BK1165" s="3">
        <v>0</v>
      </c>
      <c r="BL1165" s="3">
        <v>0</v>
      </c>
      <c r="BM1165" s="3">
        <v>0</v>
      </c>
      <c r="BN1165" s="3">
        <v>0</v>
      </c>
      <c r="BO1165" s="3">
        <v>0</v>
      </c>
      <c r="BP1165" s="3">
        <v>0</v>
      </c>
      <c r="BQ1165" s="3">
        <v>0</v>
      </c>
      <c r="BR1165" s="3">
        <v>0</v>
      </c>
      <c r="BS1165" s="3">
        <v>0</v>
      </c>
      <c r="BT1165" s="3">
        <v>0</v>
      </c>
      <c r="BU1165" s="3">
        <v>0</v>
      </c>
    </row>
    <row r="1166" spans="1:73" x14ac:dyDescent="0.25">
      <c r="A1166" s="2" t="s">
        <v>139</v>
      </c>
      <c r="B1166" s="4">
        <v>66</v>
      </c>
      <c r="C1166" s="4">
        <v>2</v>
      </c>
      <c r="D1166" s="4">
        <v>2</v>
      </c>
      <c r="E1166" s="4">
        <v>1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0</v>
      </c>
      <c r="BB1166" s="3">
        <v>0</v>
      </c>
      <c r="BC1166" s="3">
        <v>0</v>
      </c>
      <c r="BD1166" s="3">
        <v>0</v>
      </c>
      <c r="BE1166" s="3">
        <v>0</v>
      </c>
      <c r="BF1166" s="3">
        <v>0</v>
      </c>
      <c r="BG1166" s="3">
        <v>0</v>
      </c>
      <c r="BH1166" s="3">
        <v>0</v>
      </c>
      <c r="BI1166" s="3">
        <v>0</v>
      </c>
      <c r="BJ1166" s="3">
        <v>0</v>
      </c>
      <c r="BK1166" s="3">
        <v>0</v>
      </c>
      <c r="BL1166" s="3">
        <v>0</v>
      </c>
      <c r="BM1166" s="3">
        <v>0</v>
      </c>
      <c r="BN1166" s="3">
        <v>0</v>
      </c>
      <c r="BO1166" s="3">
        <v>0</v>
      </c>
      <c r="BP1166" s="3">
        <v>0</v>
      </c>
      <c r="BQ1166" s="3">
        <v>0</v>
      </c>
      <c r="BR1166" s="3">
        <v>0</v>
      </c>
      <c r="BS1166" s="3">
        <v>0</v>
      </c>
      <c r="BT1166" s="3">
        <v>0</v>
      </c>
      <c r="BU1166" s="3">
        <v>0</v>
      </c>
    </row>
    <row r="1167" spans="1:73" x14ac:dyDescent="0.25">
      <c r="A1167" s="2" t="s">
        <v>139</v>
      </c>
      <c r="B1167" s="4">
        <v>66</v>
      </c>
      <c r="C1167" s="4">
        <v>2</v>
      </c>
      <c r="D1167" s="4">
        <v>2</v>
      </c>
      <c r="E1167" s="4">
        <v>2</v>
      </c>
      <c r="F1167" s="3">
        <v>0</v>
      </c>
      <c r="G1167" s="3">
        <v>2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  <c r="BA1167" s="3">
        <v>0</v>
      </c>
      <c r="BB1167" s="3">
        <v>0</v>
      </c>
      <c r="BC1167" s="3">
        <v>0</v>
      </c>
      <c r="BD1167" s="3">
        <v>0</v>
      </c>
      <c r="BE1167" s="3">
        <v>0</v>
      </c>
      <c r="BF1167" s="3">
        <v>0</v>
      </c>
      <c r="BG1167" s="3">
        <v>0</v>
      </c>
      <c r="BH1167" s="3">
        <v>0</v>
      </c>
      <c r="BI1167" s="3">
        <v>0</v>
      </c>
      <c r="BJ1167" s="3">
        <v>0</v>
      </c>
      <c r="BK1167" s="3">
        <v>0</v>
      </c>
      <c r="BL1167" s="3">
        <v>0</v>
      </c>
      <c r="BM1167" s="3">
        <v>0</v>
      </c>
      <c r="BN1167" s="3">
        <v>0</v>
      </c>
      <c r="BO1167" s="3">
        <v>0</v>
      </c>
      <c r="BP1167" s="3">
        <v>0</v>
      </c>
      <c r="BQ1167" s="3">
        <v>0</v>
      </c>
      <c r="BR1167" s="3">
        <v>0</v>
      </c>
      <c r="BS1167" s="3">
        <v>0</v>
      </c>
      <c r="BT1167" s="3">
        <v>0</v>
      </c>
      <c r="BU1167" s="3">
        <v>0</v>
      </c>
    </row>
    <row r="1168" spans="1:73" x14ac:dyDescent="0.25">
      <c r="A1168" s="2" t="s">
        <v>139</v>
      </c>
      <c r="B1168" s="4">
        <v>66</v>
      </c>
      <c r="C1168" s="4">
        <v>2</v>
      </c>
      <c r="D1168" s="4">
        <v>2</v>
      </c>
      <c r="E1168" s="4">
        <v>3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1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0</v>
      </c>
      <c r="BD1168" s="3">
        <v>0</v>
      </c>
      <c r="BE1168" s="3">
        <v>0</v>
      </c>
      <c r="BF1168" s="3">
        <v>0</v>
      </c>
      <c r="BG1168" s="3">
        <v>0</v>
      </c>
      <c r="BH1168" s="3">
        <v>0</v>
      </c>
      <c r="BI1168" s="3">
        <v>0</v>
      </c>
      <c r="BJ1168" s="3">
        <v>0</v>
      </c>
      <c r="BK1168" s="3">
        <v>0</v>
      </c>
      <c r="BL1168" s="3">
        <v>0</v>
      </c>
      <c r="BM1168" s="3">
        <v>0</v>
      </c>
      <c r="BN1168" s="3">
        <v>0</v>
      </c>
      <c r="BO1168" s="3">
        <v>0</v>
      </c>
      <c r="BP1168" s="3">
        <v>0</v>
      </c>
      <c r="BQ1168" s="3">
        <v>0</v>
      </c>
      <c r="BR1168" s="3">
        <v>0</v>
      </c>
      <c r="BS1168" s="3">
        <v>0</v>
      </c>
      <c r="BT1168" s="3">
        <v>0</v>
      </c>
      <c r="BU1168" s="3">
        <v>0</v>
      </c>
    </row>
    <row r="1169" spans="1:73" x14ac:dyDescent="0.25">
      <c r="A1169" s="2" t="s">
        <v>139</v>
      </c>
      <c r="B1169" s="4">
        <v>66</v>
      </c>
      <c r="C1169" s="4">
        <v>2</v>
      </c>
      <c r="D1169" s="4">
        <v>3</v>
      </c>
      <c r="E1169" s="4">
        <v>1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1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3">
        <v>0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0</v>
      </c>
      <c r="BD1169" s="3">
        <v>0</v>
      </c>
      <c r="BE1169" s="3">
        <v>0</v>
      </c>
      <c r="BF1169" s="3">
        <v>0</v>
      </c>
      <c r="BG1169" s="3">
        <v>0</v>
      </c>
      <c r="BH1169" s="3">
        <v>0</v>
      </c>
      <c r="BI1169" s="3">
        <v>0</v>
      </c>
      <c r="BJ1169" s="3">
        <v>0</v>
      </c>
      <c r="BK1169" s="3">
        <v>0</v>
      </c>
      <c r="BL1169" s="3">
        <v>0</v>
      </c>
      <c r="BM1169" s="3">
        <v>0</v>
      </c>
      <c r="BN1169" s="3">
        <v>0</v>
      </c>
      <c r="BO1169" s="3">
        <v>0</v>
      </c>
      <c r="BP1169" s="3">
        <v>0</v>
      </c>
      <c r="BQ1169" s="3">
        <v>0</v>
      </c>
      <c r="BR1169" s="3">
        <v>0</v>
      </c>
      <c r="BS1169" s="3">
        <v>0</v>
      </c>
      <c r="BT1169" s="3">
        <v>0</v>
      </c>
      <c r="BU1169" s="3">
        <v>0</v>
      </c>
    </row>
    <row r="1170" spans="1:73" x14ac:dyDescent="0.25">
      <c r="A1170" s="2" t="s">
        <v>139</v>
      </c>
      <c r="B1170" s="4">
        <v>66</v>
      </c>
      <c r="C1170" s="4">
        <v>2</v>
      </c>
      <c r="D1170" s="4">
        <v>3</v>
      </c>
      <c r="E1170" s="4">
        <v>2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1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  <c r="BA1170" s="3">
        <v>0</v>
      </c>
      <c r="BB1170" s="3">
        <v>0</v>
      </c>
      <c r="BC1170" s="3">
        <v>0</v>
      </c>
      <c r="BD1170" s="3">
        <v>0</v>
      </c>
      <c r="BE1170" s="3">
        <v>0</v>
      </c>
      <c r="BF1170" s="3">
        <v>0</v>
      </c>
      <c r="BG1170" s="3">
        <v>0</v>
      </c>
      <c r="BH1170" s="3">
        <v>0</v>
      </c>
      <c r="BI1170" s="3">
        <v>0</v>
      </c>
      <c r="BJ1170" s="3">
        <v>0</v>
      </c>
      <c r="BK1170" s="3">
        <v>1</v>
      </c>
      <c r="BL1170" s="3">
        <v>0</v>
      </c>
      <c r="BM1170" s="3">
        <v>0</v>
      </c>
      <c r="BN1170" s="3">
        <v>0</v>
      </c>
      <c r="BO1170" s="3">
        <v>0</v>
      </c>
      <c r="BP1170" s="3">
        <v>0</v>
      </c>
      <c r="BQ1170" s="3">
        <v>0</v>
      </c>
      <c r="BR1170" s="3">
        <v>0</v>
      </c>
      <c r="BS1170" s="3">
        <v>0</v>
      </c>
      <c r="BT1170" s="3">
        <v>0</v>
      </c>
      <c r="BU1170" s="3">
        <v>0</v>
      </c>
    </row>
    <row r="1171" spans="1:73" x14ac:dyDescent="0.25">
      <c r="A1171" s="2" t="s">
        <v>139</v>
      </c>
      <c r="B1171" s="4">
        <v>66</v>
      </c>
      <c r="C1171" s="4">
        <v>2</v>
      </c>
      <c r="D1171" s="4">
        <v>3</v>
      </c>
      <c r="E1171" s="4">
        <v>3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1</v>
      </c>
      <c r="N1171" s="3">
        <v>0</v>
      </c>
      <c r="O1171" s="3">
        <v>0</v>
      </c>
      <c r="P1171" s="3">
        <v>0</v>
      </c>
      <c r="Q1171" s="3">
        <v>1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0</v>
      </c>
      <c r="BB1171" s="3">
        <v>0</v>
      </c>
      <c r="BC1171" s="3">
        <v>0</v>
      </c>
      <c r="BD1171" s="3">
        <v>0</v>
      </c>
      <c r="BE1171" s="3">
        <v>0</v>
      </c>
      <c r="BF1171" s="3">
        <v>0</v>
      </c>
      <c r="BG1171" s="3">
        <v>0</v>
      </c>
      <c r="BH1171" s="3">
        <v>0</v>
      </c>
      <c r="BI1171" s="3">
        <v>0</v>
      </c>
      <c r="BJ1171" s="3">
        <v>0</v>
      </c>
      <c r="BK1171" s="3">
        <v>0</v>
      </c>
      <c r="BL1171" s="3">
        <v>0</v>
      </c>
      <c r="BM1171" s="3">
        <v>0</v>
      </c>
      <c r="BN1171" s="3">
        <v>0</v>
      </c>
      <c r="BO1171" s="3">
        <v>0</v>
      </c>
      <c r="BP1171" s="3">
        <v>0</v>
      </c>
      <c r="BQ1171" s="3">
        <v>0</v>
      </c>
      <c r="BR1171" s="3">
        <v>0</v>
      </c>
      <c r="BS1171" s="3">
        <v>0</v>
      </c>
      <c r="BT1171" s="3">
        <v>0</v>
      </c>
      <c r="BU1171" s="3">
        <v>0</v>
      </c>
    </row>
    <row r="1172" spans="1:73" x14ac:dyDescent="0.25">
      <c r="A1172" s="2" t="s">
        <v>140</v>
      </c>
      <c r="B1172" s="4">
        <v>68</v>
      </c>
      <c r="C1172" s="4">
        <v>1</v>
      </c>
      <c r="D1172" s="4">
        <v>1</v>
      </c>
      <c r="E1172" s="4">
        <v>1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1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1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3">
        <v>0</v>
      </c>
      <c r="BB1172" s="3">
        <v>0</v>
      </c>
      <c r="BC1172" s="3">
        <v>0</v>
      </c>
      <c r="BD1172" s="3">
        <v>0</v>
      </c>
      <c r="BE1172" s="3">
        <v>0</v>
      </c>
      <c r="BF1172" s="3">
        <v>0</v>
      </c>
      <c r="BG1172" s="3">
        <v>0</v>
      </c>
      <c r="BH1172" s="3">
        <v>0</v>
      </c>
      <c r="BI1172" s="3">
        <v>1</v>
      </c>
      <c r="BJ1172" s="3">
        <v>0</v>
      </c>
      <c r="BK1172" s="3">
        <v>0</v>
      </c>
      <c r="BL1172" s="3">
        <v>0</v>
      </c>
      <c r="BM1172" s="3">
        <v>0</v>
      </c>
      <c r="BN1172" s="3">
        <v>0</v>
      </c>
      <c r="BO1172" s="3">
        <v>0</v>
      </c>
      <c r="BP1172" s="3">
        <v>1</v>
      </c>
      <c r="BQ1172" s="3">
        <v>0</v>
      </c>
      <c r="BR1172" s="3">
        <v>0</v>
      </c>
      <c r="BS1172" s="3">
        <v>0</v>
      </c>
      <c r="BT1172" s="3">
        <v>2</v>
      </c>
      <c r="BU1172" s="3">
        <v>0</v>
      </c>
    </row>
    <row r="1173" spans="1:73" x14ac:dyDescent="0.25">
      <c r="A1173" s="2" t="s">
        <v>140</v>
      </c>
      <c r="B1173" s="4">
        <v>68</v>
      </c>
      <c r="C1173" s="4">
        <v>1</v>
      </c>
      <c r="D1173" s="4">
        <v>1</v>
      </c>
      <c r="E1173" s="4">
        <v>2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1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1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1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0</v>
      </c>
      <c r="AX1173" s="3">
        <v>0</v>
      </c>
      <c r="AY1173" s="3">
        <v>0</v>
      </c>
      <c r="AZ1173" s="3">
        <v>0</v>
      </c>
      <c r="BA1173" s="3">
        <v>0</v>
      </c>
      <c r="BB1173" s="3">
        <v>0</v>
      </c>
      <c r="BC1173" s="3">
        <v>0</v>
      </c>
      <c r="BD1173" s="3">
        <v>0</v>
      </c>
      <c r="BE1173" s="3">
        <v>0</v>
      </c>
      <c r="BF1173" s="3">
        <v>2</v>
      </c>
      <c r="BG1173" s="3">
        <v>0</v>
      </c>
      <c r="BH1173" s="3">
        <v>0</v>
      </c>
      <c r="BI1173" s="3">
        <v>0</v>
      </c>
      <c r="BJ1173" s="3">
        <v>0</v>
      </c>
      <c r="BK1173" s="3">
        <v>0</v>
      </c>
      <c r="BL1173" s="3">
        <v>0</v>
      </c>
      <c r="BM1173" s="3">
        <v>0</v>
      </c>
      <c r="BN1173" s="3">
        <v>0</v>
      </c>
      <c r="BO1173" s="3">
        <v>0</v>
      </c>
      <c r="BP1173" s="3">
        <v>0</v>
      </c>
      <c r="BQ1173" s="3">
        <v>0</v>
      </c>
      <c r="BR1173" s="3">
        <v>0</v>
      </c>
      <c r="BS1173" s="3">
        <v>0</v>
      </c>
      <c r="BT1173" s="3">
        <v>1</v>
      </c>
      <c r="BU1173" s="3">
        <v>1</v>
      </c>
    </row>
    <row r="1174" spans="1:73" x14ac:dyDescent="0.25">
      <c r="A1174" s="2" t="s">
        <v>140</v>
      </c>
      <c r="B1174" s="4">
        <v>68</v>
      </c>
      <c r="C1174" s="4">
        <v>1</v>
      </c>
      <c r="D1174" s="4">
        <v>1</v>
      </c>
      <c r="E1174" s="4">
        <v>3</v>
      </c>
      <c r="F1174" s="3">
        <v>0</v>
      </c>
      <c r="G1174" s="3">
        <v>2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0</v>
      </c>
      <c r="AY1174" s="3">
        <v>0</v>
      </c>
      <c r="AZ1174" s="3">
        <v>0</v>
      </c>
      <c r="BA1174" s="3">
        <v>0</v>
      </c>
      <c r="BB1174" s="3">
        <v>0</v>
      </c>
      <c r="BC1174" s="3">
        <v>0</v>
      </c>
      <c r="BD1174" s="3">
        <v>0</v>
      </c>
      <c r="BE1174" s="3">
        <v>0</v>
      </c>
      <c r="BF1174" s="3">
        <v>0</v>
      </c>
      <c r="BG1174" s="3">
        <v>0</v>
      </c>
      <c r="BH1174" s="3">
        <v>0</v>
      </c>
      <c r="BI1174" s="3">
        <v>0</v>
      </c>
      <c r="BJ1174" s="3">
        <v>0</v>
      </c>
      <c r="BK1174" s="3">
        <v>0</v>
      </c>
      <c r="BL1174" s="3">
        <v>0</v>
      </c>
      <c r="BM1174" s="3">
        <v>0</v>
      </c>
      <c r="BN1174" s="3">
        <v>0</v>
      </c>
      <c r="BO1174" s="3">
        <v>0</v>
      </c>
      <c r="BP1174" s="3">
        <v>0</v>
      </c>
      <c r="BQ1174" s="3">
        <v>0</v>
      </c>
      <c r="BR1174" s="3">
        <v>0</v>
      </c>
      <c r="BS1174" s="3">
        <v>0</v>
      </c>
      <c r="BT1174" s="3">
        <v>0</v>
      </c>
      <c r="BU1174" s="3">
        <v>0</v>
      </c>
    </row>
    <row r="1175" spans="1:73" x14ac:dyDescent="0.25">
      <c r="A1175" s="2" t="s">
        <v>140</v>
      </c>
      <c r="B1175" s="4">
        <v>68</v>
      </c>
      <c r="C1175" s="4">
        <v>1</v>
      </c>
      <c r="D1175" s="4">
        <v>2</v>
      </c>
      <c r="E1175" s="4">
        <v>1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3">
        <v>0</v>
      </c>
      <c r="AZ1175" s="3">
        <v>0</v>
      </c>
      <c r="BA1175" s="3">
        <v>0</v>
      </c>
      <c r="BB1175" s="3">
        <v>0</v>
      </c>
      <c r="BC1175" s="3">
        <v>0</v>
      </c>
      <c r="BD1175" s="3">
        <v>0</v>
      </c>
      <c r="BE1175" s="3">
        <v>0</v>
      </c>
      <c r="BF1175" s="3">
        <v>0</v>
      </c>
      <c r="BG1175" s="3">
        <v>0</v>
      </c>
      <c r="BH1175" s="3">
        <v>0</v>
      </c>
      <c r="BI1175" s="3">
        <v>0</v>
      </c>
      <c r="BJ1175" s="3">
        <v>0</v>
      </c>
      <c r="BK1175" s="3">
        <v>0</v>
      </c>
      <c r="BL1175" s="3">
        <v>0</v>
      </c>
      <c r="BM1175" s="3">
        <v>0</v>
      </c>
      <c r="BN1175" s="3">
        <v>0</v>
      </c>
      <c r="BO1175" s="3">
        <v>0</v>
      </c>
      <c r="BP1175" s="3">
        <v>0</v>
      </c>
      <c r="BQ1175" s="3">
        <v>0</v>
      </c>
      <c r="BR1175" s="3">
        <v>0</v>
      </c>
      <c r="BS1175" s="3">
        <v>0</v>
      </c>
      <c r="BT1175" s="3">
        <v>0</v>
      </c>
      <c r="BU1175" s="3">
        <v>0</v>
      </c>
    </row>
    <row r="1176" spans="1:73" x14ac:dyDescent="0.25">
      <c r="A1176" s="2" t="s">
        <v>140</v>
      </c>
      <c r="B1176" s="4">
        <v>68</v>
      </c>
      <c r="C1176" s="4">
        <v>1</v>
      </c>
      <c r="D1176" s="4">
        <v>2</v>
      </c>
      <c r="E1176" s="4">
        <v>2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0</v>
      </c>
      <c r="AY1176" s="3">
        <v>0</v>
      </c>
      <c r="AZ1176" s="3">
        <v>0</v>
      </c>
      <c r="BA1176" s="3">
        <v>0</v>
      </c>
      <c r="BB1176" s="3">
        <v>0</v>
      </c>
      <c r="BC1176" s="3">
        <v>0</v>
      </c>
      <c r="BD1176" s="3">
        <v>0</v>
      </c>
      <c r="BE1176" s="3">
        <v>0</v>
      </c>
      <c r="BF1176" s="3">
        <v>1</v>
      </c>
      <c r="BG1176" s="3">
        <v>0</v>
      </c>
      <c r="BH1176" s="3">
        <v>0</v>
      </c>
      <c r="BI1176" s="3">
        <v>0</v>
      </c>
      <c r="BJ1176" s="3">
        <v>0</v>
      </c>
      <c r="BK1176" s="3">
        <v>0</v>
      </c>
      <c r="BL1176" s="3">
        <v>0</v>
      </c>
      <c r="BM1176" s="3">
        <v>0</v>
      </c>
      <c r="BN1176" s="3">
        <v>0</v>
      </c>
      <c r="BO1176" s="3">
        <v>0</v>
      </c>
      <c r="BP1176" s="3">
        <v>0</v>
      </c>
      <c r="BQ1176" s="3">
        <v>0</v>
      </c>
      <c r="BR1176" s="3">
        <v>0</v>
      </c>
      <c r="BS1176" s="3">
        <v>0</v>
      </c>
      <c r="BT1176" s="3">
        <v>0</v>
      </c>
      <c r="BU1176" s="3">
        <v>0</v>
      </c>
    </row>
    <row r="1177" spans="1:73" x14ac:dyDescent="0.25">
      <c r="A1177" s="2" t="s">
        <v>140</v>
      </c>
      <c r="B1177" s="4">
        <v>68</v>
      </c>
      <c r="C1177" s="4">
        <v>1</v>
      </c>
      <c r="D1177" s="4">
        <v>2</v>
      </c>
      <c r="E1177" s="4">
        <v>3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3">
        <v>0</v>
      </c>
      <c r="AY1177" s="3">
        <v>0</v>
      </c>
      <c r="AZ1177" s="3">
        <v>0</v>
      </c>
      <c r="BA1177" s="3">
        <v>0</v>
      </c>
      <c r="BB1177" s="3">
        <v>0</v>
      </c>
      <c r="BC1177" s="3">
        <v>0</v>
      </c>
      <c r="BD1177" s="3">
        <v>0</v>
      </c>
      <c r="BE1177" s="3">
        <v>0</v>
      </c>
      <c r="BF1177" s="3">
        <v>0</v>
      </c>
      <c r="BG1177" s="3">
        <v>0</v>
      </c>
      <c r="BH1177" s="3">
        <v>0</v>
      </c>
      <c r="BI1177" s="3">
        <v>0</v>
      </c>
      <c r="BJ1177" s="3">
        <v>0</v>
      </c>
      <c r="BK1177" s="3">
        <v>0</v>
      </c>
      <c r="BL1177" s="3">
        <v>0</v>
      </c>
      <c r="BM1177" s="3">
        <v>0</v>
      </c>
      <c r="BN1177" s="3">
        <v>0</v>
      </c>
      <c r="BO1177" s="3">
        <v>0</v>
      </c>
      <c r="BP1177" s="3">
        <v>0</v>
      </c>
      <c r="BQ1177" s="3">
        <v>0</v>
      </c>
      <c r="BR1177" s="3">
        <v>0</v>
      </c>
      <c r="BS1177" s="3">
        <v>0</v>
      </c>
      <c r="BT1177" s="3">
        <v>1</v>
      </c>
      <c r="BU1177" s="3">
        <v>0</v>
      </c>
    </row>
    <row r="1178" spans="1:73" x14ac:dyDescent="0.25">
      <c r="A1178" s="2" t="s">
        <v>140</v>
      </c>
      <c r="B1178" s="4">
        <v>68</v>
      </c>
      <c r="C1178" s="4">
        <v>1</v>
      </c>
      <c r="D1178" s="4">
        <v>3</v>
      </c>
      <c r="E1178" s="4">
        <v>1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2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3">
        <v>0</v>
      </c>
      <c r="AV1178" s="3">
        <v>0</v>
      </c>
      <c r="AW1178" s="3">
        <v>0</v>
      </c>
      <c r="AX1178" s="3">
        <v>0</v>
      </c>
      <c r="AY1178" s="3">
        <v>0</v>
      </c>
      <c r="AZ1178" s="3">
        <v>0</v>
      </c>
      <c r="BA1178" s="3">
        <v>0</v>
      </c>
      <c r="BB1178" s="3">
        <v>0</v>
      </c>
      <c r="BC1178" s="3">
        <v>0</v>
      </c>
      <c r="BD1178" s="3">
        <v>0</v>
      </c>
      <c r="BE1178" s="3">
        <v>0</v>
      </c>
      <c r="BF1178" s="3">
        <v>0</v>
      </c>
      <c r="BG1178" s="3">
        <v>0</v>
      </c>
      <c r="BH1178" s="3">
        <v>0</v>
      </c>
      <c r="BI1178" s="3">
        <v>0</v>
      </c>
      <c r="BJ1178" s="3">
        <v>0</v>
      </c>
      <c r="BK1178" s="3">
        <v>0</v>
      </c>
      <c r="BL1178" s="3">
        <v>0</v>
      </c>
      <c r="BM1178" s="3">
        <v>0</v>
      </c>
      <c r="BN1178" s="3">
        <v>0</v>
      </c>
      <c r="BO1178" s="3">
        <v>0</v>
      </c>
      <c r="BP1178" s="3">
        <v>0</v>
      </c>
      <c r="BQ1178" s="3">
        <v>0</v>
      </c>
      <c r="BR1178" s="3">
        <v>0</v>
      </c>
      <c r="BS1178" s="3">
        <v>0</v>
      </c>
      <c r="BT1178" s="3">
        <v>0</v>
      </c>
      <c r="BU1178" s="3">
        <v>0</v>
      </c>
    </row>
    <row r="1179" spans="1:73" x14ac:dyDescent="0.25">
      <c r="A1179" s="2" t="s">
        <v>140</v>
      </c>
      <c r="B1179" s="4">
        <v>68</v>
      </c>
      <c r="C1179" s="4">
        <v>1</v>
      </c>
      <c r="D1179" s="4">
        <v>3</v>
      </c>
      <c r="E1179" s="4">
        <v>2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1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T1179" s="3">
        <v>0</v>
      </c>
      <c r="AU1179" s="3">
        <v>0</v>
      </c>
      <c r="AV1179" s="3">
        <v>0</v>
      </c>
      <c r="AW1179" s="3">
        <v>0</v>
      </c>
      <c r="AX1179" s="3">
        <v>0</v>
      </c>
      <c r="AY1179" s="3">
        <v>0</v>
      </c>
      <c r="AZ1179" s="3">
        <v>0</v>
      </c>
      <c r="BA1179" s="3">
        <v>0</v>
      </c>
      <c r="BB1179" s="3">
        <v>0</v>
      </c>
      <c r="BC1179" s="3">
        <v>0</v>
      </c>
      <c r="BD1179" s="3">
        <v>0</v>
      </c>
      <c r="BE1179" s="3">
        <v>0</v>
      </c>
      <c r="BF1179" s="3">
        <v>1</v>
      </c>
      <c r="BG1179" s="3">
        <v>0</v>
      </c>
      <c r="BH1179" s="3">
        <v>0</v>
      </c>
      <c r="BI1179" s="3">
        <v>0</v>
      </c>
      <c r="BJ1179" s="3">
        <v>0</v>
      </c>
      <c r="BK1179" s="3">
        <v>0</v>
      </c>
      <c r="BL1179" s="3">
        <v>0</v>
      </c>
      <c r="BM1179" s="3">
        <v>0</v>
      </c>
      <c r="BN1179" s="3">
        <v>0</v>
      </c>
      <c r="BO1179" s="3">
        <v>0</v>
      </c>
      <c r="BP1179" s="3">
        <v>0</v>
      </c>
      <c r="BQ1179" s="3">
        <v>0</v>
      </c>
      <c r="BR1179" s="3">
        <v>0</v>
      </c>
      <c r="BS1179" s="3">
        <v>0</v>
      </c>
      <c r="BT1179" s="3">
        <v>0</v>
      </c>
      <c r="BU1179" s="3">
        <v>0</v>
      </c>
    </row>
    <row r="1180" spans="1:73" x14ac:dyDescent="0.25">
      <c r="A1180" s="2" t="s">
        <v>140</v>
      </c>
      <c r="B1180" s="4">
        <v>68</v>
      </c>
      <c r="C1180" s="4">
        <v>1</v>
      </c>
      <c r="D1180" s="4">
        <v>3</v>
      </c>
      <c r="E1180" s="4">
        <v>3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W1180" s="3">
        <v>0</v>
      </c>
      <c r="AX1180" s="3">
        <v>0</v>
      </c>
      <c r="AY1180" s="3">
        <v>0</v>
      </c>
      <c r="AZ1180" s="3">
        <v>0</v>
      </c>
      <c r="BA1180" s="3">
        <v>0</v>
      </c>
      <c r="BB1180" s="3">
        <v>0</v>
      </c>
      <c r="BC1180" s="3">
        <v>0</v>
      </c>
      <c r="BD1180" s="3">
        <v>0</v>
      </c>
      <c r="BE1180" s="3">
        <v>0</v>
      </c>
      <c r="BF1180" s="3">
        <v>0</v>
      </c>
      <c r="BG1180" s="3">
        <v>0</v>
      </c>
      <c r="BH1180" s="3">
        <v>0</v>
      </c>
      <c r="BI1180" s="3">
        <v>0</v>
      </c>
      <c r="BJ1180" s="3">
        <v>0</v>
      </c>
      <c r="BK1180" s="3">
        <v>0</v>
      </c>
      <c r="BL1180" s="3">
        <v>0</v>
      </c>
      <c r="BM1180" s="3">
        <v>0</v>
      </c>
      <c r="BN1180" s="3">
        <v>0</v>
      </c>
      <c r="BO1180" s="3">
        <v>0</v>
      </c>
      <c r="BP1180" s="3">
        <v>0</v>
      </c>
      <c r="BQ1180" s="3">
        <v>0</v>
      </c>
      <c r="BR1180" s="3">
        <v>0</v>
      </c>
      <c r="BS1180" s="3">
        <v>0</v>
      </c>
      <c r="BT1180" s="3">
        <v>0</v>
      </c>
      <c r="BU1180" s="3">
        <v>0</v>
      </c>
    </row>
    <row r="1181" spans="1:73" x14ac:dyDescent="0.25">
      <c r="A1181" s="2" t="s">
        <v>140</v>
      </c>
      <c r="B1181" s="4">
        <v>68</v>
      </c>
      <c r="C1181" s="4">
        <v>2</v>
      </c>
      <c r="D1181" s="4">
        <v>1</v>
      </c>
      <c r="E1181" s="4">
        <v>1</v>
      </c>
      <c r="F1181" s="3">
        <v>0</v>
      </c>
      <c r="G1181" s="3">
        <v>2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1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3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0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0</v>
      </c>
      <c r="BD1181" s="3">
        <v>0</v>
      </c>
      <c r="BE1181" s="3">
        <v>0</v>
      </c>
      <c r="BF1181" s="3">
        <v>0</v>
      </c>
      <c r="BG1181" s="3">
        <v>0</v>
      </c>
      <c r="BH1181" s="3">
        <v>0</v>
      </c>
      <c r="BI1181" s="3">
        <v>0</v>
      </c>
      <c r="BJ1181" s="3">
        <v>0</v>
      </c>
      <c r="BK1181" s="3">
        <v>0</v>
      </c>
      <c r="BL1181" s="3">
        <v>0</v>
      </c>
      <c r="BM1181" s="3">
        <v>0</v>
      </c>
      <c r="BN1181" s="3">
        <v>0</v>
      </c>
      <c r="BO1181" s="3">
        <v>0</v>
      </c>
      <c r="BP1181" s="3">
        <v>1</v>
      </c>
      <c r="BQ1181" s="3">
        <v>0</v>
      </c>
      <c r="BR1181" s="3">
        <v>0</v>
      </c>
      <c r="BS1181" s="3">
        <v>0</v>
      </c>
      <c r="BT1181" s="3">
        <v>1</v>
      </c>
      <c r="BU1181" s="3">
        <v>0</v>
      </c>
    </row>
    <row r="1182" spans="1:73" x14ac:dyDescent="0.25">
      <c r="A1182" s="2" t="s">
        <v>140</v>
      </c>
      <c r="B1182" s="4">
        <v>68</v>
      </c>
      <c r="C1182" s="4">
        <v>2</v>
      </c>
      <c r="D1182" s="4">
        <v>1</v>
      </c>
      <c r="E1182" s="4">
        <v>2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1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  <c r="AV1182" s="3">
        <v>0</v>
      </c>
      <c r="AW1182" s="3">
        <v>0</v>
      </c>
      <c r="AX1182" s="3">
        <v>0</v>
      </c>
      <c r="AY1182" s="3">
        <v>0</v>
      </c>
      <c r="AZ1182" s="3">
        <v>0</v>
      </c>
      <c r="BA1182" s="3">
        <v>0</v>
      </c>
      <c r="BB1182" s="3">
        <v>0</v>
      </c>
      <c r="BC1182" s="3">
        <v>0</v>
      </c>
      <c r="BD1182" s="3">
        <v>0</v>
      </c>
      <c r="BE1182" s="3">
        <v>0</v>
      </c>
      <c r="BF1182" s="3">
        <v>0</v>
      </c>
      <c r="BG1182" s="3">
        <v>0</v>
      </c>
      <c r="BH1182" s="3">
        <v>0</v>
      </c>
      <c r="BI1182" s="3">
        <v>1</v>
      </c>
      <c r="BJ1182" s="3">
        <v>0</v>
      </c>
      <c r="BK1182" s="3">
        <v>0</v>
      </c>
      <c r="BL1182" s="3">
        <v>0</v>
      </c>
      <c r="BM1182" s="3">
        <v>0</v>
      </c>
      <c r="BN1182" s="3">
        <v>0</v>
      </c>
      <c r="BO1182" s="3">
        <v>0</v>
      </c>
      <c r="BP1182" s="3">
        <v>1</v>
      </c>
      <c r="BQ1182" s="3">
        <v>0</v>
      </c>
      <c r="BR1182" s="3">
        <v>0</v>
      </c>
      <c r="BS1182" s="3">
        <v>0</v>
      </c>
      <c r="BT1182" s="3">
        <v>2</v>
      </c>
      <c r="BU1182" s="3">
        <v>0</v>
      </c>
    </row>
    <row r="1183" spans="1:73" x14ac:dyDescent="0.25">
      <c r="A1183" s="2" t="s">
        <v>140</v>
      </c>
      <c r="B1183" s="4">
        <v>68</v>
      </c>
      <c r="C1183" s="4">
        <v>2</v>
      </c>
      <c r="D1183" s="4">
        <v>1</v>
      </c>
      <c r="E1183" s="4">
        <v>3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1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3">
        <v>0</v>
      </c>
      <c r="AW1183" s="3">
        <v>0</v>
      </c>
      <c r="AX1183" s="3">
        <v>0</v>
      </c>
      <c r="AY1183" s="3">
        <v>0</v>
      </c>
      <c r="AZ1183" s="3">
        <v>0</v>
      </c>
      <c r="BA1183" s="3">
        <v>0</v>
      </c>
      <c r="BB1183" s="3">
        <v>0</v>
      </c>
      <c r="BC1183" s="3">
        <v>0</v>
      </c>
      <c r="BD1183" s="3">
        <v>0</v>
      </c>
      <c r="BE1183" s="3">
        <v>0</v>
      </c>
      <c r="BF1183" s="3">
        <v>0</v>
      </c>
      <c r="BG1183" s="3">
        <v>0</v>
      </c>
      <c r="BH1183" s="3">
        <v>0</v>
      </c>
      <c r="BI1183" s="3">
        <v>0</v>
      </c>
      <c r="BJ1183" s="3">
        <v>0</v>
      </c>
      <c r="BK1183" s="3">
        <v>0</v>
      </c>
      <c r="BL1183" s="3">
        <v>0</v>
      </c>
      <c r="BM1183" s="3">
        <v>0</v>
      </c>
      <c r="BN1183" s="3">
        <v>0</v>
      </c>
      <c r="BO1183" s="3">
        <v>0</v>
      </c>
      <c r="BP1183" s="3">
        <v>0</v>
      </c>
      <c r="BQ1183" s="3">
        <v>0</v>
      </c>
      <c r="BR1183" s="3">
        <v>0</v>
      </c>
      <c r="BS1183" s="3">
        <v>0</v>
      </c>
      <c r="BT1183" s="3">
        <v>0</v>
      </c>
      <c r="BU1183" s="3">
        <v>0</v>
      </c>
    </row>
    <row r="1184" spans="1:73" x14ac:dyDescent="0.25">
      <c r="A1184" s="2" t="s">
        <v>140</v>
      </c>
      <c r="B1184" s="4">
        <v>68</v>
      </c>
      <c r="C1184" s="4">
        <v>2</v>
      </c>
      <c r="D1184" s="4">
        <v>2</v>
      </c>
      <c r="E1184" s="4">
        <v>1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T1184" s="3">
        <v>0</v>
      </c>
      <c r="AU1184" s="3">
        <v>0</v>
      </c>
      <c r="AV1184" s="3">
        <v>0</v>
      </c>
      <c r="AW1184" s="3">
        <v>0</v>
      </c>
      <c r="AX1184" s="3">
        <v>0</v>
      </c>
      <c r="AY1184" s="3">
        <v>0</v>
      </c>
      <c r="AZ1184" s="3">
        <v>0</v>
      </c>
      <c r="BA1184" s="3">
        <v>0</v>
      </c>
      <c r="BB1184" s="3">
        <v>0</v>
      </c>
      <c r="BC1184" s="3">
        <v>0</v>
      </c>
      <c r="BD1184" s="3">
        <v>0</v>
      </c>
      <c r="BE1184" s="3">
        <v>0</v>
      </c>
      <c r="BF1184" s="3">
        <v>1</v>
      </c>
      <c r="BG1184" s="3">
        <v>0</v>
      </c>
      <c r="BH1184" s="3">
        <v>0</v>
      </c>
      <c r="BI1184" s="3">
        <v>0</v>
      </c>
      <c r="BJ1184" s="3">
        <v>0</v>
      </c>
      <c r="BK1184" s="3">
        <v>0</v>
      </c>
      <c r="BL1184" s="3">
        <v>0</v>
      </c>
      <c r="BM1184" s="3">
        <v>0</v>
      </c>
      <c r="BN1184" s="3">
        <v>0</v>
      </c>
      <c r="BO1184" s="3">
        <v>0</v>
      </c>
      <c r="BP1184" s="3">
        <v>0</v>
      </c>
      <c r="BQ1184" s="3">
        <v>0</v>
      </c>
      <c r="BR1184" s="3">
        <v>0</v>
      </c>
      <c r="BS1184" s="3">
        <v>0</v>
      </c>
      <c r="BT1184" s="3">
        <v>0</v>
      </c>
      <c r="BU1184" s="3">
        <v>0</v>
      </c>
    </row>
    <row r="1185" spans="1:73" x14ac:dyDescent="0.25">
      <c r="A1185" s="2" t="s">
        <v>140</v>
      </c>
      <c r="B1185" s="4">
        <v>68</v>
      </c>
      <c r="C1185" s="4">
        <v>2</v>
      </c>
      <c r="D1185" s="4">
        <v>2</v>
      </c>
      <c r="E1185" s="4">
        <v>2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0</v>
      </c>
      <c r="AX1185" s="3">
        <v>0</v>
      </c>
      <c r="AY1185" s="3">
        <v>0</v>
      </c>
      <c r="AZ1185" s="3">
        <v>0</v>
      </c>
      <c r="BA1185" s="3">
        <v>0</v>
      </c>
      <c r="BB1185" s="3">
        <v>0</v>
      </c>
      <c r="BC1185" s="3">
        <v>0</v>
      </c>
      <c r="BD1185" s="3">
        <v>0</v>
      </c>
      <c r="BE1185" s="3">
        <v>0</v>
      </c>
      <c r="BF1185" s="3">
        <v>0</v>
      </c>
      <c r="BG1185" s="3">
        <v>0</v>
      </c>
      <c r="BH1185" s="3">
        <v>0</v>
      </c>
      <c r="BI1185" s="3">
        <v>0</v>
      </c>
      <c r="BJ1185" s="3">
        <v>0</v>
      </c>
      <c r="BK1185" s="3">
        <v>0</v>
      </c>
      <c r="BL1185" s="3">
        <v>0</v>
      </c>
      <c r="BM1185" s="3">
        <v>0</v>
      </c>
      <c r="BN1185" s="3">
        <v>0</v>
      </c>
      <c r="BO1185" s="3">
        <v>0</v>
      </c>
      <c r="BP1185" s="3">
        <v>0</v>
      </c>
      <c r="BQ1185" s="3">
        <v>0</v>
      </c>
      <c r="BR1185" s="3">
        <v>0</v>
      </c>
      <c r="BS1185" s="3">
        <v>0</v>
      </c>
      <c r="BT1185" s="3">
        <v>1</v>
      </c>
      <c r="BU1185" s="3">
        <v>0</v>
      </c>
    </row>
    <row r="1186" spans="1:73" x14ac:dyDescent="0.25">
      <c r="A1186" s="2" t="s">
        <v>140</v>
      </c>
      <c r="B1186" s="4">
        <v>68</v>
      </c>
      <c r="C1186" s="4">
        <v>2</v>
      </c>
      <c r="D1186" s="4">
        <v>2</v>
      </c>
      <c r="E1186" s="4">
        <v>3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V1186" s="3">
        <v>0</v>
      </c>
      <c r="AW1186" s="3">
        <v>0</v>
      </c>
      <c r="AX1186" s="3">
        <v>0</v>
      </c>
      <c r="AY1186" s="3">
        <v>0</v>
      </c>
      <c r="AZ1186" s="3">
        <v>0</v>
      </c>
      <c r="BA1186" s="3">
        <v>0</v>
      </c>
      <c r="BB1186" s="3">
        <v>0</v>
      </c>
      <c r="BC1186" s="3">
        <v>0</v>
      </c>
      <c r="BD1186" s="3">
        <v>0</v>
      </c>
      <c r="BE1186" s="3">
        <v>0</v>
      </c>
      <c r="BF1186" s="3">
        <v>0</v>
      </c>
      <c r="BG1186" s="3">
        <v>0</v>
      </c>
      <c r="BH1186" s="3">
        <v>0</v>
      </c>
      <c r="BI1186" s="3">
        <v>1</v>
      </c>
      <c r="BJ1186" s="3">
        <v>0</v>
      </c>
      <c r="BK1186" s="3">
        <v>0</v>
      </c>
      <c r="BL1186" s="3">
        <v>0</v>
      </c>
      <c r="BM1186" s="3">
        <v>0</v>
      </c>
      <c r="BN1186" s="3">
        <v>0</v>
      </c>
      <c r="BO1186" s="3">
        <v>0</v>
      </c>
      <c r="BP1186" s="3">
        <v>0</v>
      </c>
      <c r="BQ1186" s="3">
        <v>0</v>
      </c>
      <c r="BR1186" s="3">
        <v>0</v>
      </c>
      <c r="BS1186" s="3">
        <v>0</v>
      </c>
      <c r="BT1186" s="3">
        <v>0</v>
      </c>
      <c r="BU1186" s="3">
        <v>0</v>
      </c>
    </row>
    <row r="1187" spans="1:73" x14ac:dyDescent="0.25">
      <c r="A1187" s="2" t="s">
        <v>140</v>
      </c>
      <c r="B1187" s="4">
        <v>68</v>
      </c>
      <c r="C1187" s="4">
        <v>2</v>
      </c>
      <c r="D1187" s="4">
        <v>3</v>
      </c>
      <c r="E1187" s="4">
        <v>1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3">
        <v>0</v>
      </c>
      <c r="BB1187" s="3">
        <v>0</v>
      </c>
      <c r="BC1187" s="3">
        <v>0</v>
      </c>
      <c r="BD1187" s="3">
        <v>0</v>
      </c>
      <c r="BE1187" s="3">
        <v>0</v>
      </c>
      <c r="BF1187" s="3">
        <v>0</v>
      </c>
      <c r="BG1187" s="3">
        <v>0</v>
      </c>
      <c r="BH1187" s="3">
        <v>0</v>
      </c>
      <c r="BI1187" s="3">
        <v>0</v>
      </c>
      <c r="BJ1187" s="3">
        <v>0</v>
      </c>
      <c r="BK1187" s="3">
        <v>0</v>
      </c>
      <c r="BL1187" s="3">
        <v>0</v>
      </c>
      <c r="BM1187" s="3">
        <v>0</v>
      </c>
      <c r="BN1187" s="3">
        <v>0</v>
      </c>
      <c r="BO1187" s="3">
        <v>0</v>
      </c>
      <c r="BP1187" s="3">
        <v>0</v>
      </c>
      <c r="BQ1187" s="3">
        <v>0</v>
      </c>
      <c r="BR1187" s="3">
        <v>0</v>
      </c>
      <c r="BS1187" s="3">
        <v>0</v>
      </c>
      <c r="BT1187" s="3">
        <v>0</v>
      </c>
      <c r="BU1187" s="3">
        <v>0</v>
      </c>
    </row>
    <row r="1188" spans="1:73" x14ac:dyDescent="0.25">
      <c r="A1188" s="2" t="s">
        <v>140</v>
      </c>
      <c r="B1188" s="4">
        <v>68</v>
      </c>
      <c r="C1188" s="4">
        <v>2</v>
      </c>
      <c r="D1188" s="4">
        <v>3</v>
      </c>
      <c r="E1188" s="4">
        <v>2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1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3">
        <v>0</v>
      </c>
      <c r="AV1188" s="3">
        <v>0</v>
      </c>
      <c r="AW1188" s="3">
        <v>0</v>
      </c>
      <c r="AX1188" s="3">
        <v>0</v>
      </c>
      <c r="AY1188" s="3">
        <v>0</v>
      </c>
      <c r="AZ1188" s="3">
        <v>0</v>
      </c>
      <c r="BA1188" s="3">
        <v>0</v>
      </c>
      <c r="BB1188" s="3">
        <v>0</v>
      </c>
      <c r="BC1188" s="3">
        <v>0</v>
      </c>
      <c r="BD1188" s="3">
        <v>0</v>
      </c>
      <c r="BE1188" s="3">
        <v>0</v>
      </c>
      <c r="BF1188" s="3">
        <v>0</v>
      </c>
      <c r="BG1188" s="3">
        <v>0</v>
      </c>
      <c r="BH1188" s="3">
        <v>0</v>
      </c>
      <c r="BI1188" s="3">
        <v>0</v>
      </c>
      <c r="BJ1188" s="3">
        <v>0</v>
      </c>
      <c r="BK1188" s="3">
        <v>0</v>
      </c>
      <c r="BL1188" s="3">
        <v>0</v>
      </c>
      <c r="BM1188" s="3">
        <v>0</v>
      </c>
      <c r="BN1188" s="3">
        <v>0</v>
      </c>
      <c r="BO1188" s="3">
        <v>0</v>
      </c>
      <c r="BP1188" s="3">
        <v>0</v>
      </c>
      <c r="BQ1188" s="3">
        <v>0</v>
      </c>
      <c r="BR1188" s="3">
        <v>0</v>
      </c>
      <c r="BS1188" s="3">
        <v>0</v>
      </c>
      <c r="BT1188" s="3">
        <v>0</v>
      </c>
      <c r="BU1188" s="3">
        <v>0</v>
      </c>
    </row>
    <row r="1189" spans="1:73" x14ac:dyDescent="0.25">
      <c r="A1189" s="2" t="s">
        <v>140</v>
      </c>
      <c r="B1189" s="4">
        <v>68</v>
      </c>
      <c r="C1189" s="4">
        <v>2</v>
      </c>
      <c r="D1189" s="4">
        <v>3</v>
      </c>
      <c r="E1189" s="4">
        <v>3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3">
        <v>0</v>
      </c>
      <c r="AV1189" s="3">
        <v>0</v>
      </c>
      <c r="AW1189" s="3">
        <v>0</v>
      </c>
      <c r="AX1189" s="3">
        <v>0</v>
      </c>
      <c r="AY1189" s="3">
        <v>0</v>
      </c>
      <c r="AZ1189" s="3">
        <v>0</v>
      </c>
      <c r="BA1189" s="3">
        <v>0</v>
      </c>
      <c r="BB1189" s="3">
        <v>0</v>
      </c>
      <c r="BC1189" s="3">
        <v>0</v>
      </c>
      <c r="BD1189" s="3">
        <v>0</v>
      </c>
      <c r="BE1189" s="3">
        <v>0</v>
      </c>
      <c r="BF1189" s="3">
        <v>0</v>
      </c>
      <c r="BG1189" s="3">
        <v>0</v>
      </c>
      <c r="BH1189" s="3">
        <v>0</v>
      </c>
      <c r="BI1189" s="3">
        <v>0</v>
      </c>
      <c r="BJ1189" s="3">
        <v>0</v>
      </c>
      <c r="BK1189" s="3">
        <v>0</v>
      </c>
      <c r="BL1189" s="3">
        <v>0</v>
      </c>
      <c r="BM1189" s="3">
        <v>0</v>
      </c>
      <c r="BN1189" s="3">
        <v>0</v>
      </c>
      <c r="BO1189" s="3">
        <v>0</v>
      </c>
      <c r="BP1189" s="3">
        <v>0</v>
      </c>
      <c r="BQ1189" s="3">
        <v>0</v>
      </c>
      <c r="BR1189" s="3">
        <v>0</v>
      </c>
      <c r="BS1189" s="3">
        <v>0</v>
      </c>
      <c r="BT1189" s="3">
        <v>0</v>
      </c>
      <c r="BU1189" s="3">
        <v>0</v>
      </c>
    </row>
    <row r="1190" spans="1:73" x14ac:dyDescent="0.25">
      <c r="A1190" s="2" t="s">
        <v>141</v>
      </c>
      <c r="B1190" s="4">
        <v>69</v>
      </c>
      <c r="C1190" s="4">
        <v>1</v>
      </c>
      <c r="D1190" s="4">
        <v>1</v>
      </c>
      <c r="E1190" s="4">
        <v>1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1</v>
      </c>
      <c r="P1190" s="3">
        <v>0</v>
      </c>
      <c r="Q1190" s="3">
        <v>0</v>
      </c>
      <c r="R1190" s="3">
        <v>0</v>
      </c>
      <c r="S1190" s="3">
        <v>1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1</v>
      </c>
      <c r="AF1190" s="3">
        <v>0</v>
      </c>
      <c r="AG1190" s="3">
        <v>0</v>
      </c>
      <c r="AH1190" s="3">
        <v>0</v>
      </c>
      <c r="AI1190" s="3">
        <v>0</v>
      </c>
      <c r="AJ1190" s="3">
        <v>3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0</v>
      </c>
      <c r="AW1190" s="3">
        <v>0</v>
      </c>
      <c r="AX1190" s="3">
        <v>0</v>
      </c>
      <c r="AY1190" s="3">
        <v>0</v>
      </c>
      <c r="AZ1190" s="3">
        <v>0</v>
      </c>
      <c r="BA1190" s="3">
        <v>0</v>
      </c>
      <c r="BB1190" s="3">
        <v>0</v>
      </c>
      <c r="BC1190" s="3">
        <v>0</v>
      </c>
      <c r="BD1190" s="3">
        <v>0</v>
      </c>
      <c r="BE1190" s="3">
        <v>0</v>
      </c>
      <c r="BF1190" s="3">
        <v>2</v>
      </c>
      <c r="BG1190" s="3">
        <v>0</v>
      </c>
      <c r="BH1190" s="3">
        <v>0</v>
      </c>
      <c r="BI1190" s="3">
        <v>1</v>
      </c>
      <c r="BJ1190" s="3">
        <v>0</v>
      </c>
      <c r="BK1190" s="3">
        <v>0</v>
      </c>
      <c r="BL1190" s="3">
        <v>0</v>
      </c>
      <c r="BM1190" s="3">
        <v>0</v>
      </c>
      <c r="BN1190" s="3">
        <v>0</v>
      </c>
      <c r="BO1190" s="3">
        <v>0</v>
      </c>
      <c r="BP1190" s="3">
        <v>0</v>
      </c>
      <c r="BQ1190" s="3">
        <v>0</v>
      </c>
      <c r="BR1190" s="3">
        <v>0</v>
      </c>
      <c r="BS1190" s="3">
        <v>0</v>
      </c>
      <c r="BT1190" s="3">
        <v>2</v>
      </c>
      <c r="BU1190" s="3">
        <v>0</v>
      </c>
    </row>
    <row r="1191" spans="1:73" x14ac:dyDescent="0.25">
      <c r="A1191" s="2" t="s">
        <v>141</v>
      </c>
      <c r="B1191" s="4">
        <v>69</v>
      </c>
      <c r="C1191" s="4">
        <v>1</v>
      </c>
      <c r="D1191" s="4">
        <v>1</v>
      </c>
      <c r="E1191" s="4">
        <v>2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1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0</v>
      </c>
      <c r="AX1191" s="3">
        <v>0</v>
      </c>
      <c r="AY1191" s="3">
        <v>0</v>
      </c>
      <c r="AZ1191" s="3">
        <v>0</v>
      </c>
      <c r="BA1191" s="3">
        <v>0</v>
      </c>
      <c r="BB1191" s="3">
        <v>0</v>
      </c>
      <c r="BC1191" s="3">
        <v>0</v>
      </c>
      <c r="BD1191" s="3">
        <v>0</v>
      </c>
      <c r="BE1191" s="3">
        <v>0</v>
      </c>
      <c r="BF1191" s="3">
        <v>0</v>
      </c>
      <c r="BG1191" s="3">
        <v>0</v>
      </c>
      <c r="BH1191" s="3">
        <v>1</v>
      </c>
      <c r="BI1191" s="3">
        <v>0</v>
      </c>
      <c r="BJ1191" s="3">
        <v>0</v>
      </c>
      <c r="BK1191" s="3">
        <v>0</v>
      </c>
      <c r="BL1191" s="3">
        <v>0</v>
      </c>
      <c r="BM1191" s="3">
        <v>0</v>
      </c>
      <c r="BN1191" s="3">
        <v>0</v>
      </c>
      <c r="BO1191" s="3">
        <v>0</v>
      </c>
      <c r="BP1191" s="3">
        <v>0</v>
      </c>
      <c r="BQ1191" s="3">
        <v>0</v>
      </c>
      <c r="BR1191" s="3">
        <v>0</v>
      </c>
      <c r="BS1191" s="3">
        <v>0</v>
      </c>
      <c r="BT1191" s="3">
        <v>0</v>
      </c>
      <c r="BU1191" s="3">
        <v>0</v>
      </c>
    </row>
    <row r="1192" spans="1:73" x14ac:dyDescent="0.25">
      <c r="A1192" s="2" t="s">
        <v>141</v>
      </c>
      <c r="B1192" s="4">
        <v>69</v>
      </c>
      <c r="C1192" s="4">
        <v>1</v>
      </c>
      <c r="D1192" s="4">
        <v>1</v>
      </c>
      <c r="E1192" s="4">
        <v>3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1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3">
        <v>0</v>
      </c>
      <c r="AV1192" s="3">
        <v>0</v>
      </c>
      <c r="AW1192" s="3">
        <v>0</v>
      </c>
      <c r="AX1192" s="3">
        <v>0</v>
      </c>
      <c r="AY1192" s="3">
        <v>0</v>
      </c>
      <c r="AZ1192" s="3">
        <v>0</v>
      </c>
      <c r="BA1192" s="3">
        <v>0</v>
      </c>
      <c r="BB1192" s="3">
        <v>0</v>
      </c>
      <c r="BC1192" s="3">
        <v>0</v>
      </c>
      <c r="BD1192" s="3">
        <v>0</v>
      </c>
      <c r="BE1192" s="3">
        <v>0</v>
      </c>
      <c r="BF1192" s="3">
        <v>0</v>
      </c>
      <c r="BG1192" s="3">
        <v>0</v>
      </c>
      <c r="BH1192" s="3">
        <v>0</v>
      </c>
      <c r="BI1192" s="3">
        <v>0</v>
      </c>
      <c r="BJ1192" s="3">
        <v>0</v>
      </c>
      <c r="BK1192" s="3">
        <v>0</v>
      </c>
      <c r="BL1192" s="3">
        <v>0</v>
      </c>
      <c r="BM1192" s="3">
        <v>0</v>
      </c>
      <c r="BN1192" s="3">
        <v>0</v>
      </c>
      <c r="BO1192" s="3">
        <v>0</v>
      </c>
      <c r="BP1192" s="3">
        <v>1</v>
      </c>
      <c r="BQ1192" s="3">
        <v>0</v>
      </c>
      <c r="BR1192" s="3">
        <v>0</v>
      </c>
      <c r="BS1192" s="3">
        <v>0</v>
      </c>
      <c r="BT1192" s="3">
        <v>0</v>
      </c>
      <c r="BU1192" s="3">
        <v>0</v>
      </c>
    </row>
    <row r="1193" spans="1:73" x14ac:dyDescent="0.25">
      <c r="A1193" s="2" t="s">
        <v>141</v>
      </c>
      <c r="B1193" s="4">
        <v>69</v>
      </c>
      <c r="C1193" s="4">
        <v>1</v>
      </c>
      <c r="D1193" s="4">
        <v>2</v>
      </c>
      <c r="E1193" s="4">
        <v>1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0</v>
      </c>
      <c r="AX1193" s="3">
        <v>0</v>
      </c>
      <c r="AY1193" s="3">
        <v>0</v>
      </c>
      <c r="AZ1193" s="3">
        <v>0</v>
      </c>
      <c r="BA1193" s="3">
        <v>0</v>
      </c>
      <c r="BB1193" s="3">
        <v>0</v>
      </c>
      <c r="BC1193" s="3">
        <v>0</v>
      </c>
      <c r="BD1193" s="3">
        <v>0</v>
      </c>
      <c r="BE1193" s="3">
        <v>0</v>
      </c>
      <c r="BF1193" s="3">
        <v>0</v>
      </c>
      <c r="BG1193" s="3">
        <v>0</v>
      </c>
      <c r="BH1193" s="3">
        <v>0</v>
      </c>
      <c r="BI1193" s="3">
        <v>0</v>
      </c>
      <c r="BJ1193" s="3">
        <v>0</v>
      </c>
      <c r="BK1193" s="3">
        <v>0</v>
      </c>
      <c r="BL1193" s="3">
        <v>0</v>
      </c>
      <c r="BM1193" s="3">
        <v>0</v>
      </c>
      <c r="BN1193" s="3">
        <v>0</v>
      </c>
      <c r="BO1193" s="3">
        <v>0</v>
      </c>
      <c r="BP1193" s="3">
        <v>0</v>
      </c>
      <c r="BQ1193" s="3">
        <v>0</v>
      </c>
      <c r="BR1193" s="3">
        <v>0</v>
      </c>
      <c r="BS1193" s="3">
        <v>0</v>
      </c>
      <c r="BT1193" s="3">
        <v>0</v>
      </c>
      <c r="BU1193" s="3">
        <v>0</v>
      </c>
    </row>
    <row r="1194" spans="1:73" x14ac:dyDescent="0.25">
      <c r="A1194" s="2" t="s">
        <v>141</v>
      </c>
      <c r="B1194" s="4">
        <v>69</v>
      </c>
      <c r="C1194" s="4">
        <v>1</v>
      </c>
      <c r="D1194" s="4">
        <v>2</v>
      </c>
      <c r="E1194" s="4">
        <v>2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1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0</v>
      </c>
      <c r="AW1194" s="3">
        <v>0</v>
      </c>
      <c r="AX1194" s="3">
        <v>0</v>
      </c>
      <c r="AY1194" s="3">
        <v>0</v>
      </c>
      <c r="AZ1194" s="3">
        <v>0</v>
      </c>
      <c r="BA1194" s="3">
        <v>0</v>
      </c>
      <c r="BB1194" s="3">
        <v>0</v>
      </c>
      <c r="BC1194" s="3">
        <v>0</v>
      </c>
      <c r="BD1194" s="3">
        <v>0</v>
      </c>
      <c r="BE1194" s="3">
        <v>0</v>
      </c>
      <c r="BF1194" s="3">
        <v>0</v>
      </c>
      <c r="BG1194" s="3">
        <v>0</v>
      </c>
      <c r="BH1194" s="3">
        <v>0</v>
      </c>
      <c r="BI1194" s="3">
        <v>1</v>
      </c>
      <c r="BJ1194" s="3">
        <v>0</v>
      </c>
      <c r="BK1194" s="3">
        <v>0</v>
      </c>
      <c r="BL1194" s="3">
        <v>0</v>
      </c>
      <c r="BM1194" s="3">
        <v>0</v>
      </c>
      <c r="BN1194" s="3">
        <v>0</v>
      </c>
      <c r="BO1194" s="3">
        <v>0</v>
      </c>
      <c r="BP1194" s="3">
        <v>0</v>
      </c>
      <c r="BQ1194" s="3">
        <v>0</v>
      </c>
      <c r="BR1194" s="3">
        <v>0</v>
      </c>
      <c r="BS1194" s="3">
        <v>0</v>
      </c>
      <c r="BT1194" s="3">
        <v>1</v>
      </c>
      <c r="BU1194" s="3">
        <v>0</v>
      </c>
    </row>
    <row r="1195" spans="1:73" x14ac:dyDescent="0.25">
      <c r="A1195" s="2" t="s">
        <v>141</v>
      </c>
      <c r="B1195" s="4">
        <v>69</v>
      </c>
      <c r="C1195" s="4">
        <v>1</v>
      </c>
      <c r="D1195" s="4">
        <v>2</v>
      </c>
      <c r="E1195" s="4">
        <v>3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3">
        <v>1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0</v>
      </c>
      <c r="BD1195" s="3">
        <v>0</v>
      </c>
      <c r="BE1195" s="3">
        <v>0</v>
      </c>
      <c r="BF1195" s="3">
        <v>0</v>
      </c>
      <c r="BG1195" s="3">
        <v>0</v>
      </c>
      <c r="BH1195" s="3">
        <v>0</v>
      </c>
      <c r="BI1195" s="3">
        <v>0</v>
      </c>
      <c r="BJ1195" s="3">
        <v>0</v>
      </c>
      <c r="BK1195" s="3">
        <v>0</v>
      </c>
      <c r="BL1195" s="3">
        <v>0</v>
      </c>
      <c r="BM1195" s="3">
        <v>0</v>
      </c>
      <c r="BN1195" s="3">
        <v>0</v>
      </c>
      <c r="BO1195" s="3">
        <v>0</v>
      </c>
      <c r="BP1195" s="3">
        <v>0</v>
      </c>
      <c r="BQ1195" s="3">
        <v>0</v>
      </c>
      <c r="BR1195" s="3">
        <v>0</v>
      </c>
      <c r="BS1195" s="3">
        <v>0</v>
      </c>
      <c r="BT1195" s="3">
        <v>0</v>
      </c>
      <c r="BU1195" s="3">
        <v>0</v>
      </c>
    </row>
    <row r="1196" spans="1:73" x14ac:dyDescent="0.25">
      <c r="A1196" s="2" t="s">
        <v>141</v>
      </c>
      <c r="B1196" s="4">
        <v>69</v>
      </c>
      <c r="C1196" s="4">
        <v>1</v>
      </c>
      <c r="D1196" s="4">
        <v>3</v>
      </c>
      <c r="E1196" s="4">
        <v>1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1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1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3">
        <v>0</v>
      </c>
      <c r="AW1196" s="3">
        <v>0</v>
      </c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0</v>
      </c>
      <c r="BD1196" s="3">
        <v>0</v>
      </c>
      <c r="BE1196" s="3">
        <v>0</v>
      </c>
      <c r="BF1196" s="3">
        <v>0</v>
      </c>
      <c r="BG1196" s="3">
        <v>0</v>
      </c>
      <c r="BH1196" s="3">
        <v>0</v>
      </c>
      <c r="BI1196" s="3">
        <v>0</v>
      </c>
      <c r="BJ1196" s="3">
        <v>0</v>
      </c>
      <c r="BK1196" s="3">
        <v>0</v>
      </c>
      <c r="BL1196" s="3">
        <v>0</v>
      </c>
      <c r="BM1196" s="3">
        <v>0</v>
      </c>
      <c r="BN1196" s="3">
        <v>0</v>
      </c>
      <c r="BO1196" s="3">
        <v>0</v>
      </c>
      <c r="BP1196" s="3">
        <v>0</v>
      </c>
      <c r="BQ1196" s="3">
        <v>0</v>
      </c>
      <c r="BR1196" s="3">
        <v>0</v>
      </c>
      <c r="BS1196" s="3">
        <v>0</v>
      </c>
      <c r="BT1196" s="3">
        <v>0</v>
      </c>
      <c r="BU1196" s="3">
        <v>0</v>
      </c>
    </row>
    <row r="1197" spans="1:73" x14ac:dyDescent="0.25">
      <c r="A1197" s="2" t="s">
        <v>141</v>
      </c>
      <c r="B1197" s="4">
        <v>69</v>
      </c>
      <c r="C1197" s="4">
        <v>1</v>
      </c>
      <c r="D1197" s="4">
        <v>3</v>
      </c>
      <c r="E1197" s="4">
        <v>2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1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0</v>
      </c>
      <c r="AX1197" s="3">
        <v>0</v>
      </c>
      <c r="AY1197" s="3">
        <v>0</v>
      </c>
      <c r="AZ1197" s="3">
        <v>0</v>
      </c>
      <c r="BA1197" s="3">
        <v>0</v>
      </c>
      <c r="BB1197" s="3">
        <v>0</v>
      </c>
      <c r="BC1197" s="3">
        <v>0</v>
      </c>
      <c r="BD1197" s="3">
        <v>0</v>
      </c>
      <c r="BE1197" s="3">
        <v>0</v>
      </c>
      <c r="BF1197" s="3">
        <v>0</v>
      </c>
      <c r="BG1197" s="3">
        <v>0</v>
      </c>
      <c r="BH1197" s="3">
        <v>0</v>
      </c>
      <c r="BI1197" s="3">
        <v>0</v>
      </c>
      <c r="BJ1197" s="3">
        <v>0</v>
      </c>
      <c r="BK1197" s="3">
        <v>0</v>
      </c>
      <c r="BL1197" s="3">
        <v>0</v>
      </c>
      <c r="BM1197" s="3">
        <v>0</v>
      </c>
      <c r="BN1197" s="3">
        <v>0</v>
      </c>
      <c r="BO1197" s="3">
        <v>0</v>
      </c>
      <c r="BP1197" s="3">
        <v>0</v>
      </c>
      <c r="BQ1197" s="3">
        <v>0</v>
      </c>
      <c r="BR1197" s="3">
        <v>0</v>
      </c>
      <c r="BS1197" s="3">
        <v>0</v>
      </c>
      <c r="BT1197" s="3">
        <v>0</v>
      </c>
      <c r="BU1197" s="3">
        <v>0</v>
      </c>
    </row>
    <row r="1198" spans="1:73" x14ac:dyDescent="0.25">
      <c r="A1198" s="2" t="s">
        <v>141</v>
      </c>
      <c r="B1198" s="4">
        <v>69</v>
      </c>
      <c r="C1198" s="4">
        <v>1</v>
      </c>
      <c r="D1198" s="4">
        <v>3</v>
      </c>
      <c r="E1198" s="4">
        <v>3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  <c r="AU1198" s="3">
        <v>0</v>
      </c>
      <c r="AV1198" s="3">
        <v>0</v>
      </c>
      <c r="AW1198" s="3">
        <v>0</v>
      </c>
      <c r="AX1198" s="3">
        <v>0</v>
      </c>
      <c r="AY1198" s="3">
        <v>0</v>
      </c>
      <c r="AZ1198" s="3">
        <v>0</v>
      </c>
      <c r="BA1198" s="3">
        <v>0</v>
      </c>
      <c r="BB1198" s="3">
        <v>0</v>
      </c>
      <c r="BC1198" s="3">
        <v>0</v>
      </c>
      <c r="BD1198" s="3">
        <v>0</v>
      </c>
      <c r="BE1198" s="3">
        <v>0</v>
      </c>
      <c r="BF1198" s="3">
        <v>0</v>
      </c>
      <c r="BG1198" s="3">
        <v>0</v>
      </c>
      <c r="BH1198" s="3">
        <v>0</v>
      </c>
      <c r="BI1198" s="3">
        <v>0</v>
      </c>
      <c r="BJ1198" s="3">
        <v>0</v>
      </c>
      <c r="BK1198" s="3">
        <v>0</v>
      </c>
      <c r="BL1198" s="3">
        <v>0</v>
      </c>
      <c r="BM1198" s="3">
        <v>0</v>
      </c>
      <c r="BN1198" s="3">
        <v>0</v>
      </c>
      <c r="BO1198" s="3">
        <v>0</v>
      </c>
      <c r="BP1198" s="3">
        <v>0</v>
      </c>
      <c r="BQ1198" s="3">
        <v>0</v>
      </c>
      <c r="BR1198" s="3">
        <v>0</v>
      </c>
      <c r="BS1198" s="3">
        <v>0</v>
      </c>
      <c r="BT1198" s="3">
        <v>0</v>
      </c>
      <c r="BU1198" s="3">
        <v>0</v>
      </c>
    </row>
    <row r="1199" spans="1:73" x14ac:dyDescent="0.25">
      <c r="A1199" s="2" t="s">
        <v>141</v>
      </c>
      <c r="B1199" s="4">
        <v>69</v>
      </c>
      <c r="C1199" s="4">
        <v>2</v>
      </c>
      <c r="D1199" s="4">
        <v>1</v>
      </c>
      <c r="E1199" s="4">
        <v>1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1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3">
        <v>0</v>
      </c>
      <c r="AV1199" s="3">
        <v>0</v>
      </c>
      <c r="AW1199" s="3">
        <v>0</v>
      </c>
      <c r="AX1199" s="3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v>0</v>
      </c>
      <c r="BD1199" s="3">
        <v>0</v>
      </c>
      <c r="BE1199" s="3">
        <v>0</v>
      </c>
      <c r="BF1199" s="3">
        <v>0</v>
      </c>
      <c r="BG1199" s="3">
        <v>0</v>
      </c>
      <c r="BH1199" s="3">
        <v>0</v>
      </c>
      <c r="BI1199" s="3">
        <v>2</v>
      </c>
      <c r="BJ1199" s="3">
        <v>0</v>
      </c>
      <c r="BK1199" s="3">
        <v>0</v>
      </c>
      <c r="BL1199" s="3">
        <v>0</v>
      </c>
      <c r="BM1199" s="3">
        <v>0</v>
      </c>
      <c r="BN1199" s="3">
        <v>0</v>
      </c>
      <c r="BO1199" s="3">
        <v>0</v>
      </c>
      <c r="BP1199" s="3">
        <v>1</v>
      </c>
      <c r="BQ1199" s="3">
        <v>0</v>
      </c>
      <c r="BR1199" s="3">
        <v>0</v>
      </c>
      <c r="BS1199" s="3">
        <v>0</v>
      </c>
      <c r="BT1199" s="3">
        <v>2</v>
      </c>
      <c r="BU1199" s="3">
        <v>0</v>
      </c>
    </row>
    <row r="1200" spans="1:73" x14ac:dyDescent="0.25">
      <c r="A1200" s="2" t="s">
        <v>141</v>
      </c>
      <c r="B1200" s="4">
        <v>69</v>
      </c>
      <c r="C1200" s="4">
        <v>2</v>
      </c>
      <c r="D1200" s="4">
        <v>1</v>
      </c>
      <c r="E1200" s="4">
        <v>2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3">
        <v>0</v>
      </c>
      <c r="AV1200" s="3">
        <v>0</v>
      </c>
      <c r="AW1200" s="3">
        <v>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0</v>
      </c>
      <c r="BD1200" s="3">
        <v>0</v>
      </c>
      <c r="BE1200" s="3">
        <v>0</v>
      </c>
      <c r="BF1200" s="3">
        <v>0</v>
      </c>
      <c r="BG1200" s="3">
        <v>0</v>
      </c>
      <c r="BH1200" s="3">
        <v>0</v>
      </c>
      <c r="BI1200" s="3">
        <v>0</v>
      </c>
      <c r="BJ1200" s="3">
        <v>0</v>
      </c>
      <c r="BK1200" s="3">
        <v>0</v>
      </c>
      <c r="BL1200" s="3">
        <v>0</v>
      </c>
      <c r="BM1200" s="3">
        <v>0</v>
      </c>
      <c r="BN1200" s="3">
        <v>0</v>
      </c>
      <c r="BO1200" s="3">
        <v>0</v>
      </c>
      <c r="BP1200" s="3">
        <v>1</v>
      </c>
      <c r="BQ1200" s="3">
        <v>0</v>
      </c>
      <c r="BR1200" s="3">
        <v>0</v>
      </c>
      <c r="BS1200" s="3">
        <v>0</v>
      </c>
      <c r="BT1200" s="3">
        <v>1</v>
      </c>
      <c r="BU1200" s="3">
        <v>0</v>
      </c>
    </row>
    <row r="1201" spans="1:73" x14ac:dyDescent="0.25">
      <c r="A1201" s="2" t="s">
        <v>141</v>
      </c>
      <c r="B1201" s="4">
        <v>69</v>
      </c>
      <c r="C1201" s="4">
        <v>2</v>
      </c>
      <c r="D1201" s="4">
        <v>1</v>
      </c>
      <c r="E1201" s="4">
        <v>3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3">
        <v>1</v>
      </c>
      <c r="AU1201" s="3">
        <v>0</v>
      </c>
      <c r="AV1201" s="3">
        <v>0</v>
      </c>
      <c r="AW1201" s="3">
        <v>0</v>
      </c>
      <c r="AX1201" s="3">
        <v>0</v>
      </c>
      <c r="AY1201" s="3">
        <v>0</v>
      </c>
      <c r="AZ1201" s="3">
        <v>0</v>
      </c>
      <c r="BA1201" s="3">
        <v>0</v>
      </c>
      <c r="BB1201" s="3">
        <v>0</v>
      </c>
      <c r="BC1201" s="3">
        <v>0</v>
      </c>
      <c r="BD1201" s="3">
        <v>0</v>
      </c>
      <c r="BE1201" s="3">
        <v>0</v>
      </c>
      <c r="BF1201" s="3">
        <v>0</v>
      </c>
      <c r="BG1201" s="3">
        <v>0</v>
      </c>
      <c r="BH1201" s="3">
        <v>0</v>
      </c>
      <c r="BI1201" s="3">
        <v>0</v>
      </c>
      <c r="BJ1201" s="3">
        <v>0</v>
      </c>
      <c r="BK1201" s="3">
        <v>0</v>
      </c>
      <c r="BL1201" s="3">
        <v>0</v>
      </c>
      <c r="BM1201" s="3">
        <v>0</v>
      </c>
      <c r="BN1201" s="3">
        <v>0</v>
      </c>
      <c r="BO1201" s="3">
        <v>0</v>
      </c>
      <c r="BP1201" s="3">
        <v>0</v>
      </c>
      <c r="BQ1201" s="3">
        <v>0</v>
      </c>
      <c r="BR1201" s="3">
        <v>0</v>
      </c>
      <c r="BS1201" s="3">
        <v>0</v>
      </c>
      <c r="BT1201" s="3">
        <v>0</v>
      </c>
      <c r="BU1201" s="3">
        <v>0</v>
      </c>
    </row>
    <row r="1202" spans="1:73" x14ac:dyDescent="0.25">
      <c r="A1202" s="2" t="s">
        <v>141</v>
      </c>
      <c r="B1202" s="4">
        <v>69</v>
      </c>
      <c r="C1202" s="4">
        <v>2</v>
      </c>
      <c r="D1202" s="4">
        <v>2</v>
      </c>
      <c r="E1202" s="4">
        <v>1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1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3">
        <v>0</v>
      </c>
      <c r="AY1202" s="3">
        <v>0</v>
      </c>
      <c r="AZ1202" s="3">
        <v>0</v>
      </c>
      <c r="BA1202" s="3">
        <v>0</v>
      </c>
      <c r="BB1202" s="3">
        <v>0</v>
      </c>
      <c r="BC1202" s="3">
        <v>0</v>
      </c>
      <c r="BD1202" s="3">
        <v>0</v>
      </c>
      <c r="BE1202" s="3">
        <v>0</v>
      </c>
      <c r="BF1202" s="3">
        <v>0</v>
      </c>
      <c r="BG1202" s="3">
        <v>0</v>
      </c>
      <c r="BH1202" s="3">
        <v>0</v>
      </c>
      <c r="BI1202" s="3">
        <v>0</v>
      </c>
      <c r="BJ1202" s="3">
        <v>0</v>
      </c>
      <c r="BK1202" s="3">
        <v>0</v>
      </c>
      <c r="BL1202" s="3">
        <v>0</v>
      </c>
      <c r="BM1202" s="3">
        <v>0</v>
      </c>
      <c r="BN1202" s="3">
        <v>0</v>
      </c>
      <c r="BO1202" s="3">
        <v>0</v>
      </c>
      <c r="BP1202" s="3">
        <v>0</v>
      </c>
      <c r="BQ1202" s="3">
        <v>0</v>
      </c>
      <c r="BR1202" s="3">
        <v>0</v>
      </c>
      <c r="BS1202" s="3">
        <v>0</v>
      </c>
      <c r="BT1202" s="3">
        <v>0</v>
      </c>
      <c r="BU1202" s="3">
        <v>0</v>
      </c>
    </row>
    <row r="1203" spans="1:73" x14ac:dyDescent="0.25">
      <c r="A1203" s="2" t="s">
        <v>141</v>
      </c>
      <c r="B1203" s="4">
        <v>69</v>
      </c>
      <c r="C1203" s="4">
        <v>2</v>
      </c>
      <c r="D1203" s="4">
        <v>2</v>
      </c>
      <c r="E1203" s="4">
        <v>2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1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1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3">
        <v>0</v>
      </c>
      <c r="AW1203" s="3">
        <v>0</v>
      </c>
      <c r="AX1203" s="3">
        <v>0</v>
      </c>
      <c r="AY1203" s="3">
        <v>0</v>
      </c>
      <c r="AZ1203" s="3">
        <v>0</v>
      </c>
      <c r="BA1203" s="3">
        <v>0</v>
      </c>
      <c r="BB1203" s="3">
        <v>0</v>
      </c>
      <c r="BC1203" s="3">
        <v>0</v>
      </c>
      <c r="BD1203" s="3">
        <v>0</v>
      </c>
      <c r="BE1203" s="3">
        <v>0</v>
      </c>
      <c r="BF1203" s="3">
        <v>0</v>
      </c>
      <c r="BG1203" s="3">
        <v>0</v>
      </c>
      <c r="BH1203" s="3">
        <v>0</v>
      </c>
      <c r="BI1203" s="3">
        <v>0</v>
      </c>
      <c r="BJ1203" s="3">
        <v>0</v>
      </c>
      <c r="BK1203" s="3">
        <v>0</v>
      </c>
      <c r="BL1203" s="3">
        <v>0</v>
      </c>
      <c r="BM1203" s="3">
        <v>0</v>
      </c>
      <c r="BN1203" s="3">
        <v>0</v>
      </c>
      <c r="BO1203" s="3">
        <v>0</v>
      </c>
      <c r="BP1203" s="3">
        <v>0</v>
      </c>
      <c r="BQ1203" s="3">
        <v>0</v>
      </c>
      <c r="BR1203" s="3">
        <v>0</v>
      </c>
      <c r="BS1203" s="3">
        <v>0</v>
      </c>
      <c r="BT1203" s="3">
        <v>0</v>
      </c>
      <c r="BU1203" s="3">
        <v>0</v>
      </c>
    </row>
    <row r="1204" spans="1:73" x14ac:dyDescent="0.25">
      <c r="A1204" s="2" t="s">
        <v>141</v>
      </c>
      <c r="B1204" s="4">
        <v>69</v>
      </c>
      <c r="C1204" s="4">
        <v>2</v>
      </c>
      <c r="D1204" s="4">
        <v>2</v>
      </c>
      <c r="E1204" s="4">
        <v>3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  <c r="AX1204" s="3">
        <v>0</v>
      </c>
      <c r="AY1204" s="3">
        <v>0</v>
      </c>
      <c r="AZ1204" s="3">
        <v>0</v>
      </c>
      <c r="BA1204" s="3">
        <v>0</v>
      </c>
      <c r="BB1204" s="3">
        <v>0</v>
      </c>
      <c r="BC1204" s="3">
        <v>0</v>
      </c>
      <c r="BD1204" s="3">
        <v>0</v>
      </c>
      <c r="BE1204" s="3">
        <v>0</v>
      </c>
      <c r="BF1204" s="3">
        <v>0</v>
      </c>
      <c r="BG1204" s="3">
        <v>0</v>
      </c>
      <c r="BH1204" s="3">
        <v>0</v>
      </c>
      <c r="BI1204" s="3">
        <v>0</v>
      </c>
      <c r="BJ1204" s="3">
        <v>0</v>
      </c>
      <c r="BK1204" s="3">
        <v>0</v>
      </c>
      <c r="BL1204" s="3">
        <v>0</v>
      </c>
      <c r="BM1204" s="3">
        <v>0</v>
      </c>
      <c r="BN1204" s="3">
        <v>0</v>
      </c>
      <c r="BO1204" s="3">
        <v>0</v>
      </c>
      <c r="BP1204" s="3">
        <v>0</v>
      </c>
      <c r="BQ1204" s="3">
        <v>0</v>
      </c>
      <c r="BR1204" s="3">
        <v>0</v>
      </c>
      <c r="BS1204" s="3">
        <v>0</v>
      </c>
      <c r="BT1204" s="3">
        <v>0</v>
      </c>
      <c r="BU1204" s="3">
        <v>0</v>
      </c>
    </row>
    <row r="1205" spans="1:73" x14ac:dyDescent="0.25">
      <c r="A1205" s="2" t="s">
        <v>141</v>
      </c>
      <c r="B1205" s="4">
        <v>69</v>
      </c>
      <c r="C1205" s="4">
        <v>2</v>
      </c>
      <c r="D1205" s="4">
        <v>3</v>
      </c>
      <c r="E1205" s="4">
        <v>1</v>
      </c>
      <c r="F1205" s="3">
        <v>0</v>
      </c>
      <c r="G1205" s="3">
        <v>1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1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1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0</v>
      </c>
      <c r="AX1205" s="3">
        <v>0</v>
      </c>
      <c r="AY1205" s="3">
        <v>0</v>
      </c>
      <c r="AZ1205" s="3">
        <v>0</v>
      </c>
      <c r="BA1205" s="3">
        <v>0</v>
      </c>
      <c r="BB1205" s="3">
        <v>0</v>
      </c>
      <c r="BC1205" s="3">
        <v>0</v>
      </c>
      <c r="BD1205" s="3">
        <v>0</v>
      </c>
      <c r="BE1205" s="3">
        <v>0</v>
      </c>
      <c r="BF1205" s="3">
        <v>0</v>
      </c>
      <c r="BG1205" s="3">
        <v>0</v>
      </c>
      <c r="BH1205" s="3">
        <v>1</v>
      </c>
      <c r="BI1205" s="3">
        <v>0</v>
      </c>
      <c r="BJ1205" s="3">
        <v>0</v>
      </c>
      <c r="BK1205" s="3">
        <v>0</v>
      </c>
      <c r="BL1205" s="3">
        <v>0</v>
      </c>
      <c r="BM1205" s="3">
        <v>0</v>
      </c>
      <c r="BN1205" s="3">
        <v>0</v>
      </c>
      <c r="BO1205" s="3">
        <v>0</v>
      </c>
      <c r="BP1205" s="3">
        <v>0</v>
      </c>
      <c r="BQ1205" s="3">
        <v>0</v>
      </c>
      <c r="BR1205" s="3">
        <v>0</v>
      </c>
      <c r="BS1205" s="3">
        <v>0</v>
      </c>
      <c r="BT1205" s="3">
        <v>0</v>
      </c>
      <c r="BU1205" s="3">
        <v>0</v>
      </c>
    </row>
    <row r="1206" spans="1:73" x14ac:dyDescent="0.25">
      <c r="A1206" s="2" t="s">
        <v>141</v>
      </c>
      <c r="B1206" s="4">
        <v>69</v>
      </c>
      <c r="C1206" s="4">
        <v>2</v>
      </c>
      <c r="D1206" s="4">
        <v>3</v>
      </c>
      <c r="E1206" s="4">
        <v>2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1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0</v>
      </c>
      <c r="AW1206" s="3">
        <v>0</v>
      </c>
      <c r="AX1206" s="3">
        <v>0</v>
      </c>
      <c r="AY1206" s="3">
        <v>0</v>
      </c>
      <c r="AZ1206" s="3">
        <v>0</v>
      </c>
      <c r="BA1206" s="3">
        <v>0</v>
      </c>
      <c r="BB1206" s="3">
        <v>0</v>
      </c>
      <c r="BC1206" s="3">
        <v>0</v>
      </c>
      <c r="BD1206" s="3">
        <v>0</v>
      </c>
      <c r="BE1206" s="3">
        <v>0</v>
      </c>
      <c r="BF1206" s="3">
        <v>0</v>
      </c>
      <c r="BG1206" s="3">
        <v>0</v>
      </c>
      <c r="BH1206" s="3">
        <v>0</v>
      </c>
      <c r="BI1206" s="3">
        <v>0</v>
      </c>
      <c r="BJ1206" s="3">
        <v>1</v>
      </c>
      <c r="BK1206" s="3">
        <v>0</v>
      </c>
      <c r="BL1206" s="3">
        <v>0</v>
      </c>
      <c r="BM1206" s="3">
        <v>0</v>
      </c>
      <c r="BN1206" s="3">
        <v>0</v>
      </c>
      <c r="BO1206" s="3">
        <v>0</v>
      </c>
      <c r="BP1206" s="3">
        <v>0</v>
      </c>
      <c r="BQ1206" s="3">
        <v>0</v>
      </c>
      <c r="BR1206" s="3">
        <v>0</v>
      </c>
      <c r="BS1206" s="3">
        <v>0</v>
      </c>
      <c r="BT1206" s="3">
        <v>1</v>
      </c>
      <c r="BU1206" s="3">
        <v>0</v>
      </c>
    </row>
    <row r="1207" spans="1:73" x14ac:dyDescent="0.25">
      <c r="A1207" s="2" t="s">
        <v>141</v>
      </c>
      <c r="B1207" s="4">
        <v>69</v>
      </c>
      <c r="C1207" s="4">
        <v>2</v>
      </c>
      <c r="D1207" s="4">
        <v>3</v>
      </c>
      <c r="E1207" s="4">
        <v>3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1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3">
        <v>0</v>
      </c>
      <c r="AV1207" s="3">
        <v>0</v>
      </c>
      <c r="AW1207" s="3">
        <v>0</v>
      </c>
      <c r="AX1207" s="3">
        <v>0</v>
      </c>
      <c r="AY1207" s="3">
        <v>0</v>
      </c>
      <c r="AZ1207" s="3">
        <v>0</v>
      </c>
      <c r="BA1207" s="3">
        <v>0</v>
      </c>
      <c r="BB1207" s="3">
        <v>0</v>
      </c>
      <c r="BC1207" s="3">
        <v>0</v>
      </c>
      <c r="BD1207" s="3">
        <v>0</v>
      </c>
      <c r="BE1207" s="3">
        <v>0</v>
      </c>
      <c r="BF1207" s="3">
        <v>0</v>
      </c>
      <c r="BG1207" s="3">
        <v>0</v>
      </c>
      <c r="BH1207" s="3">
        <v>1</v>
      </c>
      <c r="BI1207" s="3">
        <v>0</v>
      </c>
      <c r="BJ1207" s="3">
        <v>0</v>
      </c>
      <c r="BK1207" s="3">
        <v>0</v>
      </c>
      <c r="BL1207" s="3">
        <v>0</v>
      </c>
      <c r="BM1207" s="3">
        <v>0</v>
      </c>
      <c r="BN1207" s="3">
        <v>0</v>
      </c>
      <c r="BO1207" s="3">
        <v>0</v>
      </c>
      <c r="BP1207" s="3">
        <v>0</v>
      </c>
      <c r="BQ1207" s="3">
        <v>0</v>
      </c>
      <c r="BR1207" s="3">
        <v>0</v>
      </c>
      <c r="BS1207" s="3">
        <v>0</v>
      </c>
      <c r="BT1207" s="3">
        <v>0</v>
      </c>
      <c r="BU1207" s="3">
        <v>0</v>
      </c>
    </row>
    <row r="1208" spans="1:73" x14ac:dyDescent="0.25">
      <c r="A1208" s="2" t="s">
        <v>142</v>
      </c>
      <c r="B1208" s="4">
        <v>70</v>
      </c>
      <c r="C1208" s="4">
        <v>1</v>
      </c>
      <c r="D1208" s="4">
        <v>1</v>
      </c>
      <c r="E1208" s="4">
        <v>1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2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0</v>
      </c>
      <c r="AX1208" s="3">
        <v>0</v>
      </c>
      <c r="AY1208" s="3">
        <v>0</v>
      </c>
      <c r="AZ1208" s="3">
        <v>0</v>
      </c>
      <c r="BA1208" s="3">
        <v>0</v>
      </c>
      <c r="BB1208" s="3">
        <v>0</v>
      </c>
      <c r="BC1208" s="3">
        <v>0</v>
      </c>
      <c r="BD1208" s="3">
        <v>0</v>
      </c>
      <c r="BE1208" s="3">
        <v>0</v>
      </c>
      <c r="BF1208" s="3">
        <v>0</v>
      </c>
      <c r="BG1208" s="3">
        <v>0</v>
      </c>
      <c r="BH1208" s="3">
        <v>0</v>
      </c>
      <c r="BI1208" s="3">
        <v>0</v>
      </c>
      <c r="BJ1208" s="3">
        <v>0</v>
      </c>
      <c r="BK1208" s="3">
        <v>0</v>
      </c>
      <c r="BL1208" s="3">
        <v>0</v>
      </c>
      <c r="BM1208" s="3">
        <v>0</v>
      </c>
      <c r="BN1208" s="3">
        <v>0</v>
      </c>
      <c r="BO1208" s="3">
        <v>0</v>
      </c>
      <c r="BP1208" s="3">
        <v>0</v>
      </c>
      <c r="BQ1208" s="3">
        <v>0</v>
      </c>
      <c r="BR1208" s="3">
        <v>0</v>
      </c>
      <c r="BS1208" s="3">
        <v>0</v>
      </c>
      <c r="BT1208" s="3">
        <v>1</v>
      </c>
      <c r="BU1208" s="3">
        <v>0</v>
      </c>
    </row>
    <row r="1209" spans="1:73" x14ac:dyDescent="0.25">
      <c r="A1209" s="2" t="s">
        <v>142</v>
      </c>
      <c r="B1209" s="4">
        <v>70</v>
      </c>
      <c r="C1209" s="4">
        <v>1</v>
      </c>
      <c r="D1209" s="4">
        <v>1</v>
      </c>
      <c r="E1209" s="4">
        <v>2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1</v>
      </c>
      <c r="AA1209" s="3">
        <v>0</v>
      </c>
      <c r="AB1209" s="3">
        <v>0</v>
      </c>
      <c r="AC1209" s="3">
        <v>0</v>
      </c>
      <c r="AD1209" s="3">
        <v>0</v>
      </c>
      <c r="AE1209" s="3">
        <v>1</v>
      </c>
      <c r="AF1209" s="3">
        <v>0</v>
      </c>
      <c r="AG1209" s="3">
        <v>0</v>
      </c>
      <c r="AH1209" s="3">
        <v>0</v>
      </c>
      <c r="AI1209" s="3">
        <v>1</v>
      </c>
      <c r="AJ1209" s="3">
        <v>1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0</v>
      </c>
      <c r="AR1209" s="3">
        <v>0</v>
      </c>
      <c r="AS1209" s="3">
        <v>0</v>
      </c>
      <c r="AT1209" s="3">
        <v>0</v>
      </c>
      <c r="AU1209" s="3">
        <v>0</v>
      </c>
      <c r="AV1209" s="3">
        <v>0</v>
      </c>
      <c r="AW1209" s="3">
        <v>0</v>
      </c>
      <c r="AX1209" s="3">
        <v>0</v>
      </c>
      <c r="AY1209" s="3">
        <v>0</v>
      </c>
      <c r="AZ1209" s="3">
        <v>0</v>
      </c>
      <c r="BA1209" s="3">
        <v>0</v>
      </c>
      <c r="BB1209" s="3">
        <v>0</v>
      </c>
      <c r="BC1209" s="3">
        <v>0</v>
      </c>
      <c r="BD1209" s="3">
        <v>0</v>
      </c>
      <c r="BE1209" s="3">
        <v>0</v>
      </c>
      <c r="BF1209" s="3">
        <v>0</v>
      </c>
      <c r="BG1209" s="3">
        <v>0</v>
      </c>
      <c r="BH1209" s="3">
        <v>0</v>
      </c>
      <c r="BI1209" s="3">
        <v>0</v>
      </c>
      <c r="BJ1209" s="3">
        <v>0</v>
      </c>
      <c r="BK1209" s="3">
        <v>0</v>
      </c>
      <c r="BL1209" s="3">
        <v>0</v>
      </c>
      <c r="BM1209" s="3">
        <v>0</v>
      </c>
      <c r="BN1209" s="3">
        <v>0</v>
      </c>
      <c r="BO1209" s="3">
        <v>0</v>
      </c>
      <c r="BP1209" s="3">
        <v>0</v>
      </c>
      <c r="BQ1209" s="3">
        <v>0</v>
      </c>
      <c r="BR1209" s="3">
        <v>0</v>
      </c>
      <c r="BS1209" s="3">
        <v>0</v>
      </c>
      <c r="BT1209" s="3">
        <v>0</v>
      </c>
      <c r="BU1209" s="3">
        <v>0</v>
      </c>
    </row>
    <row r="1210" spans="1:73" x14ac:dyDescent="0.25">
      <c r="A1210" s="2" t="s">
        <v>142</v>
      </c>
      <c r="B1210" s="4">
        <v>70</v>
      </c>
      <c r="C1210" s="4">
        <v>1</v>
      </c>
      <c r="D1210" s="4">
        <v>1</v>
      </c>
      <c r="E1210" s="4">
        <v>3</v>
      </c>
      <c r="F1210" s="3">
        <v>0</v>
      </c>
      <c r="G1210" s="3">
        <v>0</v>
      </c>
      <c r="H1210" s="3">
        <v>0</v>
      </c>
      <c r="I1210" s="3">
        <v>0</v>
      </c>
      <c r="J1210" s="3">
        <v>1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1</v>
      </c>
      <c r="AV1210" s="3">
        <v>0</v>
      </c>
      <c r="AW1210" s="3">
        <v>0</v>
      </c>
      <c r="AX1210" s="3">
        <v>0</v>
      </c>
      <c r="AY1210" s="3">
        <v>0</v>
      </c>
      <c r="AZ1210" s="3">
        <v>0</v>
      </c>
      <c r="BA1210" s="3">
        <v>0</v>
      </c>
      <c r="BB1210" s="3">
        <v>0</v>
      </c>
      <c r="BC1210" s="3">
        <v>0</v>
      </c>
      <c r="BD1210" s="3">
        <v>0</v>
      </c>
      <c r="BE1210" s="3">
        <v>0</v>
      </c>
      <c r="BF1210" s="3">
        <v>0</v>
      </c>
      <c r="BG1210" s="3">
        <v>0</v>
      </c>
      <c r="BH1210" s="3">
        <v>0</v>
      </c>
      <c r="BI1210" s="3">
        <v>0</v>
      </c>
      <c r="BJ1210" s="3">
        <v>0</v>
      </c>
      <c r="BK1210" s="3">
        <v>0</v>
      </c>
      <c r="BL1210" s="3">
        <v>0</v>
      </c>
      <c r="BM1210" s="3">
        <v>0</v>
      </c>
      <c r="BN1210" s="3">
        <v>0</v>
      </c>
      <c r="BO1210" s="3">
        <v>0</v>
      </c>
      <c r="BP1210" s="3">
        <v>0</v>
      </c>
      <c r="BQ1210" s="3">
        <v>0</v>
      </c>
      <c r="BR1210" s="3">
        <v>0</v>
      </c>
      <c r="BS1210" s="3">
        <v>0</v>
      </c>
      <c r="BT1210" s="3">
        <v>0</v>
      </c>
      <c r="BU1210" s="3">
        <v>0</v>
      </c>
    </row>
    <row r="1211" spans="1:73" x14ac:dyDescent="0.25">
      <c r="A1211" s="2" t="s">
        <v>142</v>
      </c>
      <c r="B1211" s="4">
        <v>70</v>
      </c>
      <c r="C1211" s="4">
        <v>1</v>
      </c>
      <c r="D1211" s="4">
        <v>2</v>
      </c>
      <c r="E1211" s="4">
        <v>1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1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1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3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0</v>
      </c>
      <c r="BD1211" s="3">
        <v>0</v>
      </c>
      <c r="BE1211" s="3">
        <v>0</v>
      </c>
      <c r="BF1211" s="3">
        <v>0</v>
      </c>
      <c r="BG1211" s="3">
        <v>0</v>
      </c>
      <c r="BH1211" s="3">
        <v>0</v>
      </c>
      <c r="BI1211" s="3">
        <v>0</v>
      </c>
      <c r="BJ1211" s="3">
        <v>0</v>
      </c>
      <c r="BK1211" s="3">
        <v>0</v>
      </c>
      <c r="BL1211" s="3">
        <v>0</v>
      </c>
      <c r="BM1211" s="3">
        <v>0</v>
      </c>
      <c r="BN1211" s="3">
        <v>0</v>
      </c>
      <c r="BO1211" s="3">
        <v>0</v>
      </c>
      <c r="BP1211" s="3">
        <v>0</v>
      </c>
      <c r="BQ1211" s="3">
        <v>0</v>
      </c>
      <c r="BR1211" s="3">
        <v>0</v>
      </c>
      <c r="BS1211" s="3">
        <v>0</v>
      </c>
      <c r="BT1211" s="3">
        <v>0</v>
      </c>
      <c r="BU1211" s="3">
        <v>0</v>
      </c>
    </row>
    <row r="1212" spans="1:73" x14ac:dyDescent="0.25">
      <c r="A1212" s="2" t="s">
        <v>142</v>
      </c>
      <c r="B1212" s="4">
        <v>70</v>
      </c>
      <c r="C1212" s="4">
        <v>1</v>
      </c>
      <c r="D1212" s="4">
        <v>2</v>
      </c>
      <c r="E1212" s="4">
        <v>2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0</v>
      </c>
      <c r="AX1212" s="3">
        <v>0</v>
      </c>
      <c r="AY1212" s="3">
        <v>0</v>
      </c>
      <c r="AZ1212" s="3">
        <v>0</v>
      </c>
      <c r="BA1212" s="3">
        <v>0</v>
      </c>
      <c r="BB1212" s="3">
        <v>0</v>
      </c>
      <c r="BC1212" s="3">
        <v>0</v>
      </c>
      <c r="BD1212" s="3">
        <v>0</v>
      </c>
      <c r="BE1212" s="3">
        <v>0</v>
      </c>
      <c r="BF1212" s="3">
        <v>0</v>
      </c>
      <c r="BG1212" s="3">
        <v>0</v>
      </c>
      <c r="BH1212" s="3">
        <v>0</v>
      </c>
      <c r="BI1212" s="3">
        <v>0</v>
      </c>
      <c r="BJ1212" s="3">
        <v>0</v>
      </c>
      <c r="BK1212" s="3">
        <v>0</v>
      </c>
      <c r="BL1212" s="3">
        <v>0</v>
      </c>
      <c r="BM1212" s="3">
        <v>0</v>
      </c>
      <c r="BN1212" s="3">
        <v>0</v>
      </c>
      <c r="BO1212" s="3">
        <v>0</v>
      </c>
      <c r="BP1212" s="3">
        <v>0</v>
      </c>
      <c r="BQ1212" s="3">
        <v>0</v>
      </c>
      <c r="BR1212" s="3">
        <v>0</v>
      </c>
      <c r="BS1212" s="3">
        <v>0</v>
      </c>
      <c r="BT1212" s="3">
        <v>0</v>
      </c>
      <c r="BU1212" s="3">
        <v>0</v>
      </c>
    </row>
    <row r="1213" spans="1:73" x14ac:dyDescent="0.25">
      <c r="A1213" s="2" t="s">
        <v>142</v>
      </c>
      <c r="B1213" s="4">
        <v>70</v>
      </c>
      <c r="C1213" s="4">
        <v>1</v>
      </c>
      <c r="D1213" s="4">
        <v>2</v>
      </c>
      <c r="E1213" s="4">
        <v>3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0</v>
      </c>
      <c r="AY1213" s="3">
        <v>0</v>
      </c>
      <c r="AZ1213" s="3">
        <v>0</v>
      </c>
      <c r="BA1213" s="3">
        <v>0</v>
      </c>
      <c r="BB1213" s="3">
        <v>0</v>
      </c>
      <c r="BC1213" s="3">
        <v>0</v>
      </c>
      <c r="BD1213" s="3">
        <v>0</v>
      </c>
      <c r="BE1213" s="3">
        <v>0</v>
      </c>
      <c r="BF1213" s="3">
        <v>0</v>
      </c>
      <c r="BG1213" s="3">
        <v>0</v>
      </c>
      <c r="BH1213" s="3">
        <v>0</v>
      </c>
      <c r="BI1213" s="3">
        <v>0</v>
      </c>
      <c r="BJ1213" s="3">
        <v>0</v>
      </c>
      <c r="BK1213" s="3">
        <v>0</v>
      </c>
      <c r="BL1213" s="3">
        <v>1</v>
      </c>
      <c r="BM1213" s="3">
        <v>0</v>
      </c>
      <c r="BN1213" s="3">
        <v>0</v>
      </c>
      <c r="BO1213" s="3">
        <v>0</v>
      </c>
      <c r="BP1213" s="3">
        <v>0</v>
      </c>
      <c r="BQ1213" s="3">
        <v>0</v>
      </c>
      <c r="BR1213" s="3">
        <v>0</v>
      </c>
      <c r="BS1213" s="3">
        <v>0</v>
      </c>
      <c r="BT1213" s="3">
        <v>0</v>
      </c>
      <c r="BU1213" s="3">
        <v>0</v>
      </c>
    </row>
    <row r="1214" spans="1:73" x14ac:dyDescent="0.25">
      <c r="A1214" s="2" t="s">
        <v>142</v>
      </c>
      <c r="B1214" s="4">
        <v>70</v>
      </c>
      <c r="C1214" s="4">
        <v>1</v>
      </c>
      <c r="D1214" s="4">
        <v>3</v>
      </c>
      <c r="E1214" s="4">
        <v>1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1</v>
      </c>
      <c r="W1214" s="3">
        <v>0</v>
      </c>
      <c r="X1214" s="3">
        <v>0</v>
      </c>
      <c r="Y1214" s="3">
        <v>0</v>
      </c>
      <c r="Z1214" s="3">
        <v>1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  <c r="AX1214" s="3">
        <v>0</v>
      </c>
      <c r="AY1214" s="3">
        <v>0</v>
      </c>
      <c r="AZ1214" s="3">
        <v>0</v>
      </c>
      <c r="BA1214" s="3">
        <v>0</v>
      </c>
      <c r="BB1214" s="3">
        <v>0</v>
      </c>
      <c r="BC1214" s="3">
        <v>0</v>
      </c>
      <c r="BD1214" s="3">
        <v>0</v>
      </c>
      <c r="BE1214" s="3">
        <v>0</v>
      </c>
      <c r="BF1214" s="3">
        <v>0</v>
      </c>
      <c r="BG1214" s="3">
        <v>0</v>
      </c>
      <c r="BH1214" s="3">
        <v>0</v>
      </c>
      <c r="BI1214" s="3">
        <v>0</v>
      </c>
      <c r="BJ1214" s="3">
        <v>0</v>
      </c>
      <c r="BK1214" s="3">
        <v>0</v>
      </c>
      <c r="BL1214" s="3">
        <v>0</v>
      </c>
      <c r="BM1214" s="3">
        <v>0</v>
      </c>
      <c r="BN1214" s="3">
        <v>0</v>
      </c>
      <c r="BO1214" s="3">
        <v>0</v>
      </c>
      <c r="BP1214" s="3">
        <v>0</v>
      </c>
      <c r="BQ1214" s="3">
        <v>0</v>
      </c>
      <c r="BR1214" s="3">
        <v>0</v>
      </c>
      <c r="BS1214" s="3">
        <v>0</v>
      </c>
      <c r="BT1214" s="3">
        <v>0</v>
      </c>
      <c r="BU1214" s="3">
        <v>0</v>
      </c>
    </row>
    <row r="1215" spans="1:73" x14ac:dyDescent="0.25">
      <c r="A1215" s="2" t="s">
        <v>142</v>
      </c>
      <c r="B1215" s="4">
        <v>70</v>
      </c>
      <c r="C1215" s="4">
        <v>1</v>
      </c>
      <c r="D1215" s="4">
        <v>3</v>
      </c>
      <c r="E1215" s="4">
        <v>2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1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1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0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0</v>
      </c>
      <c r="BD1215" s="3">
        <v>0</v>
      </c>
      <c r="BE1215" s="3">
        <v>0</v>
      </c>
      <c r="BF1215" s="3">
        <v>0</v>
      </c>
      <c r="BG1215" s="3">
        <v>0</v>
      </c>
      <c r="BH1215" s="3">
        <v>0</v>
      </c>
      <c r="BI1215" s="3">
        <v>0</v>
      </c>
      <c r="BJ1215" s="3">
        <v>0</v>
      </c>
      <c r="BK1215" s="3">
        <v>0</v>
      </c>
      <c r="BL1215" s="3">
        <v>0</v>
      </c>
      <c r="BM1215" s="3">
        <v>0</v>
      </c>
      <c r="BN1215" s="3">
        <v>0</v>
      </c>
      <c r="BO1215" s="3">
        <v>0</v>
      </c>
      <c r="BP1215" s="3">
        <v>0</v>
      </c>
      <c r="BQ1215" s="3">
        <v>0</v>
      </c>
      <c r="BR1215" s="3">
        <v>0</v>
      </c>
      <c r="BS1215" s="3">
        <v>0</v>
      </c>
      <c r="BT1215" s="3">
        <v>0</v>
      </c>
      <c r="BU1215" s="3">
        <v>0</v>
      </c>
    </row>
    <row r="1216" spans="1:73" x14ac:dyDescent="0.25">
      <c r="A1216" s="2" t="s">
        <v>142</v>
      </c>
      <c r="B1216" s="4">
        <v>70</v>
      </c>
      <c r="C1216" s="4">
        <v>1</v>
      </c>
      <c r="D1216" s="4">
        <v>3</v>
      </c>
      <c r="E1216" s="4">
        <v>3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3">
        <v>0</v>
      </c>
      <c r="BD1216" s="3">
        <v>0</v>
      </c>
      <c r="BE1216" s="3">
        <v>0</v>
      </c>
      <c r="BF1216" s="3">
        <v>0</v>
      </c>
      <c r="BG1216" s="3">
        <v>0</v>
      </c>
      <c r="BH1216" s="3">
        <v>0</v>
      </c>
      <c r="BI1216" s="3">
        <v>0</v>
      </c>
      <c r="BJ1216" s="3">
        <v>0</v>
      </c>
      <c r="BK1216" s="3">
        <v>0</v>
      </c>
      <c r="BL1216" s="3">
        <v>0</v>
      </c>
      <c r="BM1216" s="3">
        <v>0</v>
      </c>
      <c r="BN1216" s="3">
        <v>0</v>
      </c>
      <c r="BO1216" s="3">
        <v>0</v>
      </c>
      <c r="BP1216" s="3">
        <v>0</v>
      </c>
      <c r="BQ1216" s="3">
        <v>0</v>
      </c>
      <c r="BR1216" s="3">
        <v>0</v>
      </c>
      <c r="BS1216" s="3">
        <v>0</v>
      </c>
      <c r="BT1216" s="3">
        <v>0</v>
      </c>
      <c r="BU1216" s="3">
        <v>0</v>
      </c>
    </row>
    <row r="1217" spans="1:73" x14ac:dyDescent="0.25">
      <c r="A1217" s="2" t="s">
        <v>142</v>
      </c>
      <c r="B1217" s="4">
        <v>70</v>
      </c>
      <c r="C1217" s="4">
        <v>2</v>
      </c>
      <c r="D1217" s="4">
        <v>1</v>
      </c>
      <c r="E1217" s="4">
        <v>1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1</v>
      </c>
      <c r="AA1217" s="3">
        <v>0</v>
      </c>
      <c r="AB1217" s="3">
        <v>0</v>
      </c>
      <c r="AC1217" s="3">
        <v>0</v>
      </c>
      <c r="AD1217" s="3">
        <v>0</v>
      </c>
      <c r="AE1217" s="3">
        <v>2</v>
      </c>
      <c r="AF1217" s="3">
        <v>0</v>
      </c>
      <c r="AG1217" s="3">
        <v>0</v>
      </c>
      <c r="AH1217" s="3">
        <v>0</v>
      </c>
      <c r="AI1217" s="3">
        <v>0</v>
      </c>
      <c r="AJ1217" s="3">
        <v>3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3">
        <v>0</v>
      </c>
      <c r="AY1217" s="3">
        <v>0</v>
      </c>
      <c r="AZ1217" s="3">
        <v>0</v>
      </c>
      <c r="BA1217" s="3">
        <v>0</v>
      </c>
      <c r="BB1217" s="3">
        <v>0</v>
      </c>
      <c r="BC1217" s="3">
        <v>0</v>
      </c>
      <c r="BD1217" s="3">
        <v>0</v>
      </c>
      <c r="BE1217" s="3">
        <v>0</v>
      </c>
      <c r="BF1217" s="3">
        <v>0</v>
      </c>
      <c r="BG1217" s="3">
        <v>0</v>
      </c>
      <c r="BH1217" s="3">
        <v>0</v>
      </c>
      <c r="BI1217" s="3">
        <v>0</v>
      </c>
      <c r="BJ1217" s="3">
        <v>0</v>
      </c>
      <c r="BK1217" s="3">
        <v>0</v>
      </c>
      <c r="BL1217" s="3">
        <v>2</v>
      </c>
      <c r="BM1217" s="3">
        <v>0</v>
      </c>
      <c r="BN1217" s="3">
        <v>0</v>
      </c>
      <c r="BO1217" s="3">
        <v>0</v>
      </c>
      <c r="BP1217" s="3">
        <v>0</v>
      </c>
      <c r="BQ1217" s="3">
        <v>0</v>
      </c>
      <c r="BR1217" s="3">
        <v>0</v>
      </c>
      <c r="BS1217" s="3">
        <v>0</v>
      </c>
      <c r="BT1217" s="3">
        <v>1</v>
      </c>
      <c r="BU1217" s="3">
        <v>0</v>
      </c>
    </row>
    <row r="1218" spans="1:73" x14ac:dyDescent="0.25">
      <c r="A1218" s="2" t="s">
        <v>142</v>
      </c>
      <c r="B1218" s="4">
        <v>70</v>
      </c>
      <c r="C1218" s="4">
        <v>2</v>
      </c>
      <c r="D1218" s="4">
        <v>1</v>
      </c>
      <c r="E1218" s="4">
        <v>2</v>
      </c>
      <c r="F1218" s="3">
        <v>0</v>
      </c>
      <c r="G1218" s="3">
        <v>0</v>
      </c>
      <c r="H1218" s="3">
        <v>0</v>
      </c>
      <c r="I1218" s="3">
        <v>0</v>
      </c>
      <c r="J1218" s="3">
        <v>1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1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3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  <c r="AU1218" s="3">
        <v>0</v>
      </c>
      <c r="AV1218" s="3">
        <v>0</v>
      </c>
      <c r="AW1218" s="3">
        <v>0</v>
      </c>
      <c r="AX1218" s="3">
        <v>0</v>
      </c>
      <c r="AY1218" s="3">
        <v>0</v>
      </c>
      <c r="AZ1218" s="3">
        <v>0</v>
      </c>
      <c r="BA1218" s="3">
        <v>0</v>
      </c>
      <c r="BB1218" s="3">
        <v>0</v>
      </c>
      <c r="BC1218" s="3">
        <v>0</v>
      </c>
      <c r="BD1218" s="3">
        <v>0</v>
      </c>
      <c r="BE1218" s="3">
        <v>0</v>
      </c>
      <c r="BF1218" s="3">
        <v>0</v>
      </c>
      <c r="BG1218" s="3">
        <v>0</v>
      </c>
      <c r="BH1218" s="3">
        <v>0</v>
      </c>
      <c r="BI1218" s="3">
        <v>0</v>
      </c>
      <c r="BJ1218" s="3">
        <v>0</v>
      </c>
      <c r="BK1218" s="3">
        <v>0</v>
      </c>
      <c r="BL1218" s="3">
        <v>1</v>
      </c>
      <c r="BM1218" s="3">
        <v>0</v>
      </c>
      <c r="BN1218" s="3">
        <v>0</v>
      </c>
      <c r="BO1218" s="3">
        <v>0</v>
      </c>
      <c r="BP1218" s="3">
        <v>0</v>
      </c>
      <c r="BQ1218" s="3">
        <v>0</v>
      </c>
      <c r="BR1218" s="3">
        <v>0</v>
      </c>
      <c r="BS1218" s="3">
        <v>0</v>
      </c>
      <c r="BT1218" s="3">
        <v>1</v>
      </c>
      <c r="BU1218" s="3">
        <v>0</v>
      </c>
    </row>
    <row r="1219" spans="1:73" x14ac:dyDescent="0.25">
      <c r="A1219" s="2" t="s">
        <v>142</v>
      </c>
      <c r="B1219" s="4">
        <v>70</v>
      </c>
      <c r="C1219" s="4">
        <v>2</v>
      </c>
      <c r="D1219" s="4">
        <v>1</v>
      </c>
      <c r="E1219" s="4">
        <v>3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3">
        <v>0</v>
      </c>
      <c r="AW1219" s="3">
        <v>0</v>
      </c>
      <c r="AX1219" s="3">
        <v>0</v>
      </c>
      <c r="AY1219" s="3">
        <v>0</v>
      </c>
      <c r="AZ1219" s="3">
        <v>0</v>
      </c>
      <c r="BA1219" s="3">
        <v>0</v>
      </c>
      <c r="BB1219" s="3">
        <v>0</v>
      </c>
      <c r="BC1219" s="3">
        <v>0</v>
      </c>
      <c r="BD1219" s="3">
        <v>0</v>
      </c>
      <c r="BE1219" s="3">
        <v>0</v>
      </c>
      <c r="BF1219" s="3">
        <v>0</v>
      </c>
      <c r="BG1219" s="3">
        <v>0</v>
      </c>
      <c r="BH1219" s="3">
        <v>0</v>
      </c>
      <c r="BI1219" s="3">
        <v>0</v>
      </c>
      <c r="BJ1219" s="3">
        <v>0</v>
      </c>
      <c r="BK1219" s="3">
        <v>0</v>
      </c>
      <c r="BL1219" s="3">
        <v>0</v>
      </c>
      <c r="BM1219" s="3">
        <v>0</v>
      </c>
      <c r="BN1219" s="3">
        <v>0</v>
      </c>
      <c r="BO1219" s="3">
        <v>0</v>
      </c>
      <c r="BP1219" s="3">
        <v>0</v>
      </c>
      <c r="BQ1219" s="3">
        <v>0</v>
      </c>
      <c r="BR1219" s="3">
        <v>0</v>
      </c>
      <c r="BS1219" s="3">
        <v>0</v>
      </c>
      <c r="BT1219" s="3">
        <v>0</v>
      </c>
      <c r="BU1219" s="3">
        <v>0</v>
      </c>
    </row>
    <row r="1220" spans="1:73" x14ac:dyDescent="0.25">
      <c r="A1220" s="2" t="s">
        <v>142</v>
      </c>
      <c r="B1220" s="4">
        <v>70</v>
      </c>
      <c r="C1220" s="4">
        <v>2</v>
      </c>
      <c r="D1220" s="4">
        <v>2</v>
      </c>
      <c r="E1220" s="4">
        <v>1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0</v>
      </c>
      <c r="AY1220" s="3">
        <v>0</v>
      </c>
      <c r="AZ1220" s="3">
        <v>0</v>
      </c>
      <c r="BA1220" s="3">
        <v>0</v>
      </c>
      <c r="BB1220" s="3">
        <v>0</v>
      </c>
      <c r="BC1220" s="3">
        <v>0</v>
      </c>
      <c r="BD1220" s="3">
        <v>0</v>
      </c>
      <c r="BE1220" s="3">
        <v>0</v>
      </c>
      <c r="BF1220" s="3">
        <v>0</v>
      </c>
      <c r="BG1220" s="3">
        <v>0</v>
      </c>
      <c r="BH1220" s="3">
        <v>0</v>
      </c>
      <c r="BI1220" s="3">
        <v>0</v>
      </c>
      <c r="BJ1220" s="3">
        <v>0</v>
      </c>
      <c r="BK1220" s="3">
        <v>0</v>
      </c>
      <c r="BL1220" s="3">
        <v>0</v>
      </c>
      <c r="BM1220" s="3">
        <v>0</v>
      </c>
      <c r="BN1220" s="3">
        <v>0</v>
      </c>
      <c r="BO1220" s="3">
        <v>0</v>
      </c>
      <c r="BP1220" s="3">
        <v>0</v>
      </c>
      <c r="BQ1220" s="3">
        <v>0</v>
      </c>
      <c r="BR1220" s="3">
        <v>0</v>
      </c>
      <c r="BS1220" s="3">
        <v>0</v>
      </c>
      <c r="BT1220" s="3">
        <v>0</v>
      </c>
      <c r="BU1220" s="3">
        <v>0</v>
      </c>
    </row>
    <row r="1221" spans="1:73" x14ac:dyDescent="0.25">
      <c r="A1221" s="2" t="s">
        <v>142</v>
      </c>
      <c r="B1221" s="4">
        <v>70</v>
      </c>
      <c r="C1221" s="4">
        <v>2</v>
      </c>
      <c r="D1221" s="4">
        <v>2</v>
      </c>
      <c r="E1221" s="4">
        <v>2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0</v>
      </c>
      <c r="AX1221" s="3">
        <v>0</v>
      </c>
      <c r="AY1221" s="3">
        <v>0</v>
      </c>
      <c r="AZ1221" s="3">
        <v>0</v>
      </c>
      <c r="BA1221" s="3">
        <v>0</v>
      </c>
      <c r="BB1221" s="3">
        <v>0</v>
      </c>
      <c r="BC1221" s="3">
        <v>0</v>
      </c>
      <c r="BD1221" s="3">
        <v>0</v>
      </c>
      <c r="BE1221" s="3">
        <v>0</v>
      </c>
      <c r="BF1221" s="3">
        <v>0</v>
      </c>
      <c r="BG1221" s="3">
        <v>0</v>
      </c>
      <c r="BH1221" s="3">
        <v>0</v>
      </c>
      <c r="BI1221" s="3">
        <v>0</v>
      </c>
      <c r="BJ1221" s="3">
        <v>0</v>
      </c>
      <c r="BK1221" s="3">
        <v>0</v>
      </c>
      <c r="BL1221" s="3">
        <v>0</v>
      </c>
      <c r="BM1221" s="3">
        <v>0</v>
      </c>
      <c r="BN1221" s="3">
        <v>0</v>
      </c>
      <c r="BO1221" s="3">
        <v>0</v>
      </c>
      <c r="BP1221" s="3">
        <v>0</v>
      </c>
      <c r="BQ1221" s="3">
        <v>0</v>
      </c>
      <c r="BR1221" s="3">
        <v>0</v>
      </c>
      <c r="BS1221" s="3">
        <v>0</v>
      </c>
      <c r="BT1221" s="3">
        <v>1</v>
      </c>
      <c r="BU1221" s="3">
        <v>0</v>
      </c>
    </row>
    <row r="1222" spans="1:73" x14ac:dyDescent="0.25">
      <c r="A1222" s="2" t="s">
        <v>142</v>
      </c>
      <c r="B1222" s="4">
        <v>70</v>
      </c>
      <c r="C1222" s="4">
        <v>2</v>
      </c>
      <c r="D1222" s="4">
        <v>2</v>
      </c>
      <c r="E1222" s="4">
        <v>3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  <c r="BA1222" s="3">
        <v>0</v>
      </c>
      <c r="BB1222" s="3">
        <v>0</v>
      </c>
      <c r="BC1222" s="3">
        <v>0</v>
      </c>
      <c r="BD1222" s="3">
        <v>0</v>
      </c>
      <c r="BE1222" s="3">
        <v>0</v>
      </c>
      <c r="BF1222" s="3">
        <v>0</v>
      </c>
      <c r="BG1222" s="3">
        <v>0</v>
      </c>
      <c r="BH1222" s="3">
        <v>0</v>
      </c>
      <c r="BI1222" s="3">
        <v>0</v>
      </c>
      <c r="BJ1222" s="3">
        <v>0</v>
      </c>
      <c r="BK1222" s="3">
        <v>0</v>
      </c>
      <c r="BL1222" s="3">
        <v>0</v>
      </c>
      <c r="BM1222" s="3">
        <v>0</v>
      </c>
      <c r="BN1222" s="3">
        <v>0</v>
      </c>
      <c r="BO1222" s="3">
        <v>0</v>
      </c>
      <c r="BP1222" s="3">
        <v>0</v>
      </c>
      <c r="BQ1222" s="3">
        <v>0</v>
      </c>
      <c r="BR1222" s="3">
        <v>0</v>
      </c>
      <c r="BS1222" s="3">
        <v>0</v>
      </c>
      <c r="BT1222" s="3">
        <v>0</v>
      </c>
      <c r="BU1222" s="3">
        <v>0</v>
      </c>
    </row>
    <row r="1223" spans="1:73" x14ac:dyDescent="0.25">
      <c r="A1223" s="2" t="s">
        <v>142</v>
      </c>
      <c r="B1223" s="4">
        <v>70</v>
      </c>
      <c r="C1223" s="4">
        <v>2</v>
      </c>
      <c r="D1223" s="4">
        <v>3</v>
      </c>
      <c r="E1223" s="4">
        <v>1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3">
        <v>0</v>
      </c>
      <c r="AW1223" s="3">
        <v>0</v>
      </c>
      <c r="AX1223" s="3">
        <v>0</v>
      </c>
      <c r="AY1223" s="3">
        <v>0</v>
      </c>
      <c r="AZ1223" s="3">
        <v>0</v>
      </c>
      <c r="BA1223" s="3">
        <v>0</v>
      </c>
      <c r="BB1223" s="3">
        <v>0</v>
      </c>
      <c r="BC1223" s="3">
        <v>0</v>
      </c>
      <c r="BD1223" s="3">
        <v>0</v>
      </c>
      <c r="BE1223" s="3">
        <v>0</v>
      </c>
      <c r="BF1223" s="3">
        <v>0</v>
      </c>
      <c r="BG1223" s="3">
        <v>0</v>
      </c>
      <c r="BH1223" s="3">
        <v>0</v>
      </c>
      <c r="BI1223" s="3">
        <v>0</v>
      </c>
      <c r="BJ1223" s="3">
        <v>0</v>
      </c>
      <c r="BK1223" s="3">
        <v>0</v>
      </c>
      <c r="BL1223" s="3">
        <v>0</v>
      </c>
      <c r="BM1223" s="3">
        <v>0</v>
      </c>
      <c r="BN1223" s="3">
        <v>0</v>
      </c>
      <c r="BO1223" s="3">
        <v>0</v>
      </c>
      <c r="BP1223" s="3">
        <v>0</v>
      </c>
      <c r="BQ1223" s="3">
        <v>0</v>
      </c>
      <c r="BR1223" s="3">
        <v>0</v>
      </c>
      <c r="BS1223" s="3">
        <v>0</v>
      </c>
      <c r="BT1223" s="3">
        <v>0</v>
      </c>
      <c r="BU1223" s="3">
        <v>0</v>
      </c>
    </row>
    <row r="1224" spans="1:73" x14ac:dyDescent="0.25">
      <c r="A1224" s="2" t="s">
        <v>142</v>
      </c>
      <c r="B1224" s="4">
        <v>70</v>
      </c>
      <c r="C1224" s="4">
        <v>2</v>
      </c>
      <c r="D1224" s="4">
        <v>3</v>
      </c>
      <c r="E1224" s="4">
        <v>2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1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0</v>
      </c>
      <c r="AX1224" s="3">
        <v>0</v>
      </c>
      <c r="AY1224" s="3">
        <v>0</v>
      </c>
      <c r="AZ1224" s="3">
        <v>0</v>
      </c>
      <c r="BA1224" s="3">
        <v>0</v>
      </c>
      <c r="BB1224" s="3">
        <v>0</v>
      </c>
      <c r="BC1224" s="3">
        <v>0</v>
      </c>
      <c r="BD1224" s="3">
        <v>0</v>
      </c>
      <c r="BE1224" s="3">
        <v>0</v>
      </c>
      <c r="BF1224" s="3">
        <v>0</v>
      </c>
      <c r="BG1224" s="3">
        <v>0</v>
      </c>
      <c r="BH1224" s="3">
        <v>0</v>
      </c>
      <c r="BI1224" s="3">
        <v>0</v>
      </c>
      <c r="BJ1224" s="3">
        <v>0</v>
      </c>
      <c r="BK1224" s="3">
        <v>0</v>
      </c>
      <c r="BL1224" s="3">
        <v>0</v>
      </c>
      <c r="BM1224" s="3">
        <v>0</v>
      </c>
      <c r="BN1224" s="3">
        <v>0</v>
      </c>
      <c r="BO1224" s="3">
        <v>0</v>
      </c>
      <c r="BP1224" s="3">
        <v>0</v>
      </c>
      <c r="BQ1224" s="3">
        <v>0</v>
      </c>
      <c r="BR1224" s="3">
        <v>0</v>
      </c>
      <c r="BS1224" s="3">
        <v>0</v>
      </c>
      <c r="BT1224" s="3">
        <v>0</v>
      </c>
      <c r="BU1224" s="3">
        <v>0</v>
      </c>
    </row>
    <row r="1225" spans="1:73" x14ac:dyDescent="0.25">
      <c r="A1225" s="2" t="s">
        <v>142</v>
      </c>
      <c r="B1225" s="4">
        <v>70</v>
      </c>
      <c r="C1225" s="4">
        <v>2</v>
      </c>
      <c r="D1225" s="4">
        <v>3</v>
      </c>
      <c r="E1225" s="4">
        <v>3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1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0</v>
      </c>
      <c r="AY1225" s="3">
        <v>0</v>
      </c>
      <c r="AZ1225" s="3">
        <v>0</v>
      </c>
      <c r="BA1225" s="3">
        <v>0</v>
      </c>
      <c r="BB1225" s="3">
        <v>0</v>
      </c>
      <c r="BC1225" s="3">
        <v>0</v>
      </c>
      <c r="BD1225" s="3">
        <v>0</v>
      </c>
      <c r="BE1225" s="3">
        <v>0</v>
      </c>
      <c r="BF1225" s="3">
        <v>0</v>
      </c>
      <c r="BG1225" s="3">
        <v>0</v>
      </c>
      <c r="BH1225" s="3">
        <v>0</v>
      </c>
      <c r="BI1225" s="3">
        <v>0</v>
      </c>
      <c r="BJ1225" s="3">
        <v>0</v>
      </c>
      <c r="BK1225" s="3">
        <v>0</v>
      </c>
      <c r="BL1225" s="3">
        <v>0</v>
      </c>
      <c r="BM1225" s="3">
        <v>0</v>
      </c>
      <c r="BN1225" s="3">
        <v>0</v>
      </c>
      <c r="BO1225" s="3">
        <v>0</v>
      </c>
      <c r="BP1225" s="3">
        <v>0</v>
      </c>
      <c r="BQ1225" s="3">
        <v>0</v>
      </c>
      <c r="BR1225" s="3">
        <v>0</v>
      </c>
      <c r="BS1225" s="3">
        <v>0</v>
      </c>
      <c r="BT1225" s="3">
        <v>0</v>
      </c>
      <c r="BU1225" s="3">
        <v>0</v>
      </c>
    </row>
    <row r="1226" spans="1:73" x14ac:dyDescent="0.25">
      <c r="A1226" s="2" t="s">
        <v>143</v>
      </c>
      <c r="B1226" s="4">
        <v>71</v>
      </c>
      <c r="C1226" s="4">
        <v>1</v>
      </c>
      <c r="D1226" s="4">
        <v>1</v>
      </c>
      <c r="E1226" s="4">
        <v>1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1</v>
      </c>
      <c r="P1226" s="3">
        <v>0</v>
      </c>
      <c r="Q1226" s="3">
        <v>0</v>
      </c>
      <c r="R1226" s="3">
        <v>0</v>
      </c>
      <c r="S1226" s="3">
        <v>1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3">
        <v>0</v>
      </c>
      <c r="AV1226" s="3">
        <v>0</v>
      </c>
      <c r="AW1226" s="3">
        <v>0</v>
      </c>
      <c r="AX1226" s="3">
        <v>0</v>
      </c>
      <c r="AY1226" s="3">
        <v>0</v>
      </c>
      <c r="AZ1226" s="3">
        <v>0</v>
      </c>
      <c r="BA1226" s="3">
        <v>0</v>
      </c>
      <c r="BB1226" s="3">
        <v>0</v>
      </c>
      <c r="BC1226" s="3">
        <v>0</v>
      </c>
      <c r="BD1226" s="3">
        <v>0</v>
      </c>
      <c r="BE1226" s="3">
        <v>0</v>
      </c>
      <c r="BF1226" s="3">
        <v>0</v>
      </c>
      <c r="BG1226" s="3">
        <v>0</v>
      </c>
      <c r="BH1226" s="3">
        <v>0</v>
      </c>
      <c r="BI1226" s="3">
        <v>0</v>
      </c>
      <c r="BJ1226" s="3">
        <v>0</v>
      </c>
      <c r="BK1226" s="3">
        <v>0</v>
      </c>
      <c r="BL1226" s="3">
        <v>0</v>
      </c>
      <c r="BM1226" s="3">
        <v>0</v>
      </c>
      <c r="BN1226" s="3">
        <v>0</v>
      </c>
      <c r="BO1226" s="3">
        <v>0</v>
      </c>
      <c r="BP1226" s="3">
        <v>0</v>
      </c>
      <c r="BQ1226" s="3">
        <v>0</v>
      </c>
      <c r="BR1226" s="3">
        <v>0</v>
      </c>
      <c r="BS1226" s="3">
        <v>0</v>
      </c>
      <c r="BT1226" s="3">
        <v>1</v>
      </c>
      <c r="BU1226" s="3">
        <v>0</v>
      </c>
    </row>
    <row r="1227" spans="1:73" x14ac:dyDescent="0.25">
      <c r="A1227" s="2" t="s">
        <v>143</v>
      </c>
      <c r="B1227" s="4">
        <v>71</v>
      </c>
      <c r="C1227" s="4">
        <v>1</v>
      </c>
      <c r="D1227" s="4">
        <v>1</v>
      </c>
      <c r="E1227" s="4">
        <v>2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2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2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3">
        <v>0</v>
      </c>
      <c r="AY1227" s="3">
        <v>0</v>
      </c>
      <c r="AZ1227" s="3">
        <v>0</v>
      </c>
      <c r="BA1227" s="3">
        <v>0</v>
      </c>
      <c r="BB1227" s="3">
        <v>0</v>
      </c>
      <c r="BC1227" s="3">
        <v>0</v>
      </c>
      <c r="BD1227" s="3">
        <v>0</v>
      </c>
      <c r="BE1227" s="3">
        <v>0</v>
      </c>
      <c r="BF1227" s="3">
        <v>0</v>
      </c>
      <c r="BG1227" s="3">
        <v>0</v>
      </c>
      <c r="BH1227" s="3">
        <v>0</v>
      </c>
      <c r="BI1227" s="3">
        <v>0</v>
      </c>
      <c r="BJ1227" s="3">
        <v>0</v>
      </c>
      <c r="BK1227" s="3">
        <v>0</v>
      </c>
      <c r="BL1227" s="3">
        <v>0</v>
      </c>
      <c r="BM1227" s="3">
        <v>0</v>
      </c>
      <c r="BN1227" s="3">
        <v>0</v>
      </c>
      <c r="BO1227" s="3">
        <v>0</v>
      </c>
      <c r="BP1227" s="3">
        <v>0</v>
      </c>
      <c r="BQ1227" s="3">
        <v>0</v>
      </c>
      <c r="BR1227" s="3">
        <v>0</v>
      </c>
      <c r="BS1227" s="3">
        <v>0</v>
      </c>
      <c r="BT1227" s="3">
        <v>1</v>
      </c>
      <c r="BU1227" s="3">
        <v>0</v>
      </c>
    </row>
    <row r="1228" spans="1:73" x14ac:dyDescent="0.25">
      <c r="A1228" s="2" t="s">
        <v>143</v>
      </c>
      <c r="B1228" s="4">
        <v>71</v>
      </c>
      <c r="C1228" s="4">
        <v>1</v>
      </c>
      <c r="D1228" s="4">
        <v>1</v>
      </c>
      <c r="E1228" s="4">
        <v>3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1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  <c r="AX1228" s="3">
        <v>0</v>
      </c>
      <c r="AY1228" s="3">
        <v>0</v>
      </c>
      <c r="AZ1228" s="3">
        <v>0</v>
      </c>
      <c r="BA1228" s="3">
        <v>0</v>
      </c>
      <c r="BB1228" s="3">
        <v>0</v>
      </c>
      <c r="BC1228" s="3">
        <v>0</v>
      </c>
      <c r="BD1228" s="3">
        <v>0</v>
      </c>
      <c r="BE1228" s="3">
        <v>0</v>
      </c>
      <c r="BF1228" s="3">
        <v>0</v>
      </c>
      <c r="BG1228" s="3">
        <v>0</v>
      </c>
      <c r="BH1228" s="3">
        <v>0</v>
      </c>
      <c r="BI1228" s="3">
        <v>0</v>
      </c>
      <c r="BJ1228" s="3">
        <v>0</v>
      </c>
      <c r="BK1228" s="3">
        <v>0</v>
      </c>
      <c r="BL1228" s="3">
        <v>0</v>
      </c>
      <c r="BM1228" s="3">
        <v>0</v>
      </c>
      <c r="BN1228" s="3">
        <v>0</v>
      </c>
      <c r="BO1228" s="3">
        <v>0</v>
      </c>
      <c r="BP1228" s="3">
        <v>0</v>
      </c>
      <c r="BQ1228" s="3">
        <v>0</v>
      </c>
      <c r="BR1228" s="3">
        <v>0</v>
      </c>
      <c r="BS1228" s="3">
        <v>0</v>
      </c>
      <c r="BT1228" s="3">
        <v>0</v>
      </c>
      <c r="BU1228" s="3">
        <v>0</v>
      </c>
    </row>
    <row r="1229" spans="1:73" x14ac:dyDescent="0.25">
      <c r="A1229" s="2" t="s">
        <v>143</v>
      </c>
      <c r="B1229" s="4">
        <v>71</v>
      </c>
      <c r="C1229" s="4">
        <v>1</v>
      </c>
      <c r="D1229" s="4">
        <v>2</v>
      </c>
      <c r="E1229" s="4">
        <v>1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3">
        <v>0</v>
      </c>
      <c r="BB1229" s="3">
        <v>0</v>
      </c>
      <c r="BC1229" s="3">
        <v>0</v>
      </c>
      <c r="BD1229" s="3">
        <v>0</v>
      </c>
      <c r="BE1229" s="3">
        <v>0</v>
      </c>
      <c r="BF1229" s="3">
        <v>0</v>
      </c>
      <c r="BG1229" s="3">
        <v>0</v>
      </c>
      <c r="BH1229" s="3">
        <v>0</v>
      </c>
      <c r="BI1229" s="3">
        <v>0</v>
      </c>
      <c r="BJ1229" s="3">
        <v>0</v>
      </c>
      <c r="BK1229" s="3">
        <v>0</v>
      </c>
      <c r="BL1229" s="3">
        <v>0</v>
      </c>
      <c r="BM1229" s="3">
        <v>0</v>
      </c>
      <c r="BN1229" s="3">
        <v>0</v>
      </c>
      <c r="BO1229" s="3">
        <v>0</v>
      </c>
      <c r="BP1229" s="3">
        <v>0</v>
      </c>
      <c r="BQ1229" s="3">
        <v>0</v>
      </c>
      <c r="BR1229" s="3">
        <v>0</v>
      </c>
      <c r="BS1229" s="3">
        <v>0</v>
      </c>
      <c r="BT1229" s="3">
        <v>0</v>
      </c>
      <c r="BU1229" s="3">
        <v>0</v>
      </c>
    </row>
    <row r="1230" spans="1:73" x14ac:dyDescent="0.25">
      <c r="A1230" s="2" t="s">
        <v>143</v>
      </c>
      <c r="B1230" s="4">
        <v>71</v>
      </c>
      <c r="C1230" s="4">
        <v>1</v>
      </c>
      <c r="D1230" s="4">
        <v>2</v>
      </c>
      <c r="E1230" s="4">
        <v>2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1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  <c r="AX1230" s="3">
        <v>0</v>
      </c>
      <c r="AY1230" s="3">
        <v>0</v>
      </c>
      <c r="AZ1230" s="3">
        <v>0</v>
      </c>
      <c r="BA1230" s="3">
        <v>0</v>
      </c>
      <c r="BB1230" s="3">
        <v>0</v>
      </c>
      <c r="BC1230" s="3">
        <v>0</v>
      </c>
      <c r="BD1230" s="3">
        <v>0</v>
      </c>
      <c r="BE1230" s="3">
        <v>0</v>
      </c>
      <c r="BF1230" s="3">
        <v>0</v>
      </c>
      <c r="BG1230" s="3">
        <v>0</v>
      </c>
      <c r="BH1230" s="3">
        <v>0</v>
      </c>
      <c r="BI1230" s="3">
        <v>0</v>
      </c>
      <c r="BJ1230" s="3">
        <v>0</v>
      </c>
      <c r="BK1230" s="3">
        <v>0</v>
      </c>
      <c r="BL1230" s="3">
        <v>0</v>
      </c>
      <c r="BM1230" s="3">
        <v>0</v>
      </c>
      <c r="BN1230" s="3">
        <v>0</v>
      </c>
      <c r="BO1230" s="3">
        <v>0</v>
      </c>
      <c r="BP1230" s="3">
        <v>0</v>
      </c>
      <c r="BQ1230" s="3">
        <v>0</v>
      </c>
      <c r="BR1230" s="3">
        <v>0</v>
      </c>
      <c r="BS1230" s="3">
        <v>0</v>
      </c>
      <c r="BT1230" s="3">
        <v>0</v>
      </c>
      <c r="BU1230" s="3">
        <v>0</v>
      </c>
    </row>
    <row r="1231" spans="1:73" x14ac:dyDescent="0.25">
      <c r="A1231" s="2" t="s">
        <v>143</v>
      </c>
      <c r="B1231" s="4">
        <v>71</v>
      </c>
      <c r="C1231" s="4">
        <v>1</v>
      </c>
      <c r="D1231" s="4">
        <v>2</v>
      </c>
      <c r="E1231" s="4">
        <v>3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1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0</v>
      </c>
      <c r="BD1231" s="3">
        <v>0</v>
      </c>
      <c r="BE1231" s="3">
        <v>0</v>
      </c>
      <c r="BF1231" s="3">
        <v>0</v>
      </c>
      <c r="BG1231" s="3">
        <v>0</v>
      </c>
      <c r="BH1231" s="3">
        <v>0</v>
      </c>
      <c r="BI1231" s="3">
        <v>0</v>
      </c>
      <c r="BJ1231" s="3">
        <v>0</v>
      </c>
      <c r="BK1231" s="3">
        <v>1</v>
      </c>
      <c r="BL1231" s="3">
        <v>0</v>
      </c>
      <c r="BM1231" s="3">
        <v>0</v>
      </c>
      <c r="BN1231" s="3">
        <v>0</v>
      </c>
      <c r="BO1231" s="3">
        <v>0</v>
      </c>
      <c r="BP1231" s="3">
        <v>0</v>
      </c>
      <c r="BQ1231" s="3">
        <v>0</v>
      </c>
      <c r="BR1231" s="3">
        <v>0</v>
      </c>
      <c r="BS1231" s="3">
        <v>0</v>
      </c>
      <c r="BT1231" s="3">
        <v>0</v>
      </c>
      <c r="BU1231" s="3">
        <v>0</v>
      </c>
    </row>
    <row r="1232" spans="1:73" x14ac:dyDescent="0.25">
      <c r="A1232" s="2" t="s">
        <v>143</v>
      </c>
      <c r="B1232" s="4">
        <v>71</v>
      </c>
      <c r="C1232" s="4">
        <v>1</v>
      </c>
      <c r="D1232" s="4">
        <v>3</v>
      </c>
      <c r="E1232" s="4">
        <v>1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1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1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  <c r="AV1232" s="3">
        <v>0</v>
      </c>
      <c r="AW1232" s="3">
        <v>0</v>
      </c>
      <c r="AX1232" s="3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0</v>
      </c>
      <c r="BD1232" s="3">
        <v>0</v>
      </c>
      <c r="BE1232" s="3">
        <v>0</v>
      </c>
      <c r="BF1232" s="3">
        <v>0</v>
      </c>
      <c r="BG1232" s="3">
        <v>0</v>
      </c>
      <c r="BH1232" s="3">
        <v>0</v>
      </c>
      <c r="BI1232" s="3">
        <v>0</v>
      </c>
      <c r="BJ1232" s="3">
        <v>0</v>
      </c>
      <c r="BK1232" s="3">
        <v>0</v>
      </c>
      <c r="BL1232" s="3">
        <v>0</v>
      </c>
      <c r="BM1232" s="3">
        <v>0</v>
      </c>
      <c r="BN1232" s="3">
        <v>0</v>
      </c>
      <c r="BO1232" s="3">
        <v>0</v>
      </c>
      <c r="BP1232" s="3">
        <v>0</v>
      </c>
      <c r="BQ1232" s="3">
        <v>0</v>
      </c>
      <c r="BR1232" s="3">
        <v>0</v>
      </c>
      <c r="BS1232" s="3">
        <v>0</v>
      </c>
      <c r="BT1232" s="3">
        <v>0</v>
      </c>
      <c r="BU1232" s="3">
        <v>0</v>
      </c>
    </row>
    <row r="1233" spans="1:73" x14ac:dyDescent="0.25">
      <c r="A1233" s="2" t="s">
        <v>143</v>
      </c>
      <c r="B1233" s="4">
        <v>71</v>
      </c>
      <c r="C1233" s="4">
        <v>1</v>
      </c>
      <c r="D1233" s="4">
        <v>3</v>
      </c>
      <c r="E1233" s="4">
        <v>2</v>
      </c>
      <c r="F1233" s="3">
        <v>1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1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  <c r="AV1233" s="3">
        <v>0</v>
      </c>
      <c r="AW1233" s="3">
        <v>0</v>
      </c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0</v>
      </c>
      <c r="BD1233" s="3">
        <v>0</v>
      </c>
      <c r="BE1233" s="3">
        <v>0</v>
      </c>
      <c r="BF1233" s="3">
        <v>0</v>
      </c>
      <c r="BG1233" s="3">
        <v>0</v>
      </c>
      <c r="BH1233" s="3">
        <v>0</v>
      </c>
      <c r="BI1233" s="3">
        <v>0</v>
      </c>
      <c r="BJ1233" s="3">
        <v>0</v>
      </c>
      <c r="BK1233" s="3">
        <v>0</v>
      </c>
      <c r="BL1233" s="3">
        <v>0</v>
      </c>
      <c r="BM1233" s="3">
        <v>0</v>
      </c>
      <c r="BN1233" s="3">
        <v>0</v>
      </c>
      <c r="BO1233" s="3">
        <v>0</v>
      </c>
      <c r="BP1233" s="3">
        <v>0</v>
      </c>
      <c r="BQ1233" s="3">
        <v>0</v>
      </c>
      <c r="BR1233" s="3">
        <v>0</v>
      </c>
      <c r="BS1233" s="3">
        <v>0</v>
      </c>
      <c r="BT1233" s="3">
        <v>0</v>
      </c>
      <c r="BU1233" s="3">
        <v>0</v>
      </c>
    </row>
    <row r="1234" spans="1:73" x14ac:dyDescent="0.25">
      <c r="A1234" s="2" t="s">
        <v>143</v>
      </c>
      <c r="B1234" s="4">
        <v>71</v>
      </c>
      <c r="C1234" s="4">
        <v>1</v>
      </c>
      <c r="D1234" s="4">
        <v>3</v>
      </c>
      <c r="E1234" s="4">
        <v>3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0</v>
      </c>
      <c r="AX1234" s="3">
        <v>0</v>
      </c>
      <c r="AY1234" s="3">
        <v>0</v>
      </c>
      <c r="AZ1234" s="3">
        <v>0</v>
      </c>
      <c r="BA1234" s="3">
        <v>0</v>
      </c>
      <c r="BB1234" s="3">
        <v>0</v>
      </c>
      <c r="BC1234" s="3">
        <v>0</v>
      </c>
      <c r="BD1234" s="3">
        <v>0</v>
      </c>
      <c r="BE1234" s="3">
        <v>0</v>
      </c>
      <c r="BF1234" s="3">
        <v>0</v>
      </c>
      <c r="BG1234" s="3">
        <v>0</v>
      </c>
      <c r="BH1234" s="3">
        <v>0</v>
      </c>
      <c r="BI1234" s="3">
        <v>0</v>
      </c>
      <c r="BJ1234" s="3">
        <v>0</v>
      </c>
      <c r="BK1234" s="3">
        <v>0</v>
      </c>
      <c r="BL1234" s="3">
        <v>0</v>
      </c>
      <c r="BM1234" s="3">
        <v>0</v>
      </c>
      <c r="BN1234" s="3">
        <v>0</v>
      </c>
      <c r="BO1234" s="3">
        <v>0</v>
      </c>
      <c r="BP1234" s="3">
        <v>0</v>
      </c>
      <c r="BQ1234" s="3">
        <v>0</v>
      </c>
      <c r="BR1234" s="3">
        <v>0</v>
      </c>
      <c r="BS1234" s="3">
        <v>0</v>
      </c>
      <c r="BT1234" s="3">
        <v>0</v>
      </c>
      <c r="BU1234" s="3">
        <v>0</v>
      </c>
    </row>
    <row r="1235" spans="1:73" x14ac:dyDescent="0.25">
      <c r="A1235" s="2" t="s">
        <v>143</v>
      </c>
      <c r="B1235" s="4">
        <v>71</v>
      </c>
      <c r="C1235" s="4">
        <v>2</v>
      </c>
      <c r="D1235" s="4">
        <v>1</v>
      </c>
      <c r="E1235" s="4">
        <v>1</v>
      </c>
      <c r="F1235" s="3">
        <v>0</v>
      </c>
      <c r="G1235" s="3">
        <v>2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1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0</v>
      </c>
      <c r="AX1235" s="3">
        <v>0</v>
      </c>
      <c r="AY1235" s="3">
        <v>0</v>
      </c>
      <c r="AZ1235" s="3">
        <v>0</v>
      </c>
      <c r="BA1235" s="3">
        <v>0</v>
      </c>
      <c r="BB1235" s="3">
        <v>0</v>
      </c>
      <c r="BC1235" s="3">
        <v>0</v>
      </c>
      <c r="BD1235" s="3">
        <v>0</v>
      </c>
      <c r="BE1235" s="3">
        <v>0</v>
      </c>
      <c r="BF1235" s="3">
        <v>0</v>
      </c>
      <c r="BG1235" s="3">
        <v>0</v>
      </c>
      <c r="BH1235" s="3">
        <v>0</v>
      </c>
      <c r="BI1235" s="3">
        <v>0</v>
      </c>
      <c r="BJ1235" s="3">
        <v>0</v>
      </c>
      <c r="BK1235" s="3">
        <v>0</v>
      </c>
      <c r="BL1235" s="3">
        <v>0</v>
      </c>
      <c r="BM1235" s="3">
        <v>0</v>
      </c>
      <c r="BN1235" s="3">
        <v>0</v>
      </c>
      <c r="BO1235" s="3">
        <v>0</v>
      </c>
      <c r="BP1235" s="3">
        <v>0</v>
      </c>
      <c r="BQ1235" s="3">
        <v>0</v>
      </c>
      <c r="BR1235" s="3">
        <v>0</v>
      </c>
      <c r="BS1235" s="3">
        <v>0</v>
      </c>
      <c r="BT1235" s="3">
        <v>0</v>
      </c>
      <c r="BU1235" s="3">
        <v>0</v>
      </c>
    </row>
    <row r="1236" spans="1:73" x14ac:dyDescent="0.25">
      <c r="A1236" s="2" t="s">
        <v>143</v>
      </c>
      <c r="B1236" s="4">
        <v>71</v>
      </c>
      <c r="C1236" s="4">
        <v>2</v>
      </c>
      <c r="D1236" s="4">
        <v>1</v>
      </c>
      <c r="E1236" s="4">
        <v>2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1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1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0</v>
      </c>
      <c r="AX1236" s="3">
        <v>0</v>
      </c>
      <c r="AY1236" s="3">
        <v>0</v>
      </c>
      <c r="AZ1236" s="3">
        <v>0</v>
      </c>
      <c r="BA1236" s="3">
        <v>0</v>
      </c>
      <c r="BB1236" s="3">
        <v>0</v>
      </c>
      <c r="BC1236" s="3">
        <v>0</v>
      </c>
      <c r="BD1236" s="3">
        <v>0</v>
      </c>
      <c r="BE1236" s="3">
        <v>0</v>
      </c>
      <c r="BF1236" s="3">
        <v>0</v>
      </c>
      <c r="BG1236" s="3">
        <v>0</v>
      </c>
      <c r="BH1236" s="3">
        <v>0</v>
      </c>
      <c r="BI1236" s="3">
        <v>0</v>
      </c>
      <c r="BJ1236" s="3">
        <v>0</v>
      </c>
      <c r="BK1236" s="3">
        <v>0</v>
      </c>
      <c r="BL1236" s="3">
        <v>1</v>
      </c>
      <c r="BM1236" s="3">
        <v>0</v>
      </c>
      <c r="BN1236" s="3">
        <v>0</v>
      </c>
      <c r="BO1236" s="3">
        <v>0</v>
      </c>
      <c r="BP1236" s="3">
        <v>0</v>
      </c>
      <c r="BQ1236" s="3">
        <v>0</v>
      </c>
      <c r="BR1236" s="3">
        <v>0</v>
      </c>
      <c r="BS1236" s="3">
        <v>0</v>
      </c>
      <c r="BT1236" s="3">
        <v>0</v>
      </c>
      <c r="BU1236" s="3">
        <v>0</v>
      </c>
    </row>
    <row r="1237" spans="1:73" x14ac:dyDescent="0.25">
      <c r="A1237" s="2" t="s">
        <v>143</v>
      </c>
      <c r="B1237" s="4">
        <v>71</v>
      </c>
      <c r="C1237" s="4">
        <v>2</v>
      </c>
      <c r="D1237" s="4">
        <v>1</v>
      </c>
      <c r="E1237" s="4">
        <v>3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0</v>
      </c>
      <c r="AZ1237" s="3">
        <v>0</v>
      </c>
      <c r="BA1237" s="3">
        <v>0</v>
      </c>
      <c r="BB1237" s="3">
        <v>0</v>
      </c>
      <c r="BC1237" s="3">
        <v>0</v>
      </c>
      <c r="BD1237" s="3">
        <v>0</v>
      </c>
      <c r="BE1237" s="3">
        <v>0</v>
      </c>
      <c r="BF1237" s="3">
        <v>0</v>
      </c>
      <c r="BG1237" s="3">
        <v>0</v>
      </c>
      <c r="BH1237" s="3">
        <v>0</v>
      </c>
      <c r="BI1237" s="3">
        <v>0</v>
      </c>
      <c r="BJ1237" s="3">
        <v>0</v>
      </c>
      <c r="BK1237" s="3">
        <v>0</v>
      </c>
      <c r="BL1237" s="3">
        <v>0</v>
      </c>
      <c r="BM1237" s="3">
        <v>0</v>
      </c>
      <c r="BN1237" s="3">
        <v>0</v>
      </c>
      <c r="BO1237" s="3">
        <v>0</v>
      </c>
      <c r="BP1237" s="3">
        <v>0</v>
      </c>
      <c r="BQ1237" s="3">
        <v>0</v>
      </c>
      <c r="BR1237" s="3">
        <v>0</v>
      </c>
      <c r="BS1237" s="3">
        <v>0</v>
      </c>
      <c r="BT1237" s="3">
        <v>0</v>
      </c>
      <c r="BU1237" s="3">
        <v>0</v>
      </c>
    </row>
    <row r="1238" spans="1:73" x14ac:dyDescent="0.25">
      <c r="A1238" s="2" t="s">
        <v>143</v>
      </c>
      <c r="B1238" s="4">
        <v>71</v>
      </c>
      <c r="C1238" s="4">
        <v>2</v>
      </c>
      <c r="D1238" s="4">
        <v>2</v>
      </c>
      <c r="E1238" s="4">
        <v>1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2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3">
        <v>0</v>
      </c>
      <c r="AW1238" s="3">
        <v>0</v>
      </c>
      <c r="AX1238" s="3">
        <v>0</v>
      </c>
      <c r="AY1238" s="3">
        <v>0</v>
      </c>
      <c r="AZ1238" s="3">
        <v>0</v>
      </c>
      <c r="BA1238" s="3">
        <v>0</v>
      </c>
      <c r="BB1238" s="3">
        <v>0</v>
      </c>
      <c r="BC1238" s="3">
        <v>0</v>
      </c>
      <c r="BD1238" s="3">
        <v>0</v>
      </c>
      <c r="BE1238" s="3">
        <v>0</v>
      </c>
      <c r="BF1238" s="3">
        <v>0</v>
      </c>
      <c r="BG1238" s="3">
        <v>0</v>
      </c>
      <c r="BH1238" s="3">
        <v>0</v>
      </c>
      <c r="BI1238" s="3">
        <v>0</v>
      </c>
      <c r="BJ1238" s="3">
        <v>0</v>
      </c>
      <c r="BK1238" s="3">
        <v>0</v>
      </c>
      <c r="BL1238" s="3">
        <v>0</v>
      </c>
      <c r="BM1238" s="3">
        <v>0</v>
      </c>
      <c r="BN1238" s="3">
        <v>0</v>
      </c>
      <c r="BO1238" s="3">
        <v>0</v>
      </c>
      <c r="BP1238" s="3">
        <v>0</v>
      </c>
      <c r="BQ1238" s="3">
        <v>0</v>
      </c>
      <c r="BR1238" s="3">
        <v>0</v>
      </c>
      <c r="BS1238" s="3">
        <v>0</v>
      </c>
      <c r="BT1238" s="3">
        <v>0</v>
      </c>
      <c r="BU1238" s="3">
        <v>0</v>
      </c>
    </row>
    <row r="1239" spans="1:73" x14ac:dyDescent="0.25">
      <c r="A1239" s="2" t="s">
        <v>143</v>
      </c>
      <c r="B1239" s="4">
        <v>71</v>
      </c>
      <c r="C1239" s="4">
        <v>2</v>
      </c>
      <c r="D1239" s="4">
        <v>2</v>
      </c>
      <c r="E1239" s="4">
        <v>2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1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0</v>
      </c>
      <c r="BD1239" s="3">
        <v>0</v>
      </c>
      <c r="BE1239" s="3">
        <v>0</v>
      </c>
      <c r="BF1239" s="3">
        <v>0</v>
      </c>
      <c r="BG1239" s="3">
        <v>0</v>
      </c>
      <c r="BH1239" s="3">
        <v>0</v>
      </c>
      <c r="BI1239" s="3">
        <v>0</v>
      </c>
      <c r="BJ1239" s="3">
        <v>0</v>
      </c>
      <c r="BK1239" s="3">
        <v>0</v>
      </c>
      <c r="BL1239" s="3">
        <v>0</v>
      </c>
      <c r="BM1239" s="3">
        <v>0</v>
      </c>
      <c r="BN1239" s="3">
        <v>0</v>
      </c>
      <c r="BO1239" s="3">
        <v>0</v>
      </c>
      <c r="BP1239" s="3">
        <v>0</v>
      </c>
      <c r="BQ1239" s="3">
        <v>0</v>
      </c>
      <c r="BR1239" s="3">
        <v>0</v>
      </c>
      <c r="BS1239" s="3">
        <v>0</v>
      </c>
      <c r="BT1239" s="3">
        <v>0</v>
      </c>
      <c r="BU1239" s="3">
        <v>0</v>
      </c>
    </row>
    <row r="1240" spans="1:73" x14ac:dyDescent="0.25">
      <c r="A1240" s="2" t="s">
        <v>143</v>
      </c>
      <c r="B1240" s="4">
        <v>71</v>
      </c>
      <c r="C1240" s="4">
        <v>2</v>
      </c>
      <c r="D1240" s="4">
        <v>2</v>
      </c>
      <c r="E1240" s="4">
        <v>3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1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3">
        <v>0</v>
      </c>
      <c r="AW1240" s="3">
        <v>0</v>
      </c>
      <c r="AX1240" s="3">
        <v>0</v>
      </c>
      <c r="AY1240" s="3">
        <v>0</v>
      </c>
      <c r="AZ1240" s="3">
        <v>0</v>
      </c>
      <c r="BA1240" s="3">
        <v>0</v>
      </c>
      <c r="BB1240" s="3">
        <v>0</v>
      </c>
      <c r="BC1240" s="3">
        <v>0</v>
      </c>
      <c r="BD1240" s="3">
        <v>0</v>
      </c>
      <c r="BE1240" s="3">
        <v>0</v>
      </c>
      <c r="BF1240" s="3">
        <v>0</v>
      </c>
      <c r="BG1240" s="3">
        <v>0</v>
      </c>
      <c r="BH1240" s="3">
        <v>0</v>
      </c>
      <c r="BI1240" s="3">
        <v>0</v>
      </c>
      <c r="BJ1240" s="3">
        <v>0</v>
      </c>
      <c r="BK1240" s="3">
        <v>0</v>
      </c>
      <c r="BL1240" s="3">
        <v>0</v>
      </c>
      <c r="BM1240" s="3">
        <v>0</v>
      </c>
      <c r="BN1240" s="3">
        <v>0</v>
      </c>
      <c r="BO1240" s="3">
        <v>0</v>
      </c>
      <c r="BP1240" s="3">
        <v>0</v>
      </c>
      <c r="BQ1240" s="3">
        <v>0</v>
      </c>
      <c r="BR1240" s="3">
        <v>0</v>
      </c>
      <c r="BS1240" s="3">
        <v>0</v>
      </c>
      <c r="BT1240" s="3">
        <v>0</v>
      </c>
      <c r="BU1240" s="3">
        <v>0</v>
      </c>
    </row>
    <row r="1241" spans="1:73" x14ac:dyDescent="0.25">
      <c r="A1241" s="2" t="s">
        <v>143</v>
      </c>
      <c r="B1241" s="4">
        <v>71</v>
      </c>
      <c r="C1241" s="4">
        <v>2</v>
      </c>
      <c r="D1241" s="4">
        <v>3</v>
      </c>
      <c r="E1241" s="4">
        <v>1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1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3">
        <v>1</v>
      </c>
      <c r="AU1241" s="3">
        <v>0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  <c r="BA1241" s="3">
        <v>0</v>
      </c>
      <c r="BB1241" s="3">
        <v>0</v>
      </c>
      <c r="BC1241" s="3">
        <v>0</v>
      </c>
      <c r="BD1241" s="3">
        <v>0</v>
      </c>
      <c r="BE1241" s="3">
        <v>0</v>
      </c>
      <c r="BF1241" s="3">
        <v>0</v>
      </c>
      <c r="BG1241" s="3">
        <v>0</v>
      </c>
      <c r="BH1241" s="3">
        <v>0</v>
      </c>
      <c r="BI1241" s="3">
        <v>0</v>
      </c>
      <c r="BJ1241" s="3">
        <v>0</v>
      </c>
      <c r="BK1241" s="3">
        <v>0</v>
      </c>
      <c r="BL1241" s="3">
        <v>0</v>
      </c>
      <c r="BM1241" s="3">
        <v>0</v>
      </c>
      <c r="BN1241" s="3">
        <v>0</v>
      </c>
      <c r="BO1241" s="3">
        <v>0</v>
      </c>
      <c r="BP1241" s="3">
        <v>0</v>
      </c>
      <c r="BQ1241" s="3">
        <v>0</v>
      </c>
      <c r="BR1241" s="3">
        <v>0</v>
      </c>
      <c r="BS1241" s="3">
        <v>0</v>
      </c>
      <c r="BT1241" s="3">
        <v>0</v>
      </c>
      <c r="BU1241" s="3">
        <v>0</v>
      </c>
    </row>
    <row r="1242" spans="1:73" x14ac:dyDescent="0.25">
      <c r="A1242" s="2" t="s">
        <v>143</v>
      </c>
      <c r="B1242" s="4">
        <v>71</v>
      </c>
      <c r="C1242" s="4">
        <v>2</v>
      </c>
      <c r="D1242" s="4">
        <v>3</v>
      </c>
      <c r="E1242" s="4">
        <v>2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0</v>
      </c>
      <c r="AX1242" s="3">
        <v>0</v>
      </c>
      <c r="AY1242" s="3">
        <v>0</v>
      </c>
      <c r="AZ1242" s="3">
        <v>0</v>
      </c>
      <c r="BA1242" s="3">
        <v>0</v>
      </c>
      <c r="BB1242" s="3">
        <v>0</v>
      </c>
      <c r="BC1242" s="3">
        <v>0</v>
      </c>
      <c r="BD1242" s="3">
        <v>0</v>
      </c>
      <c r="BE1242" s="3">
        <v>0</v>
      </c>
      <c r="BF1242" s="3">
        <v>0</v>
      </c>
      <c r="BG1242" s="3">
        <v>0</v>
      </c>
      <c r="BH1242" s="3">
        <v>0</v>
      </c>
      <c r="BI1242" s="3">
        <v>0</v>
      </c>
      <c r="BJ1242" s="3">
        <v>0</v>
      </c>
      <c r="BK1242" s="3">
        <v>0</v>
      </c>
      <c r="BL1242" s="3">
        <v>0</v>
      </c>
      <c r="BM1242" s="3">
        <v>0</v>
      </c>
      <c r="BN1242" s="3">
        <v>0</v>
      </c>
      <c r="BO1242" s="3">
        <v>0</v>
      </c>
      <c r="BP1242" s="3">
        <v>0</v>
      </c>
      <c r="BQ1242" s="3">
        <v>0</v>
      </c>
      <c r="BR1242" s="3">
        <v>0</v>
      </c>
      <c r="BS1242" s="3">
        <v>0</v>
      </c>
      <c r="BT1242" s="3">
        <v>2</v>
      </c>
      <c r="BU1242" s="3">
        <v>0</v>
      </c>
    </row>
    <row r="1243" spans="1:73" x14ac:dyDescent="0.25">
      <c r="A1243" s="2" t="s">
        <v>143</v>
      </c>
      <c r="B1243" s="4">
        <v>71</v>
      </c>
      <c r="C1243" s="4">
        <v>2</v>
      </c>
      <c r="D1243" s="4">
        <v>3</v>
      </c>
      <c r="E1243" s="4">
        <v>3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1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3">
        <v>0</v>
      </c>
      <c r="AV1243" s="3">
        <v>0</v>
      </c>
      <c r="AW1243" s="3">
        <v>0</v>
      </c>
      <c r="AX1243" s="3">
        <v>0</v>
      </c>
      <c r="AY1243" s="3">
        <v>0</v>
      </c>
      <c r="AZ1243" s="3">
        <v>0</v>
      </c>
      <c r="BA1243" s="3">
        <v>0</v>
      </c>
      <c r="BB1243" s="3">
        <v>0</v>
      </c>
      <c r="BC1243" s="3">
        <v>0</v>
      </c>
      <c r="BD1243" s="3">
        <v>0</v>
      </c>
      <c r="BE1243" s="3">
        <v>0</v>
      </c>
      <c r="BF1243" s="3">
        <v>0</v>
      </c>
      <c r="BG1243" s="3">
        <v>0</v>
      </c>
      <c r="BH1243" s="3">
        <v>0</v>
      </c>
      <c r="BI1243" s="3">
        <v>0</v>
      </c>
      <c r="BJ1243" s="3">
        <v>0</v>
      </c>
      <c r="BK1243" s="3">
        <v>0</v>
      </c>
      <c r="BL1243" s="3">
        <v>0</v>
      </c>
      <c r="BM1243" s="3">
        <v>0</v>
      </c>
      <c r="BN1243" s="3">
        <v>0</v>
      </c>
      <c r="BO1243" s="3">
        <v>0</v>
      </c>
      <c r="BP1243" s="3">
        <v>0</v>
      </c>
      <c r="BQ1243" s="3">
        <v>0</v>
      </c>
      <c r="BR1243" s="3">
        <v>0</v>
      </c>
      <c r="BS1243" s="3">
        <v>0</v>
      </c>
      <c r="BT1243" s="3">
        <v>0</v>
      </c>
      <c r="BU1243" s="3">
        <v>0</v>
      </c>
    </row>
    <row r="1244" spans="1:73" x14ac:dyDescent="0.25">
      <c r="A1244" s="2" t="s">
        <v>144</v>
      </c>
      <c r="B1244" s="4">
        <v>72</v>
      </c>
      <c r="C1244" s="4">
        <v>1</v>
      </c>
      <c r="D1244" s="4">
        <v>1</v>
      </c>
      <c r="E1244" s="4">
        <v>1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2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3">
        <v>0</v>
      </c>
      <c r="AV1244" s="3">
        <v>0</v>
      </c>
      <c r="AW1244" s="3">
        <v>0</v>
      </c>
      <c r="AX1244" s="3">
        <v>0</v>
      </c>
      <c r="AY1244" s="3">
        <v>0</v>
      </c>
      <c r="AZ1244" s="3">
        <v>0</v>
      </c>
      <c r="BA1244" s="3">
        <v>0</v>
      </c>
      <c r="BB1244" s="3">
        <v>0</v>
      </c>
      <c r="BC1244" s="3">
        <v>0</v>
      </c>
      <c r="BD1244" s="3">
        <v>0</v>
      </c>
      <c r="BE1244" s="3">
        <v>0</v>
      </c>
      <c r="BF1244" s="3">
        <v>0</v>
      </c>
      <c r="BG1244" s="3">
        <v>0</v>
      </c>
      <c r="BH1244" s="3">
        <v>0</v>
      </c>
      <c r="BI1244" s="3">
        <v>0</v>
      </c>
      <c r="BJ1244" s="3">
        <v>0</v>
      </c>
      <c r="BK1244" s="3">
        <v>0</v>
      </c>
      <c r="BL1244" s="3">
        <v>0</v>
      </c>
      <c r="BM1244" s="3">
        <v>0</v>
      </c>
      <c r="BN1244" s="3">
        <v>0</v>
      </c>
      <c r="BO1244" s="3">
        <v>0</v>
      </c>
      <c r="BP1244" s="3">
        <v>0</v>
      </c>
      <c r="BQ1244" s="3">
        <v>0</v>
      </c>
      <c r="BR1244" s="3">
        <v>0</v>
      </c>
      <c r="BS1244" s="3">
        <v>0</v>
      </c>
      <c r="BT1244" s="3">
        <v>1</v>
      </c>
      <c r="BU1244" s="3">
        <v>0</v>
      </c>
    </row>
    <row r="1245" spans="1:73" x14ac:dyDescent="0.25">
      <c r="A1245" s="2" t="s">
        <v>144</v>
      </c>
      <c r="B1245" s="4">
        <v>72</v>
      </c>
      <c r="C1245" s="4">
        <v>1</v>
      </c>
      <c r="D1245" s="4">
        <v>1</v>
      </c>
      <c r="E1245" s="4">
        <v>2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1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1</v>
      </c>
      <c r="AF1245" s="3">
        <v>0</v>
      </c>
      <c r="AG1245" s="3">
        <v>0</v>
      </c>
      <c r="AH1245" s="3">
        <v>0</v>
      </c>
      <c r="AI1245" s="3">
        <v>0</v>
      </c>
      <c r="AJ1245" s="3">
        <v>2</v>
      </c>
      <c r="AK1245" s="3">
        <v>0</v>
      </c>
      <c r="AL1245" s="3">
        <v>0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0</v>
      </c>
      <c r="AX1245" s="3">
        <v>0</v>
      </c>
      <c r="AY1245" s="3">
        <v>0</v>
      </c>
      <c r="AZ1245" s="3">
        <v>0</v>
      </c>
      <c r="BA1245" s="3">
        <v>0</v>
      </c>
      <c r="BB1245" s="3">
        <v>0</v>
      </c>
      <c r="BC1245" s="3">
        <v>0</v>
      </c>
      <c r="BD1245" s="3">
        <v>0</v>
      </c>
      <c r="BE1245" s="3">
        <v>0</v>
      </c>
      <c r="BF1245" s="3">
        <v>0</v>
      </c>
      <c r="BG1245" s="3">
        <v>0</v>
      </c>
      <c r="BH1245" s="3">
        <v>0</v>
      </c>
      <c r="BI1245" s="3">
        <v>0</v>
      </c>
      <c r="BJ1245" s="3">
        <v>0</v>
      </c>
      <c r="BK1245" s="3">
        <v>0</v>
      </c>
      <c r="BL1245" s="3">
        <v>0</v>
      </c>
      <c r="BM1245" s="3">
        <v>0</v>
      </c>
      <c r="BN1245" s="3">
        <v>0</v>
      </c>
      <c r="BO1245" s="3">
        <v>0</v>
      </c>
      <c r="BP1245" s="3">
        <v>0</v>
      </c>
      <c r="BQ1245" s="3">
        <v>0</v>
      </c>
      <c r="BR1245" s="3">
        <v>0</v>
      </c>
      <c r="BS1245" s="3">
        <v>0</v>
      </c>
      <c r="BT1245" s="3">
        <v>1</v>
      </c>
      <c r="BU1245" s="3">
        <v>0</v>
      </c>
    </row>
    <row r="1246" spans="1:73" x14ac:dyDescent="0.25">
      <c r="A1246" s="2" t="s">
        <v>144</v>
      </c>
      <c r="B1246" s="4">
        <v>72</v>
      </c>
      <c r="C1246" s="4">
        <v>1</v>
      </c>
      <c r="D1246" s="4">
        <v>1</v>
      </c>
      <c r="E1246" s="4">
        <v>3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1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3">
        <v>1</v>
      </c>
      <c r="AM1246" s="3">
        <v>0</v>
      </c>
      <c r="AN1246" s="3">
        <v>0</v>
      </c>
      <c r="AO1246" s="3">
        <v>0</v>
      </c>
      <c r="AP1246" s="3">
        <v>0</v>
      </c>
      <c r="AQ1246" s="3">
        <v>0</v>
      </c>
      <c r="AR1246" s="3">
        <v>0</v>
      </c>
      <c r="AS1246" s="3">
        <v>0</v>
      </c>
      <c r="AT1246" s="3">
        <v>0</v>
      </c>
      <c r="AU1246" s="3">
        <v>0</v>
      </c>
      <c r="AV1246" s="3">
        <v>0</v>
      </c>
      <c r="AW1246" s="3">
        <v>0</v>
      </c>
      <c r="AX1246" s="3">
        <v>0</v>
      </c>
      <c r="AY1246" s="3">
        <v>0</v>
      </c>
      <c r="AZ1246" s="3">
        <v>0</v>
      </c>
      <c r="BA1246" s="3">
        <v>0</v>
      </c>
      <c r="BB1246" s="3">
        <v>0</v>
      </c>
      <c r="BC1246" s="3">
        <v>0</v>
      </c>
      <c r="BD1246" s="3">
        <v>0</v>
      </c>
      <c r="BE1246" s="3">
        <v>0</v>
      </c>
      <c r="BF1246" s="3">
        <v>0</v>
      </c>
      <c r="BG1246" s="3">
        <v>0</v>
      </c>
      <c r="BH1246" s="3">
        <v>0</v>
      </c>
      <c r="BI1246" s="3">
        <v>0</v>
      </c>
      <c r="BJ1246" s="3">
        <v>0</v>
      </c>
      <c r="BK1246" s="3">
        <v>0</v>
      </c>
      <c r="BL1246" s="3">
        <v>0</v>
      </c>
      <c r="BM1246" s="3">
        <v>0</v>
      </c>
      <c r="BN1246" s="3">
        <v>0</v>
      </c>
      <c r="BO1246" s="3">
        <v>0</v>
      </c>
      <c r="BP1246" s="3">
        <v>0</v>
      </c>
      <c r="BQ1246" s="3">
        <v>0</v>
      </c>
      <c r="BR1246" s="3">
        <v>0</v>
      </c>
      <c r="BS1246" s="3">
        <v>0</v>
      </c>
      <c r="BT1246" s="3">
        <v>0</v>
      </c>
      <c r="BU1246" s="3">
        <v>0</v>
      </c>
    </row>
    <row r="1247" spans="1:73" x14ac:dyDescent="0.25">
      <c r="A1247" s="2" t="s">
        <v>144</v>
      </c>
      <c r="B1247" s="4">
        <v>72</v>
      </c>
      <c r="C1247" s="4">
        <v>1</v>
      </c>
      <c r="D1247" s="4">
        <v>2</v>
      </c>
      <c r="E1247" s="4">
        <v>1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3">
        <v>0</v>
      </c>
      <c r="AW1247" s="3">
        <v>0</v>
      </c>
      <c r="AX1247" s="3">
        <v>0</v>
      </c>
      <c r="AY1247" s="3">
        <v>0</v>
      </c>
      <c r="AZ1247" s="3">
        <v>0</v>
      </c>
      <c r="BA1247" s="3">
        <v>0</v>
      </c>
      <c r="BB1247" s="3">
        <v>0</v>
      </c>
      <c r="BC1247" s="3">
        <v>0</v>
      </c>
      <c r="BD1247" s="3">
        <v>0</v>
      </c>
      <c r="BE1247" s="3">
        <v>0</v>
      </c>
      <c r="BF1247" s="3">
        <v>0</v>
      </c>
      <c r="BG1247" s="3">
        <v>0</v>
      </c>
      <c r="BH1247" s="3">
        <v>0</v>
      </c>
      <c r="BI1247" s="3">
        <v>0</v>
      </c>
      <c r="BJ1247" s="3">
        <v>0</v>
      </c>
      <c r="BK1247" s="3">
        <v>0</v>
      </c>
      <c r="BL1247" s="3">
        <v>0</v>
      </c>
      <c r="BM1247" s="3">
        <v>0</v>
      </c>
      <c r="BN1247" s="3">
        <v>0</v>
      </c>
      <c r="BO1247" s="3">
        <v>0</v>
      </c>
      <c r="BP1247" s="3">
        <v>0</v>
      </c>
      <c r="BQ1247" s="3">
        <v>0</v>
      </c>
      <c r="BR1247" s="3">
        <v>0</v>
      </c>
      <c r="BS1247" s="3">
        <v>0</v>
      </c>
      <c r="BT1247" s="3">
        <v>0</v>
      </c>
      <c r="BU1247" s="3">
        <v>0</v>
      </c>
    </row>
    <row r="1248" spans="1:73" x14ac:dyDescent="0.25">
      <c r="A1248" s="2" t="s">
        <v>144</v>
      </c>
      <c r="B1248" s="4">
        <v>72</v>
      </c>
      <c r="C1248" s="4">
        <v>1</v>
      </c>
      <c r="D1248" s="4">
        <v>2</v>
      </c>
      <c r="E1248" s="4">
        <v>2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1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0</v>
      </c>
      <c r="AW1248" s="3">
        <v>0</v>
      </c>
      <c r="AX1248" s="3">
        <v>0</v>
      </c>
      <c r="AY1248" s="3">
        <v>0</v>
      </c>
      <c r="AZ1248" s="3">
        <v>0</v>
      </c>
      <c r="BA1248" s="3">
        <v>0</v>
      </c>
      <c r="BB1248" s="3">
        <v>0</v>
      </c>
      <c r="BC1248" s="3">
        <v>0</v>
      </c>
      <c r="BD1248" s="3">
        <v>0</v>
      </c>
      <c r="BE1248" s="3">
        <v>0</v>
      </c>
      <c r="BF1248" s="3">
        <v>0</v>
      </c>
      <c r="BG1248" s="3">
        <v>0</v>
      </c>
      <c r="BH1248" s="3">
        <v>0</v>
      </c>
      <c r="BI1248" s="3">
        <v>0</v>
      </c>
      <c r="BJ1248" s="3">
        <v>0</v>
      </c>
      <c r="BK1248" s="3">
        <v>0</v>
      </c>
      <c r="BL1248" s="3">
        <v>0</v>
      </c>
      <c r="BM1248" s="3">
        <v>0</v>
      </c>
      <c r="BN1248" s="3">
        <v>0</v>
      </c>
      <c r="BO1248" s="3">
        <v>0</v>
      </c>
      <c r="BP1248" s="3">
        <v>0</v>
      </c>
      <c r="BQ1248" s="3">
        <v>0</v>
      </c>
      <c r="BR1248" s="3">
        <v>0</v>
      </c>
      <c r="BS1248" s="3">
        <v>0</v>
      </c>
      <c r="BT1248" s="3">
        <v>0</v>
      </c>
      <c r="BU1248" s="3">
        <v>0</v>
      </c>
    </row>
    <row r="1249" spans="1:73" x14ac:dyDescent="0.25">
      <c r="A1249" s="2" t="s">
        <v>144</v>
      </c>
      <c r="B1249" s="4">
        <v>72</v>
      </c>
      <c r="C1249" s="4">
        <v>1</v>
      </c>
      <c r="D1249" s="4">
        <v>2</v>
      </c>
      <c r="E1249" s="4">
        <v>3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0</v>
      </c>
      <c r="AX1249" s="3">
        <v>0</v>
      </c>
      <c r="AY1249" s="3">
        <v>0</v>
      </c>
      <c r="AZ1249" s="3">
        <v>0</v>
      </c>
      <c r="BA1249" s="3">
        <v>0</v>
      </c>
      <c r="BB1249" s="3">
        <v>0</v>
      </c>
      <c r="BC1249" s="3">
        <v>0</v>
      </c>
      <c r="BD1249" s="3">
        <v>0</v>
      </c>
      <c r="BE1249" s="3">
        <v>0</v>
      </c>
      <c r="BF1249" s="3">
        <v>0</v>
      </c>
      <c r="BG1249" s="3">
        <v>0</v>
      </c>
      <c r="BH1249" s="3">
        <v>0</v>
      </c>
      <c r="BI1249" s="3">
        <v>0</v>
      </c>
      <c r="BJ1249" s="3">
        <v>0</v>
      </c>
      <c r="BK1249" s="3">
        <v>0</v>
      </c>
      <c r="BL1249" s="3">
        <v>0</v>
      </c>
      <c r="BM1249" s="3">
        <v>0</v>
      </c>
      <c r="BN1249" s="3">
        <v>0</v>
      </c>
      <c r="BO1249" s="3">
        <v>0</v>
      </c>
      <c r="BP1249" s="3">
        <v>0</v>
      </c>
      <c r="BQ1249" s="3">
        <v>0</v>
      </c>
      <c r="BR1249" s="3">
        <v>0</v>
      </c>
      <c r="BS1249" s="3">
        <v>0</v>
      </c>
      <c r="BT1249" s="3">
        <v>0</v>
      </c>
      <c r="BU1249" s="3">
        <v>0</v>
      </c>
    </row>
    <row r="1250" spans="1:73" x14ac:dyDescent="0.25">
      <c r="A1250" s="2" t="s">
        <v>144</v>
      </c>
      <c r="B1250" s="4">
        <v>72</v>
      </c>
      <c r="C1250" s="4">
        <v>1</v>
      </c>
      <c r="D1250" s="4">
        <v>3</v>
      </c>
      <c r="E1250" s="4">
        <v>1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1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0</v>
      </c>
      <c r="AX1250" s="3">
        <v>0</v>
      </c>
      <c r="AY1250" s="3">
        <v>0</v>
      </c>
      <c r="AZ1250" s="3">
        <v>0</v>
      </c>
      <c r="BA1250" s="3">
        <v>0</v>
      </c>
      <c r="BB1250" s="3">
        <v>0</v>
      </c>
      <c r="BC1250" s="3">
        <v>0</v>
      </c>
      <c r="BD1250" s="3">
        <v>0</v>
      </c>
      <c r="BE1250" s="3">
        <v>0</v>
      </c>
      <c r="BF1250" s="3">
        <v>0</v>
      </c>
      <c r="BG1250" s="3">
        <v>0</v>
      </c>
      <c r="BH1250" s="3">
        <v>0</v>
      </c>
      <c r="BI1250" s="3">
        <v>0</v>
      </c>
      <c r="BJ1250" s="3">
        <v>0</v>
      </c>
      <c r="BK1250" s="3">
        <v>1</v>
      </c>
      <c r="BL1250" s="3">
        <v>0</v>
      </c>
      <c r="BM1250" s="3">
        <v>0</v>
      </c>
      <c r="BN1250" s="3">
        <v>0</v>
      </c>
      <c r="BO1250" s="3">
        <v>0</v>
      </c>
      <c r="BP1250" s="3">
        <v>0</v>
      </c>
      <c r="BQ1250" s="3">
        <v>0</v>
      </c>
      <c r="BR1250" s="3">
        <v>0</v>
      </c>
      <c r="BS1250" s="3">
        <v>0</v>
      </c>
      <c r="BT1250" s="3">
        <v>0</v>
      </c>
      <c r="BU1250" s="3">
        <v>0</v>
      </c>
    </row>
    <row r="1251" spans="1:73" x14ac:dyDescent="0.25">
      <c r="A1251" s="2" t="s">
        <v>144</v>
      </c>
      <c r="B1251" s="4">
        <v>72</v>
      </c>
      <c r="C1251" s="4">
        <v>1</v>
      </c>
      <c r="D1251" s="4">
        <v>3</v>
      </c>
      <c r="E1251" s="4">
        <v>2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0</v>
      </c>
      <c r="AX1251" s="3">
        <v>0</v>
      </c>
      <c r="AY1251" s="3">
        <v>0</v>
      </c>
      <c r="AZ1251" s="3">
        <v>0</v>
      </c>
      <c r="BA1251" s="3">
        <v>0</v>
      </c>
      <c r="BB1251" s="3">
        <v>0</v>
      </c>
      <c r="BC1251" s="3">
        <v>0</v>
      </c>
      <c r="BD1251" s="3">
        <v>0</v>
      </c>
      <c r="BE1251" s="3">
        <v>0</v>
      </c>
      <c r="BF1251" s="3">
        <v>0</v>
      </c>
      <c r="BG1251" s="3">
        <v>0</v>
      </c>
      <c r="BH1251" s="3">
        <v>0</v>
      </c>
      <c r="BI1251" s="3">
        <v>0</v>
      </c>
      <c r="BJ1251" s="3">
        <v>0</v>
      </c>
      <c r="BK1251" s="3">
        <v>0</v>
      </c>
      <c r="BL1251" s="3">
        <v>0</v>
      </c>
      <c r="BM1251" s="3">
        <v>0</v>
      </c>
      <c r="BN1251" s="3">
        <v>0</v>
      </c>
      <c r="BO1251" s="3">
        <v>0</v>
      </c>
      <c r="BP1251" s="3">
        <v>0</v>
      </c>
      <c r="BQ1251" s="3">
        <v>0</v>
      </c>
      <c r="BR1251" s="3">
        <v>0</v>
      </c>
      <c r="BS1251" s="3">
        <v>0</v>
      </c>
      <c r="BT1251" s="3">
        <v>0</v>
      </c>
      <c r="BU1251" s="3">
        <v>0</v>
      </c>
    </row>
    <row r="1252" spans="1:73" x14ac:dyDescent="0.25">
      <c r="A1252" s="2" t="s">
        <v>144</v>
      </c>
      <c r="B1252" s="4">
        <v>72</v>
      </c>
      <c r="C1252" s="4">
        <v>1</v>
      </c>
      <c r="D1252" s="4">
        <v>3</v>
      </c>
      <c r="E1252" s="4">
        <v>3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0</v>
      </c>
      <c r="AX1252" s="3">
        <v>0</v>
      </c>
      <c r="AY1252" s="3">
        <v>0</v>
      </c>
      <c r="AZ1252" s="3">
        <v>0</v>
      </c>
      <c r="BA1252" s="3">
        <v>1</v>
      </c>
      <c r="BB1252" s="3">
        <v>0</v>
      </c>
      <c r="BC1252" s="3">
        <v>0</v>
      </c>
      <c r="BD1252" s="3">
        <v>0</v>
      </c>
      <c r="BE1252" s="3">
        <v>0</v>
      </c>
      <c r="BF1252" s="3">
        <v>0</v>
      </c>
      <c r="BG1252" s="3">
        <v>0</v>
      </c>
      <c r="BH1252" s="3">
        <v>0</v>
      </c>
      <c r="BI1252" s="3">
        <v>0</v>
      </c>
      <c r="BJ1252" s="3">
        <v>0</v>
      </c>
      <c r="BK1252" s="3">
        <v>0</v>
      </c>
      <c r="BL1252" s="3">
        <v>0</v>
      </c>
      <c r="BM1252" s="3">
        <v>0</v>
      </c>
      <c r="BN1252" s="3">
        <v>0</v>
      </c>
      <c r="BO1252" s="3">
        <v>0</v>
      </c>
      <c r="BP1252" s="3">
        <v>0</v>
      </c>
      <c r="BQ1252" s="3">
        <v>0</v>
      </c>
      <c r="BR1252" s="3">
        <v>0</v>
      </c>
      <c r="BS1252" s="3">
        <v>0</v>
      </c>
      <c r="BT1252" s="3">
        <v>0</v>
      </c>
      <c r="BU1252" s="3">
        <v>0</v>
      </c>
    </row>
    <row r="1253" spans="1:73" x14ac:dyDescent="0.25">
      <c r="A1253" s="2" t="s">
        <v>144</v>
      </c>
      <c r="B1253" s="4">
        <v>72</v>
      </c>
      <c r="C1253" s="4">
        <v>2</v>
      </c>
      <c r="D1253" s="4">
        <v>1</v>
      </c>
      <c r="E1253" s="4">
        <v>1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2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0</v>
      </c>
      <c r="AX1253" s="3">
        <v>0</v>
      </c>
      <c r="AY1253" s="3">
        <v>0</v>
      </c>
      <c r="AZ1253" s="3">
        <v>0</v>
      </c>
      <c r="BA1253" s="3">
        <v>0</v>
      </c>
      <c r="BB1253" s="3">
        <v>0</v>
      </c>
      <c r="BC1253" s="3">
        <v>0</v>
      </c>
      <c r="BD1253" s="3">
        <v>0</v>
      </c>
      <c r="BE1253" s="3">
        <v>0</v>
      </c>
      <c r="BF1253" s="3">
        <v>0</v>
      </c>
      <c r="BG1253" s="3">
        <v>0</v>
      </c>
      <c r="BH1253" s="3">
        <v>0</v>
      </c>
      <c r="BI1253" s="3">
        <v>0</v>
      </c>
      <c r="BJ1253" s="3">
        <v>0</v>
      </c>
      <c r="BK1253" s="3">
        <v>0</v>
      </c>
      <c r="BL1253" s="3">
        <v>1</v>
      </c>
      <c r="BM1253" s="3">
        <v>0</v>
      </c>
      <c r="BN1253" s="3">
        <v>0</v>
      </c>
      <c r="BO1253" s="3">
        <v>0</v>
      </c>
      <c r="BP1253" s="3">
        <v>0</v>
      </c>
      <c r="BQ1253" s="3">
        <v>0</v>
      </c>
      <c r="BR1253" s="3">
        <v>0</v>
      </c>
      <c r="BS1253" s="3">
        <v>0</v>
      </c>
      <c r="BT1253" s="3">
        <v>2</v>
      </c>
      <c r="BU1253" s="3">
        <v>0</v>
      </c>
    </row>
    <row r="1254" spans="1:73" x14ac:dyDescent="0.25">
      <c r="A1254" s="2" t="s">
        <v>144</v>
      </c>
      <c r="B1254" s="4">
        <v>72</v>
      </c>
      <c r="C1254" s="4">
        <v>2</v>
      </c>
      <c r="D1254" s="4">
        <v>1</v>
      </c>
      <c r="E1254" s="4">
        <v>2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1</v>
      </c>
      <c r="W1254" s="3">
        <v>0</v>
      </c>
      <c r="X1254" s="3">
        <v>0</v>
      </c>
      <c r="Y1254" s="3">
        <v>0</v>
      </c>
      <c r="Z1254" s="3">
        <v>1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1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0</v>
      </c>
      <c r="AX1254" s="3">
        <v>0</v>
      </c>
      <c r="AY1254" s="3">
        <v>0</v>
      </c>
      <c r="AZ1254" s="3">
        <v>0</v>
      </c>
      <c r="BA1254" s="3">
        <v>0</v>
      </c>
      <c r="BB1254" s="3">
        <v>0</v>
      </c>
      <c r="BC1254" s="3">
        <v>0</v>
      </c>
      <c r="BD1254" s="3">
        <v>0</v>
      </c>
      <c r="BE1254" s="3">
        <v>0</v>
      </c>
      <c r="BF1254" s="3">
        <v>0</v>
      </c>
      <c r="BG1254" s="3">
        <v>0</v>
      </c>
      <c r="BH1254" s="3">
        <v>0</v>
      </c>
      <c r="BI1254" s="3">
        <v>0</v>
      </c>
      <c r="BJ1254" s="3">
        <v>0</v>
      </c>
      <c r="BK1254" s="3">
        <v>0</v>
      </c>
      <c r="BL1254" s="3">
        <v>1</v>
      </c>
      <c r="BM1254" s="3">
        <v>0</v>
      </c>
      <c r="BN1254" s="3">
        <v>0</v>
      </c>
      <c r="BO1254" s="3">
        <v>0</v>
      </c>
      <c r="BP1254" s="3">
        <v>0</v>
      </c>
      <c r="BQ1254" s="3">
        <v>0</v>
      </c>
      <c r="BR1254" s="3">
        <v>0</v>
      </c>
      <c r="BS1254" s="3">
        <v>0</v>
      </c>
      <c r="BT1254" s="3">
        <v>0</v>
      </c>
      <c r="BU1254" s="3">
        <v>0</v>
      </c>
    </row>
    <row r="1255" spans="1:73" x14ac:dyDescent="0.25">
      <c r="A1255" s="2" t="s">
        <v>144</v>
      </c>
      <c r="B1255" s="4">
        <v>72</v>
      </c>
      <c r="C1255" s="4">
        <v>2</v>
      </c>
      <c r="D1255" s="4">
        <v>1</v>
      </c>
      <c r="E1255" s="4">
        <v>3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3">
        <v>0</v>
      </c>
      <c r="AV1255" s="3">
        <v>0</v>
      </c>
      <c r="AW1255" s="3">
        <v>0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0</v>
      </c>
      <c r="BD1255" s="3">
        <v>0</v>
      </c>
      <c r="BE1255" s="3">
        <v>0</v>
      </c>
      <c r="BF1255" s="3">
        <v>0</v>
      </c>
      <c r="BG1255" s="3">
        <v>0</v>
      </c>
      <c r="BH1255" s="3">
        <v>0</v>
      </c>
      <c r="BI1255" s="3">
        <v>0</v>
      </c>
      <c r="BJ1255" s="3">
        <v>0</v>
      </c>
      <c r="BK1255" s="3">
        <v>0</v>
      </c>
      <c r="BL1255" s="3">
        <v>0</v>
      </c>
      <c r="BM1255" s="3">
        <v>0</v>
      </c>
      <c r="BN1255" s="3">
        <v>0</v>
      </c>
      <c r="BO1255" s="3">
        <v>0</v>
      </c>
      <c r="BP1255" s="3">
        <v>0</v>
      </c>
      <c r="BQ1255" s="3">
        <v>0</v>
      </c>
      <c r="BR1255" s="3">
        <v>0</v>
      </c>
      <c r="BS1255" s="3">
        <v>0</v>
      </c>
      <c r="BT1255" s="3">
        <v>0</v>
      </c>
      <c r="BU1255" s="3">
        <v>0</v>
      </c>
    </row>
    <row r="1256" spans="1:73" x14ac:dyDescent="0.25">
      <c r="A1256" s="2" t="s">
        <v>144</v>
      </c>
      <c r="B1256" s="4">
        <v>72</v>
      </c>
      <c r="C1256" s="4">
        <v>2</v>
      </c>
      <c r="D1256" s="4">
        <v>2</v>
      </c>
      <c r="E1256" s="4">
        <v>1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1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0</v>
      </c>
      <c r="AX1256" s="3">
        <v>0</v>
      </c>
      <c r="AY1256" s="3">
        <v>0</v>
      </c>
      <c r="AZ1256" s="3">
        <v>0</v>
      </c>
      <c r="BA1256" s="3">
        <v>0</v>
      </c>
      <c r="BB1256" s="3">
        <v>0</v>
      </c>
      <c r="BC1256" s="3">
        <v>0</v>
      </c>
      <c r="BD1256" s="3">
        <v>0</v>
      </c>
      <c r="BE1256" s="3">
        <v>0</v>
      </c>
      <c r="BF1256" s="3">
        <v>0</v>
      </c>
      <c r="BG1256" s="3">
        <v>0</v>
      </c>
      <c r="BH1256" s="3">
        <v>0</v>
      </c>
      <c r="BI1256" s="3">
        <v>0</v>
      </c>
      <c r="BJ1256" s="3">
        <v>0</v>
      </c>
      <c r="BK1256" s="3">
        <v>0</v>
      </c>
      <c r="BL1256" s="3">
        <v>0</v>
      </c>
      <c r="BM1256" s="3">
        <v>0</v>
      </c>
      <c r="BN1256" s="3">
        <v>0</v>
      </c>
      <c r="BO1256" s="3">
        <v>0</v>
      </c>
      <c r="BP1256" s="3">
        <v>0</v>
      </c>
      <c r="BQ1256" s="3">
        <v>0</v>
      </c>
      <c r="BR1256" s="3">
        <v>0</v>
      </c>
      <c r="BS1256" s="3">
        <v>0</v>
      </c>
      <c r="BT1256" s="3">
        <v>0</v>
      </c>
      <c r="BU1256" s="3">
        <v>0</v>
      </c>
    </row>
    <row r="1257" spans="1:73" x14ac:dyDescent="0.25">
      <c r="A1257" s="2" t="s">
        <v>144</v>
      </c>
      <c r="B1257" s="4">
        <v>72</v>
      </c>
      <c r="C1257" s="4">
        <v>2</v>
      </c>
      <c r="D1257" s="4">
        <v>2</v>
      </c>
      <c r="E1257" s="4">
        <v>2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0</v>
      </c>
      <c r="AX1257" s="3">
        <v>0</v>
      </c>
      <c r="AY1257" s="3">
        <v>0</v>
      </c>
      <c r="AZ1257" s="3">
        <v>0</v>
      </c>
      <c r="BA1257" s="3">
        <v>0</v>
      </c>
      <c r="BB1257" s="3">
        <v>0</v>
      </c>
      <c r="BC1257" s="3">
        <v>0</v>
      </c>
      <c r="BD1257" s="3">
        <v>0</v>
      </c>
      <c r="BE1257" s="3">
        <v>0</v>
      </c>
      <c r="BF1257" s="3">
        <v>0</v>
      </c>
      <c r="BG1257" s="3">
        <v>0</v>
      </c>
      <c r="BH1257" s="3">
        <v>0</v>
      </c>
      <c r="BI1257" s="3">
        <v>0</v>
      </c>
      <c r="BJ1257" s="3">
        <v>0</v>
      </c>
      <c r="BK1257" s="3">
        <v>0</v>
      </c>
      <c r="BL1257" s="3">
        <v>0</v>
      </c>
      <c r="BM1257" s="3">
        <v>0</v>
      </c>
      <c r="BN1257" s="3">
        <v>0</v>
      </c>
      <c r="BO1257" s="3">
        <v>0</v>
      </c>
      <c r="BP1257" s="3">
        <v>0</v>
      </c>
      <c r="BQ1257" s="3">
        <v>0</v>
      </c>
      <c r="BR1257" s="3">
        <v>0</v>
      </c>
      <c r="BS1257" s="3">
        <v>0</v>
      </c>
      <c r="BT1257" s="3">
        <v>0</v>
      </c>
      <c r="BU1257" s="3">
        <v>0</v>
      </c>
    </row>
    <row r="1258" spans="1:73" x14ac:dyDescent="0.25">
      <c r="A1258" s="2" t="s">
        <v>144</v>
      </c>
      <c r="B1258" s="4">
        <v>72</v>
      </c>
      <c r="C1258" s="4">
        <v>2</v>
      </c>
      <c r="D1258" s="4">
        <v>2</v>
      </c>
      <c r="E1258" s="4">
        <v>3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  <c r="AU1258" s="3">
        <v>0</v>
      </c>
      <c r="AV1258" s="3">
        <v>0</v>
      </c>
      <c r="AW1258" s="3">
        <v>0</v>
      </c>
      <c r="AX1258" s="3">
        <v>0</v>
      </c>
      <c r="AY1258" s="3">
        <v>0</v>
      </c>
      <c r="AZ1258" s="3">
        <v>0</v>
      </c>
      <c r="BA1258" s="3">
        <v>0</v>
      </c>
      <c r="BB1258" s="3">
        <v>0</v>
      </c>
      <c r="BC1258" s="3">
        <v>0</v>
      </c>
      <c r="BD1258" s="3">
        <v>0</v>
      </c>
      <c r="BE1258" s="3">
        <v>0</v>
      </c>
      <c r="BF1258" s="3">
        <v>0</v>
      </c>
      <c r="BG1258" s="3">
        <v>0</v>
      </c>
      <c r="BH1258" s="3">
        <v>0</v>
      </c>
      <c r="BI1258" s="3">
        <v>0</v>
      </c>
      <c r="BJ1258" s="3">
        <v>0</v>
      </c>
      <c r="BK1258" s="3">
        <v>0</v>
      </c>
      <c r="BL1258" s="3">
        <v>0</v>
      </c>
      <c r="BM1258" s="3">
        <v>0</v>
      </c>
      <c r="BN1258" s="3">
        <v>0</v>
      </c>
      <c r="BO1258" s="3">
        <v>0</v>
      </c>
      <c r="BP1258" s="3">
        <v>0</v>
      </c>
      <c r="BQ1258" s="3">
        <v>0</v>
      </c>
      <c r="BR1258" s="3">
        <v>0</v>
      </c>
      <c r="BS1258" s="3">
        <v>0</v>
      </c>
      <c r="BT1258" s="3">
        <v>0</v>
      </c>
      <c r="BU1258" s="3">
        <v>0</v>
      </c>
    </row>
    <row r="1259" spans="1:73" x14ac:dyDescent="0.25">
      <c r="A1259" s="2" t="s">
        <v>144</v>
      </c>
      <c r="B1259" s="4">
        <v>72</v>
      </c>
      <c r="C1259" s="4">
        <v>2</v>
      </c>
      <c r="D1259" s="4">
        <v>3</v>
      </c>
      <c r="E1259" s="4">
        <v>1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1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0</v>
      </c>
      <c r="AX1259" s="3">
        <v>0</v>
      </c>
      <c r="AY1259" s="3">
        <v>0</v>
      </c>
      <c r="AZ1259" s="3">
        <v>0</v>
      </c>
      <c r="BA1259" s="3">
        <v>0</v>
      </c>
      <c r="BB1259" s="3">
        <v>0</v>
      </c>
      <c r="BC1259" s="3">
        <v>0</v>
      </c>
      <c r="BD1259" s="3">
        <v>0</v>
      </c>
      <c r="BE1259" s="3">
        <v>0</v>
      </c>
      <c r="BF1259" s="3">
        <v>0</v>
      </c>
      <c r="BG1259" s="3">
        <v>0</v>
      </c>
      <c r="BH1259" s="3">
        <v>0</v>
      </c>
      <c r="BI1259" s="3">
        <v>0</v>
      </c>
      <c r="BJ1259" s="3">
        <v>0</v>
      </c>
      <c r="BK1259" s="3">
        <v>0</v>
      </c>
      <c r="BL1259" s="3">
        <v>0</v>
      </c>
      <c r="BM1259" s="3">
        <v>0</v>
      </c>
      <c r="BN1259" s="3">
        <v>0</v>
      </c>
      <c r="BO1259" s="3">
        <v>0</v>
      </c>
      <c r="BP1259" s="3">
        <v>0</v>
      </c>
      <c r="BQ1259" s="3">
        <v>0</v>
      </c>
      <c r="BR1259" s="3">
        <v>0</v>
      </c>
      <c r="BS1259" s="3">
        <v>0</v>
      </c>
      <c r="BT1259" s="3">
        <v>0</v>
      </c>
      <c r="BU1259" s="3">
        <v>0</v>
      </c>
    </row>
    <row r="1260" spans="1:73" x14ac:dyDescent="0.25">
      <c r="A1260" s="2" t="s">
        <v>144</v>
      </c>
      <c r="B1260" s="4">
        <v>72</v>
      </c>
      <c r="C1260" s="4">
        <v>2</v>
      </c>
      <c r="D1260" s="4">
        <v>3</v>
      </c>
      <c r="E1260" s="4">
        <v>2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1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3">
        <v>1</v>
      </c>
      <c r="AU1260" s="3">
        <v>0</v>
      </c>
      <c r="AV1260" s="3">
        <v>0</v>
      </c>
      <c r="AW1260" s="3">
        <v>0</v>
      </c>
      <c r="AX1260" s="3">
        <v>0</v>
      </c>
      <c r="AY1260" s="3">
        <v>0</v>
      </c>
      <c r="AZ1260" s="3">
        <v>0</v>
      </c>
      <c r="BA1260" s="3">
        <v>0</v>
      </c>
      <c r="BB1260" s="3">
        <v>0</v>
      </c>
      <c r="BC1260" s="3">
        <v>0</v>
      </c>
      <c r="BD1260" s="3">
        <v>0</v>
      </c>
      <c r="BE1260" s="3">
        <v>0</v>
      </c>
      <c r="BF1260" s="3">
        <v>0</v>
      </c>
      <c r="BG1260" s="3">
        <v>0</v>
      </c>
      <c r="BH1260" s="3">
        <v>0</v>
      </c>
      <c r="BI1260" s="3">
        <v>0</v>
      </c>
      <c r="BJ1260" s="3">
        <v>0</v>
      </c>
      <c r="BK1260" s="3">
        <v>0</v>
      </c>
      <c r="BL1260" s="3">
        <v>0</v>
      </c>
      <c r="BM1260" s="3">
        <v>0</v>
      </c>
      <c r="BN1260" s="3">
        <v>0</v>
      </c>
      <c r="BO1260" s="3">
        <v>0</v>
      </c>
      <c r="BP1260" s="3">
        <v>0</v>
      </c>
      <c r="BQ1260" s="3">
        <v>0</v>
      </c>
      <c r="BR1260" s="3">
        <v>0</v>
      </c>
      <c r="BS1260" s="3">
        <v>0</v>
      </c>
      <c r="BT1260" s="3">
        <v>0</v>
      </c>
      <c r="BU1260" s="3">
        <v>0</v>
      </c>
    </row>
    <row r="1261" spans="1:73" x14ac:dyDescent="0.25">
      <c r="A1261" s="2" t="s">
        <v>144</v>
      </c>
      <c r="B1261" s="4">
        <v>72</v>
      </c>
      <c r="C1261" s="4">
        <v>2</v>
      </c>
      <c r="D1261" s="4">
        <v>3</v>
      </c>
      <c r="E1261" s="4">
        <v>3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1</v>
      </c>
      <c r="AF1261" s="3">
        <v>0</v>
      </c>
      <c r="AG1261" s="3">
        <v>0</v>
      </c>
      <c r="AH1261" s="3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  <c r="AP1261" s="3">
        <v>0</v>
      </c>
      <c r="AQ1261" s="3">
        <v>0</v>
      </c>
      <c r="AR1261" s="3">
        <v>0</v>
      </c>
      <c r="AS1261" s="3">
        <v>0</v>
      </c>
      <c r="AT1261" s="3">
        <v>0</v>
      </c>
      <c r="AU1261" s="3">
        <v>0</v>
      </c>
      <c r="AV1261" s="3">
        <v>0</v>
      </c>
      <c r="AW1261" s="3">
        <v>0</v>
      </c>
      <c r="AX1261" s="3">
        <v>0</v>
      </c>
      <c r="AY1261" s="3">
        <v>0</v>
      </c>
      <c r="AZ1261" s="3">
        <v>0</v>
      </c>
      <c r="BA1261" s="3">
        <v>0</v>
      </c>
      <c r="BB1261" s="3">
        <v>0</v>
      </c>
      <c r="BC1261" s="3">
        <v>0</v>
      </c>
      <c r="BD1261" s="3">
        <v>0</v>
      </c>
      <c r="BE1261" s="3">
        <v>0</v>
      </c>
      <c r="BF1261" s="3">
        <v>0</v>
      </c>
      <c r="BG1261" s="3">
        <v>0</v>
      </c>
      <c r="BH1261" s="3">
        <v>0</v>
      </c>
      <c r="BI1261" s="3">
        <v>0</v>
      </c>
      <c r="BJ1261" s="3">
        <v>0</v>
      </c>
      <c r="BK1261" s="3">
        <v>0</v>
      </c>
      <c r="BL1261" s="3">
        <v>0</v>
      </c>
      <c r="BM1261" s="3">
        <v>0</v>
      </c>
      <c r="BN1261" s="3">
        <v>0</v>
      </c>
      <c r="BO1261" s="3">
        <v>0</v>
      </c>
      <c r="BP1261" s="3">
        <v>0</v>
      </c>
      <c r="BQ1261" s="3">
        <v>0</v>
      </c>
      <c r="BR1261" s="3">
        <v>0</v>
      </c>
      <c r="BS1261" s="3">
        <v>0</v>
      </c>
      <c r="BT1261" s="3">
        <v>0</v>
      </c>
      <c r="BU1261" s="3">
        <v>0</v>
      </c>
    </row>
    <row r="1262" spans="1:73" x14ac:dyDescent="0.25">
      <c r="A1262" s="2" t="s">
        <v>145</v>
      </c>
      <c r="B1262" s="4">
        <v>73</v>
      </c>
      <c r="C1262" s="4">
        <v>1</v>
      </c>
      <c r="D1262" s="4">
        <v>1</v>
      </c>
      <c r="E1262" s="4">
        <v>1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  <c r="AJ1262" s="3">
        <v>2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0</v>
      </c>
      <c r="AX1262" s="3">
        <v>0</v>
      </c>
      <c r="AY1262" s="3">
        <v>0</v>
      </c>
      <c r="AZ1262" s="3">
        <v>0</v>
      </c>
      <c r="BA1262" s="3">
        <v>0</v>
      </c>
      <c r="BB1262" s="3">
        <v>0</v>
      </c>
      <c r="BC1262" s="3">
        <v>0</v>
      </c>
      <c r="BD1262" s="3">
        <v>0</v>
      </c>
      <c r="BE1262" s="3">
        <v>0</v>
      </c>
      <c r="BF1262" s="3">
        <v>0</v>
      </c>
      <c r="BG1262" s="3">
        <v>0</v>
      </c>
      <c r="BH1262" s="3">
        <v>0</v>
      </c>
      <c r="BI1262" s="3">
        <v>0</v>
      </c>
      <c r="BJ1262" s="3">
        <v>0</v>
      </c>
      <c r="BK1262" s="3">
        <v>0</v>
      </c>
      <c r="BL1262" s="3">
        <v>0</v>
      </c>
      <c r="BM1262" s="3">
        <v>0</v>
      </c>
      <c r="BN1262" s="3">
        <v>0</v>
      </c>
      <c r="BO1262" s="3">
        <v>0</v>
      </c>
      <c r="BP1262" s="3">
        <v>0</v>
      </c>
      <c r="BQ1262" s="3">
        <v>0</v>
      </c>
      <c r="BR1262" s="3">
        <v>0</v>
      </c>
      <c r="BS1262" s="3">
        <v>0</v>
      </c>
      <c r="BT1262" s="3">
        <v>3</v>
      </c>
      <c r="BU1262" s="3">
        <v>0</v>
      </c>
    </row>
    <row r="1263" spans="1:73" x14ac:dyDescent="0.25">
      <c r="A1263" s="2" t="s">
        <v>145</v>
      </c>
      <c r="B1263" s="4">
        <v>73</v>
      </c>
      <c r="C1263" s="4">
        <v>1</v>
      </c>
      <c r="D1263" s="4">
        <v>1</v>
      </c>
      <c r="E1263" s="4">
        <v>2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1</v>
      </c>
      <c r="AF1263" s="3">
        <v>0</v>
      </c>
      <c r="AG1263" s="3">
        <v>0</v>
      </c>
      <c r="AH1263" s="3">
        <v>0</v>
      </c>
      <c r="AI1263" s="3">
        <v>0</v>
      </c>
      <c r="AJ1263" s="3">
        <v>1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0</v>
      </c>
      <c r="AX1263" s="3">
        <v>0</v>
      </c>
      <c r="AY1263" s="3">
        <v>0</v>
      </c>
      <c r="AZ1263" s="3">
        <v>0</v>
      </c>
      <c r="BA1263" s="3">
        <v>0</v>
      </c>
      <c r="BB1263" s="3">
        <v>0</v>
      </c>
      <c r="BC1263" s="3">
        <v>0</v>
      </c>
      <c r="BD1263" s="3">
        <v>0</v>
      </c>
      <c r="BE1263" s="3">
        <v>0</v>
      </c>
      <c r="BF1263" s="3">
        <v>0</v>
      </c>
      <c r="BG1263" s="3">
        <v>0</v>
      </c>
      <c r="BH1263" s="3">
        <v>0</v>
      </c>
      <c r="BI1263" s="3">
        <v>0</v>
      </c>
      <c r="BJ1263" s="3">
        <v>0</v>
      </c>
      <c r="BK1263" s="3">
        <v>0</v>
      </c>
      <c r="BL1263" s="3">
        <v>0</v>
      </c>
      <c r="BM1263" s="3">
        <v>0</v>
      </c>
      <c r="BN1263" s="3">
        <v>0</v>
      </c>
      <c r="BO1263" s="3">
        <v>0</v>
      </c>
      <c r="BP1263" s="3">
        <v>0</v>
      </c>
      <c r="BQ1263" s="3">
        <v>0</v>
      </c>
      <c r="BR1263" s="3">
        <v>0</v>
      </c>
      <c r="BS1263" s="3">
        <v>0</v>
      </c>
      <c r="BT1263" s="3">
        <v>1</v>
      </c>
      <c r="BU1263" s="3">
        <v>0</v>
      </c>
    </row>
    <row r="1264" spans="1:73" x14ac:dyDescent="0.25">
      <c r="A1264" s="2" t="s">
        <v>145</v>
      </c>
      <c r="B1264" s="4">
        <v>73</v>
      </c>
      <c r="C1264" s="4">
        <v>1</v>
      </c>
      <c r="D1264" s="4">
        <v>1</v>
      </c>
      <c r="E1264" s="4">
        <v>3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3">
        <v>0</v>
      </c>
      <c r="AV1264" s="3">
        <v>0</v>
      </c>
      <c r="AW1264" s="3">
        <v>0</v>
      </c>
      <c r="AX1264" s="3">
        <v>0</v>
      </c>
      <c r="AY1264" s="3">
        <v>0</v>
      </c>
      <c r="AZ1264" s="3">
        <v>0</v>
      </c>
      <c r="BA1264" s="3">
        <v>0</v>
      </c>
      <c r="BB1264" s="3">
        <v>0</v>
      </c>
      <c r="BC1264" s="3">
        <v>0</v>
      </c>
      <c r="BD1264" s="3">
        <v>0</v>
      </c>
      <c r="BE1264" s="3">
        <v>0</v>
      </c>
      <c r="BF1264" s="3">
        <v>1</v>
      </c>
      <c r="BG1264" s="3">
        <v>0</v>
      </c>
      <c r="BH1264" s="3">
        <v>0</v>
      </c>
      <c r="BI1264" s="3">
        <v>0</v>
      </c>
      <c r="BJ1264" s="3">
        <v>0</v>
      </c>
      <c r="BK1264" s="3">
        <v>0</v>
      </c>
      <c r="BL1264" s="3">
        <v>0</v>
      </c>
      <c r="BM1264" s="3">
        <v>0</v>
      </c>
      <c r="BN1264" s="3">
        <v>0</v>
      </c>
      <c r="BO1264" s="3">
        <v>0</v>
      </c>
      <c r="BP1264" s="3">
        <v>0</v>
      </c>
      <c r="BQ1264" s="3">
        <v>0</v>
      </c>
      <c r="BR1264" s="3">
        <v>0</v>
      </c>
      <c r="BS1264" s="3">
        <v>0</v>
      </c>
      <c r="BT1264" s="3">
        <v>1</v>
      </c>
      <c r="BU1264" s="3">
        <v>0</v>
      </c>
    </row>
    <row r="1265" spans="1:73" x14ac:dyDescent="0.25">
      <c r="A1265" s="2" t="s">
        <v>145</v>
      </c>
      <c r="B1265" s="4">
        <v>73</v>
      </c>
      <c r="C1265" s="4">
        <v>1</v>
      </c>
      <c r="D1265" s="4">
        <v>2</v>
      </c>
      <c r="E1265" s="4">
        <v>1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3">
        <v>0</v>
      </c>
      <c r="AY1265" s="3">
        <v>0</v>
      </c>
      <c r="AZ1265" s="3">
        <v>0</v>
      </c>
      <c r="BA1265" s="3">
        <v>0</v>
      </c>
      <c r="BB1265" s="3">
        <v>0</v>
      </c>
      <c r="BC1265" s="3">
        <v>0</v>
      </c>
      <c r="BD1265" s="3">
        <v>0</v>
      </c>
      <c r="BE1265" s="3">
        <v>0</v>
      </c>
      <c r="BF1265" s="3">
        <v>0</v>
      </c>
      <c r="BG1265" s="3">
        <v>0</v>
      </c>
      <c r="BH1265" s="3">
        <v>0</v>
      </c>
      <c r="BI1265" s="3">
        <v>0</v>
      </c>
      <c r="BJ1265" s="3">
        <v>0</v>
      </c>
      <c r="BK1265" s="3">
        <v>0</v>
      </c>
      <c r="BL1265" s="3">
        <v>0</v>
      </c>
      <c r="BM1265" s="3">
        <v>0</v>
      </c>
      <c r="BN1265" s="3">
        <v>0</v>
      </c>
      <c r="BO1265" s="3">
        <v>0</v>
      </c>
      <c r="BP1265" s="3">
        <v>0</v>
      </c>
      <c r="BQ1265" s="3">
        <v>0</v>
      </c>
      <c r="BR1265" s="3">
        <v>0</v>
      </c>
      <c r="BS1265" s="3">
        <v>0</v>
      </c>
      <c r="BT1265" s="3">
        <v>0</v>
      </c>
      <c r="BU1265" s="3">
        <v>0</v>
      </c>
    </row>
    <row r="1266" spans="1:73" x14ac:dyDescent="0.25">
      <c r="A1266" s="2" t="s">
        <v>145</v>
      </c>
      <c r="B1266" s="4">
        <v>73</v>
      </c>
      <c r="C1266" s="4">
        <v>1</v>
      </c>
      <c r="D1266" s="4">
        <v>2</v>
      </c>
      <c r="E1266" s="4">
        <v>2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1</v>
      </c>
      <c r="AS1266" s="3">
        <v>0</v>
      </c>
      <c r="AT1266" s="3">
        <v>0</v>
      </c>
      <c r="AU1266" s="3">
        <v>0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0</v>
      </c>
      <c r="BD1266" s="3">
        <v>0</v>
      </c>
      <c r="BE1266" s="3">
        <v>0</v>
      </c>
      <c r="BF1266" s="3">
        <v>0</v>
      </c>
      <c r="BG1266" s="3">
        <v>0</v>
      </c>
      <c r="BH1266" s="3">
        <v>0</v>
      </c>
      <c r="BI1266" s="3">
        <v>0</v>
      </c>
      <c r="BJ1266" s="3">
        <v>0</v>
      </c>
      <c r="BK1266" s="3">
        <v>0</v>
      </c>
      <c r="BL1266" s="3">
        <v>0</v>
      </c>
      <c r="BM1266" s="3">
        <v>0</v>
      </c>
      <c r="BN1266" s="3">
        <v>0</v>
      </c>
      <c r="BO1266" s="3">
        <v>0</v>
      </c>
      <c r="BP1266" s="3">
        <v>0</v>
      </c>
      <c r="BQ1266" s="3">
        <v>0</v>
      </c>
      <c r="BR1266" s="3">
        <v>0</v>
      </c>
      <c r="BS1266" s="3">
        <v>0</v>
      </c>
      <c r="BT1266" s="3">
        <v>0</v>
      </c>
      <c r="BU1266" s="3">
        <v>0</v>
      </c>
    </row>
    <row r="1267" spans="1:73" x14ac:dyDescent="0.25">
      <c r="A1267" s="2" t="s">
        <v>145</v>
      </c>
      <c r="B1267" s="4">
        <v>73</v>
      </c>
      <c r="C1267" s="4">
        <v>1</v>
      </c>
      <c r="D1267" s="4">
        <v>2</v>
      </c>
      <c r="E1267" s="4">
        <v>3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0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0</v>
      </c>
      <c r="BD1267" s="3">
        <v>0</v>
      </c>
      <c r="BE1267" s="3">
        <v>0</v>
      </c>
      <c r="BF1267" s="3">
        <v>0</v>
      </c>
      <c r="BG1267" s="3">
        <v>0</v>
      </c>
      <c r="BH1267" s="3">
        <v>0</v>
      </c>
      <c r="BI1267" s="3">
        <v>0</v>
      </c>
      <c r="BJ1267" s="3">
        <v>0</v>
      </c>
      <c r="BK1267" s="3">
        <v>0</v>
      </c>
      <c r="BL1267" s="3">
        <v>0</v>
      </c>
      <c r="BM1267" s="3">
        <v>0</v>
      </c>
      <c r="BN1267" s="3">
        <v>0</v>
      </c>
      <c r="BO1267" s="3">
        <v>0</v>
      </c>
      <c r="BP1267" s="3">
        <v>0</v>
      </c>
      <c r="BQ1267" s="3">
        <v>0</v>
      </c>
      <c r="BR1267" s="3">
        <v>0</v>
      </c>
      <c r="BS1267" s="3">
        <v>0</v>
      </c>
      <c r="BT1267" s="3">
        <v>0</v>
      </c>
      <c r="BU1267" s="3">
        <v>0</v>
      </c>
    </row>
    <row r="1268" spans="1:73" x14ac:dyDescent="0.25">
      <c r="A1268" s="2" t="s">
        <v>145</v>
      </c>
      <c r="B1268" s="4">
        <v>73</v>
      </c>
      <c r="C1268" s="4">
        <v>1</v>
      </c>
      <c r="D1268" s="4">
        <v>3</v>
      </c>
      <c r="E1268" s="4">
        <v>1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1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0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0</v>
      </c>
      <c r="BD1268" s="3">
        <v>0</v>
      </c>
      <c r="BE1268" s="3">
        <v>0</v>
      </c>
      <c r="BF1268" s="3">
        <v>0</v>
      </c>
      <c r="BG1268" s="3">
        <v>0</v>
      </c>
      <c r="BH1268" s="3">
        <v>0</v>
      </c>
      <c r="BI1268" s="3">
        <v>0</v>
      </c>
      <c r="BJ1268" s="3">
        <v>0</v>
      </c>
      <c r="BK1268" s="3">
        <v>0</v>
      </c>
      <c r="BL1268" s="3">
        <v>0</v>
      </c>
      <c r="BM1268" s="3">
        <v>0</v>
      </c>
      <c r="BN1268" s="3">
        <v>0</v>
      </c>
      <c r="BO1268" s="3">
        <v>0</v>
      </c>
      <c r="BP1268" s="3">
        <v>0</v>
      </c>
      <c r="BQ1268" s="3">
        <v>0</v>
      </c>
      <c r="BR1268" s="3">
        <v>0</v>
      </c>
      <c r="BS1268" s="3">
        <v>0</v>
      </c>
      <c r="BT1268" s="3">
        <v>0</v>
      </c>
      <c r="BU1268" s="3">
        <v>0</v>
      </c>
    </row>
    <row r="1269" spans="1:73" x14ac:dyDescent="0.25">
      <c r="A1269" s="2" t="s">
        <v>145</v>
      </c>
      <c r="B1269" s="4">
        <v>73</v>
      </c>
      <c r="C1269" s="4">
        <v>1</v>
      </c>
      <c r="D1269" s="4">
        <v>3</v>
      </c>
      <c r="E1269" s="4">
        <v>2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3">
        <v>0</v>
      </c>
      <c r="AV1269" s="3">
        <v>0</v>
      </c>
      <c r="AW1269" s="3">
        <v>0</v>
      </c>
      <c r="AX1269" s="3">
        <v>0</v>
      </c>
      <c r="AY1269" s="3">
        <v>0</v>
      </c>
      <c r="AZ1269" s="3">
        <v>0</v>
      </c>
      <c r="BA1269" s="3">
        <v>0</v>
      </c>
      <c r="BB1269" s="3">
        <v>0</v>
      </c>
      <c r="BC1269" s="3">
        <v>0</v>
      </c>
      <c r="BD1269" s="3">
        <v>0</v>
      </c>
      <c r="BE1269" s="3">
        <v>0</v>
      </c>
      <c r="BF1269" s="3">
        <v>0</v>
      </c>
      <c r="BG1269" s="3">
        <v>0</v>
      </c>
      <c r="BH1269" s="3">
        <v>0</v>
      </c>
      <c r="BI1269" s="3">
        <v>0</v>
      </c>
      <c r="BJ1269" s="3">
        <v>0</v>
      </c>
      <c r="BK1269" s="3">
        <v>0</v>
      </c>
      <c r="BL1269" s="3">
        <v>0</v>
      </c>
      <c r="BM1269" s="3">
        <v>0</v>
      </c>
      <c r="BN1269" s="3">
        <v>0</v>
      </c>
      <c r="BO1269" s="3">
        <v>0</v>
      </c>
      <c r="BP1269" s="3">
        <v>0</v>
      </c>
      <c r="BQ1269" s="3">
        <v>0</v>
      </c>
      <c r="BR1269" s="3">
        <v>0</v>
      </c>
      <c r="BS1269" s="3">
        <v>0</v>
      </c>
      <c r="BT1269" s="3">
        <v>0</v>
      </c>
      <c r="BU1269" s="3">
        <v>0</v>
      </c>
    </row>
    <row r="1270" spans="1:73" x14ac:dyDescent="0.25">
      <c r="A1270" s="2" t="s">
        <v>145</v>
      </c>
      <c r="B1270" s="4">
        <v>73</v>
      </c>
      <c r="C1270" s="4">
        <v>1</v>
      </c>
      <c r="D1270" s="4">
        <v>3</v>
      </c>
      <c r="E1270" s="4">
        <v>3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0</v>
      </c>
      <c r="AX1270" s="3">
        <v>0</v>
      </c>
      <c r="AY1270" s="3">
        <v>0</v>
      </c>
      <c r="AZ1270" s="3">
        <v>0</v>
      </c>
      <c r="BA1270" s="3">
        <v>0</v>
      </c>
      <c r="BB1270" s="3">
        <v>0</v>
      </c>
      <c r="BC1270" s="3">
        <v>0</v>
      </c>
      <c r="BD1270" s="3">
        <v>0</v>
      </c>
      <c r="BE1270" s="3">
        <v>0</v>
      </c>
      <c r="BF1270" s="3">
        <v>0</v>
      </c>
      <c r="BG1270" s="3">
        <v>0</v>
      </c>
      <c r="BH1270" s="3">
        <v>0</v>
      </c>
      <c r="BI1270" s="3">
        <v>0</v>
      </c>
      <c r="BJ1270" s="3">
        <v>0</v>
      </c>
      <c r="BK1270" s="3">
        <v>0</v>
      </c>
      <c r="BL1270" s="3">
        <v>0</v>
      </c>
      <c r="BM1270" s="3">
        <v>0</v>
      </c>
      <c r="BN1270" s="3">
        <v>0</v>
      </c>
      <c r="BO1270" s="3">
        <v>0</v>
      </c>
      <c r="BP1270" s="3">
        <v>0</v>
      </c>
      <c r="BQ1270" s="3">
        <v>0</v>
      </c>
      <c r="BR1270" s="3">
        <v>0</v>
      </c>
      <c r="BS1270" s="3">
        <v>0</v>
      </c>
      <c r="BT1270" s="3">
        <v>0</v>
      </c>
      <c r="BU1270" s="3">
        <v>0</v>
      </c>
    </row>
    <row r="1271" spans="1:73" x14ac:dyDescent="0.25">
      <c r="A1271" s="2" t="s">
        <v>145</v>
      </c>
      <c r="B1271" s="4">
        <v>73</v>
      </c>
      <c r="C1271" s="4">
        <v>2</v>
      </c>
      <c r="D1271" s="4">
        <v>1</v>
      </c>
      <c r="E1271" s="4">
        <v>1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4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  <c r="BA1271" s="3">
        <v>0</v>
      </c>
      <c r="BB1271" s="3">
        <v>0</v>
      </c>
      <c r="BC1271" s="3">
        <v>0</v>
      </c>
      <c r="BD1271" s="3">
        <v>0</v>
      </c>
      <c r="BE1271" s="3">
        <v>0</v>
      </c>
      <c r="BF1271" s="3">
        <v>0</v>
      </c>
      <c r="BG1271" s="3">
        <v>0</v>
      </c>
      <c r="BH1271" s="3">
        <v>0</v>
      </c>
      <c r="BI1271" s="3">
        <v>0</v>
      </c>
      <c r="BJ1271" s="3">
        <v>0</v>
      </c>
      <c r="BK1271" s="3">
        <v>0</v>
      </c>
      <c r="BL1271" s="3">
        <v>0</v>
      </c>
      <c r="BM1271" s="3">
        <v>0</v>
      </c>
      <c r="BN1271" s="3">
        <v>0</v>
      </c>
      <c r="BO1271" s="3">
        <v>0</v>
      </c>
      <c r="BP1271" s="3">
        <v>0</v>
      </c>
      <c r="BQ1271" s="3">
        <v>0</v>
      </c>
      <c r="BR1271" s="3">
        <v>0</v>
      </c>
      <c r="BS1271" s="3">
        <v>0</v>
      </c>
      <c r="BT1271" s="3">
        <v>0</v>
      </c>
      <c r="BU1271" s="3">
        <v>0</v>
      </c>
    </row>
    <row r="1272" spans="1:73" x14ac:dyDescent="0.25">
      <c r="A1272" s="2" t="s">
        <v>145</v>
      </c>
      <c r="B1272" s="4">
        <v>73</v>
      </c>
      <c r="C1272" s="4">
        <v>2</v>
      </c>
      <c r="D1272" s="4">
        <v>1</v>
      </c>
      <c r="E1272" s="4">
        <v>2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  <c r="BA1272" s="3">
        <v>0</v>
      </c>
      <c r="BB1272" s="3">
        <v>0</v>
      </c>
      <c r="BC1272" s="3">
        <v>0</v>
      </c>
      <c r="BD1272" s="3">
        <v>0</v>
      </c>
      <c r="BE1272" s="3">
        <v>0</v>
      </c>
      <c r="BF1272" s="3">
        <v>0</v>
      </c>
      <c r="BG1272" s="3">
        <v>0</v>
      </c>
      <c r="BH1272" s="3">
        <v>0</v>
      </c>
      <c r="BI1272" s="3">
        <v>0</v>
      </c>
      <c r="BJ1272" s="3">
        <v>0</v>
      </c>
      <c r="BK1272" s="3">
        <v>0</v>
      </c>
      <c r="BL1272" s="3">
        <v>1</v>
      </c>
      <c r="BM1272" s="3">
        <v>0</v>
      </c>
      <c r="BN1272" s="3">
        <v>0</v>
      </c>
      <c r="BO1272" s="3">
        <v>0</v>
      </c>
      <c r="BP1272" s="3">
        <v>0</v>
      </c>
      <c r="BQ1272" s="3">
        <v>0</v>
      </c>
      <c r="BR1272" s="3">
        <v>0</v>
      </c>
      <c r="BS1272" s="3">
        <v>0</v>
      </c>
      <c r="BT1272" s="3">
        <v>1</v>
      </c>
      <c r="BU1272" s="3">
        <v>0</v>
      </c>
    </row>
    <row r="1273" spans="1:73" x14ac:dyDescent="0.25">
      <c r="A1273" s="2" t="s">
        <v>145</v>
      </c>
      <c r="B1273" s="4">
        <v>73</v>
      </c>
      <c r="C1273" s="4">
        <v>2</v>
      </c>
      <c r="D1273" s="4">
        <v>1</v>
      </c>
      <c r="E1273" s="4">
        <v>3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  <c r="BA1273" s="3">
        <v>0</v>
      </c>
      <c r="BB1273" s="3">
        <v>0</v>
      </c>
      <c r="BC1273" s="3">
        <v>0</v>
      </c>
      <c r="BD1273" s="3">
        <v>0</v>
      </c>
      <c r="BE1273" s="3">
        <v>0</v>
      </c>
      <c r="BF1273" s="3">
        <v>0</v>
      </c>
      <c r="BG1273" s="3">
        <v>0</v>
      </c>
      <c r="BH1273" s="3">
        <v>0</v>
      </c>
      <c r="BI1273" s="3">
        <v>0</v>
      </c>
      <c r="BJ1273" s="3">
        <v>0</v>
      </c>
      <c r="BK1273" s="3">
        <v>0</v>
      </c>
      <c r="BL1273" s="3">
        <v>1</v>
      </c>
      <c r="BM1273" s="3">
        <v>0</v>
      </c>
      <c r="BN1273" s="3">
        <v>0</v>
      </c>
      <c r="BO1273" s="3">
        <v>0</v>
      </c>
      <c r="BP1273" s="3">
        <v>0</v>
      </c>
      <c r="BQ1273" s="3">
        <v>0</v>
      </c>
      <c r="BR1273" s="3">
        <v>0</v>
      </c>
      <c r="BS1273" s="3">
        <v>0</v>
      </c>
      <c r="BT1273" s="3">
        <v>0</v>
      </c>
      <c r="BU1273" s="3">
        <v>0</v>
      </c>
    </row>
    <row r="1274" spans="1:73" x14ac:dyDescent="0.25">
      <c r="A1274" s="2" t="s">
        <v>145</v>
      </c>
      <c r="B1274" s="4">
        <v>73</v>
      </c>
      <c r="C1274" s="4">
        <v>2</v>
      </c>
      <c r="D1274" s="4">
        <v>2</v>
      </c>
      <c r="E1274" s="4">
        <v>1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0</v>
      </c>
      <c r="BD1274" s="3">
        <v>0</v>
      </c>
      <c r="BE1274" s="3">
        <v>0</v>
      </c>
      <c r="BF1274" s="3">
        <v>0</v>
      </c>
      <c r="BG1274" s="3">
        <v>0</v>
      </c>
      <c r="BH1274" s="3">
        <v>0</v>
      </c>
      <c r="BI1274" s="3">
        <v>0</v>
      </c>
      <c r="BJ1274" s="3">
        <v>0</v>
      </c>
      <c r="BK1274" s="3">
        <v>0</v>
      </c>
      <c r="BL1274" s="3">
        <v>0</v>
      </c>
      <c r="BM1274" s="3">
        <v>0</v>
      </c>
      <c r="BN1274" s="3">
        <v>0</v>
      </c>
      <c r="BO1274" s="3">
        <v>0</v>
      </c>
      <c r="BP1274" s="3">
        <v>0</v>
      </c>
      <c r="BQ1274" s="3">
        <v>0</v>
      </c>
      <c r="BR1274" s="3">
        <v>0</v>
      </c>
      <c r="BS1274" s="3">
        <v>0</v>
      </c>
      <c r="BT1274" s="3">
        <v>0</v>
      </c>
      <c r="BU1274" s="3">
        <v>0</v>
      </c>
    </row>
    <row r="1275" spans="1:73" x14ac:dyDescent="0.25">
      <c r="A1275" s="2" t="s">
        <v>145</v>
      </c>
      <c r="B1275" s="4">
        <v>73</v>
      </c>
      <c r="C1275" s="4">
        <v>2</v>
      </c>
      <c r="D1275" s="4">
        <v>2</v>
      </c>
      <c r="E1275" s="4">
        <v>2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1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0</v>
      </c>
      <c r="AX1275" s="3">
        <v>0</v>
      </c>
      <c r="AY1275" s="3">
        <v>0</v>
      </c>
      <c r="AZ1275" s="3">
        <v>0</v>
      </c>
      <c r="BA1275" s="3">
        <v>0</v>
      </c>
      <c r="BB1275" s="3">
        <v>0</v>
      </c>
      <c r="BC1275" s="3">
        <v>0</v>
      </c>
      <c r="BD1275" s="3">
        <v>0</v>
      </c>
      <c r="BE1275" s="3">
        <v>0</v>
      </c>
      <c r="BF1275" s="3">
        <v>0</v>
      </c>
      <c r="BG1275" s="3">
        <v>0</v>
      </c>
      <c r="BH1275" s="3">
        <v>0</v>
      </c>
      <c r="BI1275" s="3">
        <v>0</v>
      </c>
      <c r="BJ1275" s="3">
        <v>0</v>
      </c>
      <c r="BK1275" s="3">
        <v>0</v>
      </c>
      <c r="BL1275" s="3">
        <v>0</v>
      </c>
      <c r="BM1275" s="3">
        <v>0</v>
      </c>
      <c r="BN1275" s="3">
        <v>0</v>
      </c>
      <c r="BO1275" s="3">
        <v>0</v>
      </c>
      <c r="BP1275" s="3">
        <v>0</v>
      </c>
      <c r="BQ1275" s="3">
        <v>0</v>
      </c>
      <c r="BR1275" s="3">
        <v>0</v>
      </c>
      <c r="BS1275" s="3">
        <v>0</v>
      </c>
      <c r="BT1275" s="3">
        <v>1</v>
      </c>
      <c r="BU1275" s="3">
        <v>0</v>
      </c>
    </row>
    <row r="1276" spans="1:73" x14ac:dyDescent="0.25">
      <c r="A1276" s="2" t="s">
        <v>145</v>
      </c>
      <c r="B1276" s="4">
        <v>73</v>
      </c>
      <c r="C1276" s="4">
        <v>2</v>
      </c>
      <c r="D1276" s="4">
        <v>2</v>
      </c>
      <c r="E1276" s="4">
        <v>3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3">
        <v>0</v>
      </c>
      <c r="AW1276" s="3">
        <v>0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0</v>
      </c>
      <c r="BD1276" s="3">
        <v>0</v>
      </c>
      <c r="BE1276" s="3">
        <v>0</v>
      </c>
      <c r="BF1276" s="3">
        <v>0</v>
      </c>
      <c r="BG1276" s="3">
        <v>0</v>
      </c>
      <c r="BH1276" s="3">
        <v>0</v>
      </c>
      <c r="BI1276" s="3">
        <v>0</v>
      </c>
      <c r="BJ1276" s="3">
        <v>0</v>
      </c>
      <c r="BK1276" s="3">
        <v>0</v>
      </c>
      <c r="BL1276" s="3">
        <v>0</v>
      </c>
      <c r="BM1276" s="3">
        <v>0</v>
      </c>
      <c r="BN1276" s="3">
        <v>0</v>
      </c>
      <c r="BO1276" s="3">
        <v>0</v>
      </c>
      <c r="BP1276" s="3">
        <v>0</v>
      </c>
      <c r="BQ1276" s="3">
        <v>0</v>
      </c>
      <c r="BR1276" s="3">
        <v>0</v>
      </c>
      <c r="BS1276" s="3">
        <v>0</v>
      </c>
      <c r="BT1276" s="3">
        <v>0</v>
      </c>
      <c r="BU1276" s="3">
        <v>0</v>
      </c>
    </row>
    <row r="1277" spans="1:73" x14ac:dyDescent="0.25">
      <c r="A1277" s="2" t="s">
        <v>145</v>
      </c>
      <c r="B1277" s="4">
        <v>73</v>
      </c>
      <c r="C1277" s="4">
        <v>2</v>
      </c>
      <c r="D1277" s="4">
        <v>3</v>
      </c>
      <c r="E1277" s="4">
        <v>1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3">
        <v>0</v>
      </c>
      <c r="AV1277" s="3">
        <v>0</v>
      </c>
      <c r="AW1277" s="3">
        <v>0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0</v>
      </c>
      <c r="BD1277" s="3">
        <v>0</v>
      </c>
      <c r="BE1277" s="3">
        <v>0</v>
      </c>
      <c r="BF1277" s="3">
        <v>0</v>
      </c>
      <c r="BG1277" s="3">
        <v>0</v>
      </c>
      <c r="BH1277" s="3">
        <v>0</v>
      </c>
      <c r="BI1277" s="3">
        <v>0</v>
      </c>
      <c r="BJ1277" s="3">
        <v>0</v>
      </c>
      <c r="BK1277" s="3">
        <v>0</v>
      </c>
      <c r="BL1277" s="3">
        <v>0</v>
      </c>
      <c r="BM1277" s="3">
        <v>0</v>
      </c>
      <c r="BN1277" s="3">
        <v>0</v>
      </c>
      <c r="BO1277" s="3">
        <v>0</v>
      </c>
      <c r="BP1277" s="3">
        <v>0</v>
      </c>
      <c r="BQ1277" s="3">
        <v>0</v>
      </c>
      <c r="BR1277" s="3">
        <v>0</v>
      </c>
      <c r="BS1277" s="3">
        <v>0</v>
      </c>
      <c r="BT1277" s="3">
        <v>0</v>
      </c>
      <c r="BU1277" s="3">
        <v>0</v>
      </c>
    </row>
    <row r="1278" spans="1:73" x14ac:dyDescent="0.25">
      <c r="A1278" s="2" t="s">
        <v>145</v>
      </c>
      <c r="B1278" s="4">
        <v>73</v>
      </c>
      <c r="C1278" s="4">
        <v>2</v>
      </c>
      <c r="D1278" s="4">
        <v>3</v>
      </c>
      <c r="E1278" s="4">
        <v>2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1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  <c r="AV1278" s="3">
        <v>0</v>
      </c>
      <c r="AW1278" s="3">
        <v>0</v>
      </c>
      <c r="AX1278" s="3">
        <v>0</v>
      </c>
      <c r="AY1278" s="3">
        <v>0</v>
      </c>
      <c r="AZ1278" s="3">
        <v>0</v>
      </c>
      <c r="BA1278" s="3">
        <v>0</v>
      </c>
      <c r="BB1278" s="3">
        <v>0</v>
      </c>
      <c r="BC1278" s="3">
        <v>0</v>
      </c>
      <c r="BD1278" s="3">
        <v>0</v>
      </c>
      <c r="BE1278" s="3">
        <v>0</v>
      </c>
      <c r="BF1278" s="3">
        <v>0</v>
      </c>
      <c r="BG1278" s="3">
        <v>0</v>
      </c>
      <c r="BH1278" s="3">
        <v>0</v>
      </c>
      <c r="BI1278" s="3">
        <v>0</v>
      </c>
      <c r="BJ1278" s="3">
        <v>0</v>
      </c>
      <c r="BK1278" s="3">
        <v>0</v>
      </c>
      <c r="BL1278" s="3">
        <v>0</v>
      </c>
      <c r="BM1278" s="3">
        <v>0</v>
      </c>
      <c r="BN1278" s="3">
        <v>0</v>
      </c>
      <c r="BO1278" s="3">
        <v>0</v>
      </c>
      <c r="BP1278" s="3">
        <v>0</v>
      </c>
      <c r="BQ1278" s="3">
        <v>0</v>
      </c>
      <c r="BR1278" s="3">
        <v>0</v>
      </c>
      <c r="BS1278" s="3">
        <v>0</v>
      </c>
      <c r="BT1278" s="3">
        <v>0</v>
      </c>
      <c r="BU1278" s="3">
        <v>0</v>
      </c>
    </row>
    <row r="1279" spans="1:73" x14ac:dyDescent="0.25">
      <c r="A1279" s="2" t="s">
        <v>145</v>
      </c>
      <c r="B1279" s="4">
        <v>73</v>
      </c>
      <c r="C1279" s="4">
        <v>2</v>
      </c>
      <c r="D1279" s="4">
        <v>3</v>
      </c>
      <c r="E1279" s="4">
        <v>3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1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3">
        <v>0</v>
      </c>
      <c r="AV1279" s="3">
        <v>0</v>
      </c>
      <c r="AW1279" s="3">
        <v>0</v>
      </c>
      <c r="AX1279" s="3">
        <v>0</v>
      </c>
      <c r="AY1279" s="3">
        <v>0</v>
      </c>
      <c r="AZ1279" s="3">
        <v>0</v>
      </c>
      <c r="BA1279" s="3">
        <v>0</v>
      </c>
      <c r="BB1279" s="3">
        <v>0</v>
      </c>
      <c r="BC1279" s="3">
        <v>0</v>
      </c>
      <c r="BD1279" s="3">
        <v>0</v>
      </c>
      <c r="BE1279" s="3">
        <v>0</v>
      </c>
      <c r="BF1279" s="3">
        <v>0</v>
      </c>
      <c r="BG1279" s="3">
        <v>0</v>
      </c>
      <c r="BH1279" s="3">
        <v>0</v>
      </c>
      <c r="BI1279" s="3">
        <v>0</v>
      </c>
      <c r="BJ1279" s="3">
        <v>0</v>
      </c>
      <c r="BK1279" s="3">
        <v>0</v>
      </c>
      <c r="BL1279" s="3">
        <v>0</v>
      </c>
      <c r="BM1279" s="3">
        <v>0</v>
      </c>
      <c r="BN1279" s="3">
        <v>0</v>
      </c>
      <c r="BO1279" s="3">
        <v>0</v>
      </c>
      <c r="BP1279" s="3">
        <v>0</v>
      </c>
      <c r="BQ1279" s="3">
        <v>0</v>
      </c>
      <c r="BR1279" s="3">
        <v>0</v>
      </c>
      <c r="BS1279" s="3">
        <v>0</v>
      </c>
      <c r="BT1279" s="3">
        <v>0</v>
      </c>
      <c r="BU1279" s="3">
        <v>0</v>
      </c>
    </row>
    <row r="1280" spans="1:73" x14ac:dyDescent="0.25">
      <c r="A1280" s="2" t="s">
        <v>146</v>
      </c>
      <c r="B1280" s="4">
        <v>74</v>
      </c>
      <c r="C1280" s="4">
        <v>1</v>
      </c>
      <c r="D1280" s="4">
        <v>1</v>
      </c>
      <c r="E1280" s="4">
        <v>1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1</v>
      </c>
      <c r="AA1280" s="3">
        <v>0</v>
      </c>
      <c r="AB1280" s="3">
        <v>0</v>
      </c>
      <c r="AC1280" s="3">
        <v>0</v>
      </c>
      <c r="AD1280" s="3">
        <v>0</v>
      </c>
      <c r="AE1280" s="3">
        <v>2</v>
      </c>
      <c r="AF1280" s="3">
        <v>0</v>
      </c>
      <c r="AG1280" s="3">
        <v>0</v>
      </c>
      <c r="AH1280" s="3">
        <v>0</v>
      </c>
      <c r="AI1280" s="3">
        <v>0</v>
      </c>
      <c r="AJ1280" s="3">
        <v>2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  <c r="AU1280" s="3">
        <v>0</v>
      </c>
      <c r="AV1280" s="3">
        <v>0</v>
      </c>
      <c r="AW1280" s="3">
        <v>0</v>
      </c>
      <c r="AX1280" s="3">
        <v>0</v>
      </c>
      <c r="AY1280" s="3">
        <v>0</v>
      </c>
      <c r="AZ1280" s="3">
        <v>0</v>
      </c>
      <c r="BA1280" s="3">
        <v>0</v>
      </c>
      <c r="BB1280" s="3">
        <v>0</v>
      </c>
      <c r="BC1280" s="3">
        <v>0</v>
      </c>
      <c r="BD1280" s="3">
        <v>0</v>
      </c>
      <c r="BE1280" s="3">
        <v>0</v>
      </c>
      <c r="BF1280" s="3">
        <v>0</v>
      </c>
      <c r="BG1280" s="3">
        <v>0</v>
      </c>
      <c r="BH1280" s="3">
        <v>0</v>
      </c>
      <c r="BI1280" s="3">
        <v>0</v>
      </c>
      <c r="BJ1280" s="3">
        <v>0</v>
      </c>
      <c r="BK1280" s="3">
        <v>0</v>
      </c>
      <c r="BL1280" s="3">
        <v>0</v>
      </c>
      <c r="BM1280" s="3">
        <v>0</v>
      </c>
      <c r="BN1280" s="3">
        <v>0</v>
      </c>
      <c r="BO1280" s="3">
        <v>0</v>
      </c>
      <c r="BP1280" s="3">
        <v>0</v>
      </c>
      <c r="BQ1280" s="3">
        <v>0</v>
      </c>
      <c r="BR1280" s="3">
        <v>0</v>
      </c>
      <c r="BS1280" s="3">
        <v>0</v>
      </c>
      <c r="BT1280" s="3">
        <v>2</v>
      </c>
      <c r="BU1280" s="3">
        <v>0</v>
      </c>
    </row>
    <row r="1281" spans="1:73" x14ac:dyDescent="0.25">
      <c r="A1281" s="2" t="s">
        <v>146</v>
      </c>
      <c r="B1281" s="4">
        <v>74</v>
      </c>
      <c r="C1281" s="4">
        <v>1</v>
      </c>
      <c r="D1281" s="4">
        <v>1</v>
      </c>
      <c r="E1281" s="4">
        <v>2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  <c r="AJ1281" s="3">
        <v>0</v>
      </c>
      <c r="AK1281" s="3">
        <v>0</v>
      </c>
      <c r="AL1281" s="3">
        <v>0</v>
      </c>
      <c r="AM1281" s="3">
        <v>0</v>
      </c>
      <c r="AN1281" s="3">
        <v>0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3">
        <v>0</v>
      </c>
      <c r="AW1281" s="3">
        <v>0</v>
      </c>
      <c r="AX1281" s="3">
        <v>0</v>
      </c>
      <c r="AY1281" s="3">
        <v>0</v>
      </c>
      <c r="AZ1281" s="3">
        <v>0</v>
      </c>
      <c r="BA1281" s="3">
        <v>0</v>
      </c>
      <c r="BB1281" s="3">
        <v>0</v>
      </c>
      <c r="BC1281" s="3">
        <v>0</v>
      </c>
      <c r="BD1281" s="3">
        <v>0</v>
      </c>
      <c r="BE1281" s="3">
        <v>0</v>
      </c>
      <c r="BF1281" s="3">
        <v>0</v>
      </c>
      <c r="BG1281" s="3">
        <v>0</v>
      </c>
      <c r="BH1281" s="3">
        <v>0</v>
      </c>
      <c r="BI1281" s="3">
        <v>0</v>
      </c>
      <c r="BJ1281" s="3">
        <v>0</v>
      </c>
      <c r="BK1281" s="3">
        <v>0</v>
      </c>
      <c r="BL1281" s="3">
        <v>0</v>
      </c>
      <c r="BM1281" s="3">
        <v>0</v>
      </c>
      <c r="BN1281" s="3">
        <v>0</v>
      </c>
      <c r="BO1281" s="3">
        <v>0</v>
      </c>
      <c r="BP1281" s="3">
        <v>0</v>
      </c>
      <c r="BQ1281" s="3">
        <v>0</v>
      </c>
      <c r="BR1281" s="3">
        <v>0</v>
      </c>
      <c r="BS1281" s="3">
        <v>0</v>
      </c>
      <c r="BT1281" s="3">
        <v>0</v>
      </c>
      <c r="BU1281" s="3">
        <v>0</v>
      </c>
    </row>
    <row r="1282" spans="1:73" x14ac:dyDescent="0.25">
      <c r="A1282" s="2" t="s">
        <v>146</v>
      </c>
      <c r="B1282" s="4">
        <v>74</v>
      </c>
      <c r="C1282" s="4">
        <v>1</v>
      </c>
      <c r="D1282" s="4">
        <v>1</v>
      </c>
      <c r="E1282" s="4">
        <v>3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0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3">
        <v>0</v>
      </c>
      <c r="AV1282" s="3">
        <v>0</v>
      </c>
      <c r="AW1282" s="3">
        <v>0</v>
      </c>
      <c r="AX1282" s="3">
        <v>0</v>
      </c>
      <c r="AY1282" s="3">
        <v>0</v>
      </c>
      <c r="AZ1282" s="3">
        <v>0</v>
      </c>
      <c r="BA1282" s="3">
        <v>0</v>
      </c>
      <c r="BB1282" s="3">
        <v>0</v>
      </c>
      <c r="BC1282" s="3">
        <v>0</v>
      </c>
      <c r="BD1282" s="3">
        <v>0</v>
      </c>
      <c r="BE1282" s="3">
        <v>0</v>
      </c>
      <c r="BF1282" s="3">
        <v>0</v>
      </c>
      <c r="BG1282" s="3">
        <v>0</v>
      </c>
      <c r="BH1282" s="3">
        <v>0</v>
      </c>
      <c r="BI1282" s="3">
        <v>0</v>
      </c>
      <c r="BJ1282" s="3">
        <v>0</v>
      </c>
      <c r="BK1282" s="3">
        <v>0</v>
      </c>
      <c r="BL1282" s="3">
        <v>0</v>
      </c>
      <c r="BM1282" s="3">
        <v>0</v>
      </c>
      <c r="BN1282" s="3">
        <v>0</v>
      </c>
      <c r="BO1282" s="3">
        <v>0</v>
      </c>
      <c r="BP1282" s="3">
        <v>0</v>
      </c>
      <c r="BQ1282" s="3">
        <v>0</v>
      </c>
      <c r="BR1282" s="3">
        <v>0</v>
      </c>
      <c r="BS1282" s="3">
        <v>0</v>
      </c>
      <c r="BT1282" s="3">
        <v>0</v>
      </c>
      <c r="BU1282" s="3">
        <v>0</v>
      </c>
    </row>
    <row r="1283" spans="1:73" x14ac:dyDescent="0.25">
      <c r="A1283" s="2" t="s">
        <v>146</v>
      </c>
      <c r="B1283" s="4">
        <v>74</v>
      </c>
      <c r="C1283" s="4">
        <v>1</v>
      </c>
      <c r="D1283" s="4">
        <v>2</v>
      </c>
      <c r="E1283" s="4">
        <v>1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V1283" s="3">
        <v>0</v>
      </c>
      <c r="AW1283" s="3">
        <v>0</v>
      </c>
      <c r="AX1283" s="3">
        <v>0</v>
      </c>
      <c r="AY1283" s="3">
        <v>0</v>
      </c>
      <c r="AZ1283" s="3">
        <v>0</v>
      </c>
      <c r="BA1283" s="3">
        <v>0</v>
      </c>
      <c r="BB1283" s="3">
        <v>0</v>
      </c>
      <c r="BC1283" s="3">
        <v>0</v>
      </c>
      <c r="BD1283" s="3">
        <v>0</v>
      </c>
      <c r="BE1283" s="3">
        <v>0</v>
      </c>
      <c r="BF1283" s="3">
        <v>0</v>
      </c>
      <c r="BG1283" s="3">
        <v>0</v>
      </c>
      <c r="BH1283" s="3">
        <v>0</v>
      </c>
      <c r="BI1283" s="3">
        <v>0</v>
      </c>
      <c r="BJ1283" s="3">
        <v>0</v>
      </c>
      <c r="BK1283" s="3">
        <v>0</v>
      </c>
      <c r="BL1283" s="3">
        <v>0</v>
      </c>
      <c r="BM1283" s="3">
        <v>0</v>
      </c>
      <c r="BN1283" s="3">
        <v>0</v>
      </c>
      <c r="BO1283" s="3">
        <v>0</v>
      </c>
      <c r="BP1283" s="3">
        <v>0</v>
      </c>
      <c r="BQ1283" s="3">
        <v>0</v>
      </c>
      <c r="BR1283" s="3">
        <v>0</v>
      </c>
      <c r="BS1283" s="3">
        <v>0</v>
      </c>
      <c r="BT1283" s="3">
        <v>0</v>
      </c>
      <c r="BU1283" s="3">
        <v>0</v>
      </c>
    </row>
    <row r="1284" spans="1:73" x14ac:dyDescent="0.25">
      <c r="A1284" s="2" t="s">
        <v>146</v>
      </c>
      <c r="B1284" s="4">
        <v>74</v>
      </c>
      <c r="C1284" s="4">
        <v>1</v>
      </c>
      <c r="D1284" s="4">
        <v>2</v>
      </c>
      <c r="E1284" s="4">
        <v>2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2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  <c r="AV1284" s="3">
        <v>0</v>
      </c>
      <c r="AW1284" s="3">
        <v>0</v>
      </c>
      <c r="AX1284" s="3">
        <v>0</v>
      </c>
      <c r="AY1284" s="3">
        <v>0</v>
      </c>
      <c r="AZ1284" s="3">
        <v>0</v>
      </c>
      <c r="BA1284" s="3">
        <v>0</v>
      </c>
      <c r="BB1284" s="3">
        <v>0</v>
      </c>
      <c r="BC1284" s="3">
        <v>0</v>
      </c>
      <c r="BD1284" s="3">
        <v>0</v>
      </c>
      <c r="BE1284" s="3">
        <v>0</v>
      </c>
      <c r="BF1284" s="3">
        <v>0</v>
      </c>
      <c r="BG1284" s="3">
        <v>0</v>
      </c>
      <c r="BH1284" s="3">
        <v>0</v>
      </c>
      <c r="BI1284" s="3">
        <v>0</v>
      </c>
      <c r="BJ1284" s="3">
        <v>0</v>
      </c>
      <c r="BK1284" s="3">
        <v>0</v>
      </c>
      <c r="BL1284" s="3">
        <v>0</v>
      </c>
      <c r="BM1284" s="3">
        <v>0</v>
      </c>
      <c r="BN1284" s="3">
        <v>0</v>
      </c>
      <c r="BO1284" s="3">
        <v>0</v>
      </c>
      <c r="BP1284" s="3">
        <v>0</v>
      </c>
      <c r="BQ1284" s="3">
        <v>0</v>
      </c>
      <c r="BR1284" s="3">
        <v>0</v>
      </c>
      <c r="BS1284" s="3">
        <v>0</v>
      </c>
      <c r="BT1284" s="3">
        <v>0</v>
      </c>
      <c r="BU1284" s="3">
        <v>0</v>
      </c>
    </row>
    <row r="1285" spans="1:73" x14ac:dyDescent="0.25">
      <c r="A1285" s="2" t="s">
        <v>146</v>
      </c>
      <c r="B1285" s="4">
        <v>74</v>
      </c>
      <c r="C1285" s="4">
        <v>1</v>
      </c>
      <c r="D1285" s="4">
        <v>2</v>
      </c>
      <c r="E1285" s="4">
        <v>3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3">
        <v>0</v>
      </c>
      <c r="AW1285" s="3">
        <v>0</v>
      </c>
      <c r="AX1285" s="3">
        <v>0</v>
      </c>
      <c r="AY1285" s="3">
        <v>0</v>
      </c>
      <c r="AZ1285" s="3">
        <v>0</v>
      </c>
      <c r="BA1285" s="3">
        <v>0</v>
      </c>
      <c r="BB1285" s="3">
        <v>0</v>
      </c>
      <c r="BC1285" s="3">
        <v>0</v>
      </c>
      <c r="BD1285" s="3">
        <v>0</v>
      </c>
      <c r="BE1285" s="3">
        <v>0</v>
      </c>
      <c r="BF1285" s="3">
        <v>0</v>
      </c>
      <c r="BG1285" s="3">
        <v>0</v>
      </c>
      <c r="BH1285" s="3">
        <v>0</v>
      </c>
      <c r="BI1285" s="3">
        <v>0</v>
      </c>
      <c r="BJ1285" s="3">
        <v>0</v>
      </c>
      <c r="BK1285" s="3">
        <v>0</v>
      </c>
      <c r="BL1285" s="3">
        <v>0</v>
      </c>
      <c r="BM1285" s="3">
        <v>0</v>
      </c>
      <c r="BN1285" s="3">
        <v>0</v>
      </c>
      <c r="BO1285" s="3">
        <v>0</v>
      </c>
      <c r="BP1285" s="3">
        <v>0</v>
      </c>
      <c r="BQ1285" s="3">
        <v>0</v>
      </c>
      <c r="BR1285" s="3">
        <v>0</v>
      </c>
      <c r="BS1285" s="3">
        <v>1</v>
      </c>
      <c r="BT1285" s="3">
        <v>0</v>
      </c>
      <c r="BU1285" s="3">
        <v>0</v>
      </c>
    </row>
    <row r="1286" spans="1:73" x14ac:dyDescent="0.25">
      <c r="A1286" s="2" t="s">
        <v>146</v>
      </c>
      <c r="B1286" s="4">
        <v>74</v>
      </c>
      <c r="C1286" s="4">
        <v>1</v>
      </c>
      <c r="D1286" s="4">
        <v>3</v>
      </c>
      <c r="E1286" s="4">
        <v>1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2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  <c r="AJ1286" s="3">
        <v>1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  <c r="AV1286" s="3">
        <v>0</v>
      </c>
      <c r="AW1286" s="3">
        <v>0</v>
      </c>
      <c r="AX1286" s="3">
        <v>0</v>
      </c>
      <c r="AY1286" s="3">
        <v>0</v>
      </c>
      <c r="AZ1286" s="3">
        <v>0</v>
      </c>
      <c r="BA1286" s="3">
        <v>0</v>
      </c>
      <c r="BB1286" s="3">
        <v>0</v>
      </c>
      <c r="BC1286" s="3">
        <v>0</v>
      </c>
      <c r="BD1286" s="3">
        <v>0</v>
      </c>
      <c r="BE1286" s="3">
        <v>0</v>
      </c>
      <c r="BF1286" s="3">
        <v>0</v>
      </c>
      <c r="BG1286" s="3">
        <v>0</v>
      </c>
      <c r="BH1286" s="3">
        <v>0</v>
      </c>
      <c r="BI1286" s="3">
        <v>0</v>
      </c>
      <c r="BJ1286" s="3">
        <v>0</v>
      </c>
      <c r="BK1286" s="3">
        <v>0</v>
      </c>
      <c r="BL1286" s="3">
        <v>0</v>
      </c>
      <c r="BM1286" s="3">
        <v>0</v>
      </c>
      <c r="BN1286" s="3">
        <v>0</v>
      </c>
      <c r="BO1286" s="3">
        <v>0</v>
      </c>
      <c r="BP1286" s="3">
        <v>0</v>
      </c>
      <c r="BQ1286" s="3">
        <v>0</v>
      </c>
      <c r="BR1286" s="3">
        <v>0</v>
      </c>
      <c r="BS1286" s="3">
        <v>0</v>
      </c>
      <c r="BT1286" s="3">
        <v>0</v>
      </c>
      <c r="BU1286" s="3">
        <v>0</v>
      </c>
    </row>
    <row r="1287" spans="1:73" x14ac:dyDescent="0.25">
      <c r="A1287" s="2" t="s">
        <v>146</v>
      </c>
      <c r="B1287" s="4">
        <v>74</v>
      </c>
      <c r="C1287" s="4">
        <v>1</v>
      </c>
      <c r="D1287" s="4">
        <v>3</v>
      </c>
      <c r="E1287" s="4">
        <v>2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3">
        <v>0</v>
      </c>
      <c r="AQ1287" s="3">
        <v>0</v>
      </c>
      <c r="AR1287" s="3">
        <v>0</v>
      </c>
      <c r="AS1287" s="3">
        <v>0</v>
      </c>
      <c r="AT1287" s="3">
        <v>0</v>
      </c>
      <c r="AU1287" s="3">
        <v>0</v>
      </c>
      <c r="AV1287" s="3">
        <v>0</v>
      </c>
      <c r="AW1287" s="3">
        <v>0</v>
      </c>
      <c r="AX1287" s="3">
        <v>0</v>
      </c>
      <c r="AY1287" s="3">
        <v>0</v>
      </c>
      <c r="AZ1287" s="3">
        <v>0</v>
      </c>
      <c r="BA1287" s="3">
        <v>0</v>
      </c>
      <c r="BB1287" s="3">
        <v>0</v>
      </c>
      <c r="BC1287" s="3">
        <v>0</v>
      </c>
      <c r="BD1287" s="3">
        <v>0</v>
      </c>
      <c r="BE1287" s="3">
        <v>0</v>
      </c>
      <c r="BF1287" s="3">
        <v>0</v>
      </c>
      <c r="BG1287" s="3">
        <v>0</v>
      </c>
      <c r="BH1287" s="3">
        <v>0</v>
      </c>
      <c r="BI1287" s="3">
        <v>0</v>
      </c>
      <c r="BJ1287" s="3">
        <v>0</v>
      </c>
      <c r="BK1287" s="3">
        <v>0</v>
      </c>
      <c r="BL1287" s="3">
        <v>0</v>
      </c>
      <c r="BM1287" s="3">
        <v>0</v>
      </c>
      <c r="BN1287" s="3">
        <v>0</v>
      </c>
      <c r="BO1287" s="3">
        <v>0</v>
      </c>
      <c r="BP1287" s="3">
        <v>0</v>
      </c>
      <c r="BQ1287" s="3">
        <v>0</v>
      </c>
      <c r="BR1287" s="3">
        <v>0</v>
      </c>
      <c r="BS1287" s="3">
        <v>0</v>
      </c>
      <c r="BT1287" s="3">
        <v>1</v>
      </c>
      <c r="BU1287" s="3">
        <v>0</v>
      </c>
    </row>
    <row r="1288" spans="1:73" x14ac:dyDescent="0.25">
      <c r="A1288" s="2" t="s">
        <v>146</v>
      </c>
      <c r="B1288" s="4">
        <v>74</v>
      </c>
      <c r="C1288" s="4">
        <v>1</v>
      </c>
      <c r="D1288" s="4">
        <v>3</v>
      </c>
      <c r="E1288" s="4">
        <v>3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V1288" s="3">
        <v>0</v>
      </c>
      <c r="AW1288" s="3">
        <v>0</v>
      </c>
      <c r="AX1288" s="3">
        <v>0</v>
      </c>
      <c r="AY1288" s="3">
        <v>0</v>
      </c>
      <c r="AZ1288" s="3">
        <v>0</v>
      </c>
      <c r="BA1288" s="3">
        <v>0</v>
      </c>
      <c r="BB1288" s="3">
        <v>0</v>
      </c>
      <c r="BC1288" s="3">
        <v>0</v>
      </c>
      <c r="BD1288" s="3">
        <v>0</v>
      </c>
      <c r="BE1288" s="3">
        <v>0</v>
      </c>
      <c r="BF1288" s="3">
        <v>0</v>
      </c>
      <c r="BG1288" s="3">
        <v>0</v>
      </c>
      <c r="BH1288" s="3">
        <v>0</v>
      </c>
      <c r="BI1288" s="3">
        <v>0</v>
      </c>
      <c r="BJ1288" s="3">
        <v>0</v>
      </c>
      <c r="BK1288" s="3">
        <v>0</v>
      </c>
      <c r="BL1288" s="3">
        <v>1</v>
      </c>
      <c r="BM1288" s="3">
        <v>0</v>
      </c>
      <c r="BN1288" s="3">
        <v>0</v>
      </c>
      <c r="BO1288" s="3">
        <v>0</v>
      </c>
      <c r="BP1288" s="3">
        <v>0</v>
      </c>
      <c r="BQ1288" s="3">
        <v>0</v>
      </c>
      <c r="BR1288" s="3">
        <v>0</v>
      </c>
      <c r="BS1288" s="3">
        <v>0</v>
      </c>
      <c r="BT1288" s="3">
        <v>0</v>
      </c>
      <c r="BU1288" s="3">
        <v>0</v>
      </c>
    </row>
    <row r="1289" spans="1:73" x14ac:dyDescent="0.25">
      <c r="A1289" s="2" t="s">
        <v>146</v>
      </c>
      <c r="B1289" s="4">
        <v>74</v>
      </c>
      <c r="C1289" s="4">
        <v>2</v>
      </c>
      <c r="D1289" s="4">
        <v>1</v>
      </c>
      <c r="E1289" s="4">
        <v>1</v>
      </c>
      <c r="F1289" s="3">
        <v>0</v>
      </c>
      <c r="G1289" s="3">
        <v>1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1</v>
      </c>
      <c r="N1289" s="3">
        <v>0</v>
      </c>
      <c r="O1289" s="3">
        <v>0</v>
      </c>
      <c r="P1289" s="3">
        <v>1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0</v>
      </c>
      <c r="AX1289" s="3">
        <v>0</v>
      </c>
      <c r="AY1289" s="3">
        <v>0</v>
      </c>
      <c r="AZ1289" s="3">
        <v>0</v>
      </c>
      <c r="BA1289" s="3">
        <v>0</v>
      </c>
      <c r="BB1289" s="3">
        <v>0</v>
      </c>
      <c r="BC1289" s="3">
        <v>0</v>
      </c>
      <c r="BD1289" s="3">
        <v>0</v>
      </c>
      <c r="BE1289" s="3">
        <v>0</v>
      </c>
      <c r="BF1289" s="3">
        <v>0</v>
      </c>
      <c r="BG1289" s="3">
        <v>0</v>
      </c>
      <c r="BH1289" s="3">
        <v>0</v>
      </c>
      <c r="BI1289" s="3">
        <v>0</v>
      </c>
      <c r="BJ1289" s="3">
        <v>0</v>
      </c>
      <c r="BK1289" s="3">
        <v>0</v>
      </c>
      <c r="BL1289" s="3">
        <v>0</v>
      </c>
      <c r="BM1289" s="3">
        <v>0</v>
      </c>
      <c r="BN1289" s="3">
        <v>0</v>
      </c>
      <c r="BO1289" s="3">
        <v>0</v>
      </c>
      <c r="BP1289" s="3">
        <v>0</v>
      </c>
      <c r="BQ1289" s="3">
        <v>0</v>
      </c>
      <c r="BR1289" s="3">
        <v>0</v>
      </c>
      <c r="BS1289" s="3">
        <v>0</v>
      </c>
      <c r="BT1289" s="3">
        <v>0</v>
      </c>
      <c r="BU1289" s="3">
        <v>0</v>
      </c>
    </row>
    <row r="1290" spans="1:73" x14ac:dyDescent="0.25">
      <c r="A1290" s="2" t="s">
        <v>146</v>
      </c>
      <c r="B1290" s="4">
        <v>74</v>
      </c>
      <c r="C1290" s="4">
        <v>2</v>
      </c>
      <c r="D1290" s="4">
        <v>1</v>
      </c>
      <c r="E1290" s="4">
        <v>2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2</v>
      </c>
      <c r="AA1290" s="3">
        <v>0</v>
      </c>
      <c r="AB1290" s="3">
        <v>0</v>
      </c>
      <c r="AC1290" s="3">
        <v>0</v>
      </c>
      <c r="AD1290" s="3">
        <v>0</v>
      </c>
      <c r="AE1290" s="3">
        <v>1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  <c r="AT1290" s="3">
        <v>0</v>
      </c>
      <c r="AU1290" s="3">
        <v>0</v>
      </c>
      <c r="AV1290" s="3">
        <v>0</v>
      </c>
      <c r="AW1290" s="3">
        <v>0</v>
      </c>
      <c r="AX1290" s="3">
        <v>0</v>
      </c>
      <c r="AY1290" s="3">
        <v>0</v>
      </c>
      <c r="AZ1290" s="3">
        <v>0</v>
      </c>
      <c r="BA1290" s="3">
        <v>0</v>
      </c>
      <c r="BB1290" s="3">
        <v>0</v>
      </c>
      <c r="BC1290" s="3">
        <v>0</v>
      </c>
      <c r="BD1290" s="3">
        <v>0</v>
      </c>
      <c r="BE1290" s="3">
        <v>0</v>
      </c>
      <c r="BF1290" s="3">
        <v>0</v>
      </c>
      <c r="BG1290" s="3">
        <v>0</v>
      </c>
      <c r="BH1290" s="3">
        <v>0</v>
      </c>
      <c r="BI1290" s="3">
        <v>1</v>
      </c>
      <c r="BJ1290" s="3">
        <v>0</v>
      </c>
      <c r="BK1290" s="3">
        <v>0</v>
      </c>
      <c r="BL1290" s="3">
        <v>0</v>
      </c>
      <c r="BM1290" s="3">
        <v>0</v>
      </c>
      <c r="BN1290" s="3">
        <v>0</v>
      </c>
      <c r="BO1290" s="3">
        <v>0</v>
      </c>
      <c r="BP1290" s="3">
        <v>0</v>
      </c>
      <c r="BQ1290" s="3">
        <v>0</v>
      </c>
      <c r="BR1290" s="3">
        <v>0</v>
      </c>
      <c r="BS1290" s="3">
        <v>0</v>
      </c>
      <c r="BT1290" s="3">
        <v>1</v>
      </c>
      <c r="BU1290" s="3">
        <v>0</v>
      </c>
    </row>
    <row r="1291" spans="1:73" x14ac:dyDescent="0.25">
      <c r="A1291" s="2" t="s">
        <v>146</v>
      </c>
      <c r="B1291" s="4">
        <v>74</v>
      </c>
      <c r="C1291" s="4">
        <v>2</v>
      </c>
      <c r="D1291" s="4">
        <v>1</v>
      </c>
      <c r="E1291" s="4">
        <v>3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3">
        <v>0</v>
      </c>
      <c r="AV1291" s="3">
        <v>0</v>
      </c>
      <c r="AW1291" s="3">
        <v>0</v>
      </c>
      <c r="AX1291" s="3">
        <v>0</v>
      </c>
      <c r="AY1291" s="3">
        <v>0</v>
      </c>
      <c r="AZ1291" s="3">
        <v>0</v>
      </c>
      <c r="BA1291" s="3">
        <v>0</v>
      </c>
      <c r="BB1291" s="3">
        <v>0</v>
      </c>
      <c r="BC1291" s="3">
        <v>0</v>
      </c>
      <c r="BD1291" s="3">
        <v>0</v>
      </c>
      <c r="BE1291" s="3">
        <v>0</v>
      </c>
      <c r="BF1291" s="3">
        <v>0</v>
      </c>
      <c r="BG1291" s="3">
        <v>0</v>
      </c>
      <c r="BH1291" s="3">
        <v>0</v>
      </c>
      <c r="BI1291" s="3">
        <v>0</v>
      </c>
      <c r="BJ1291" s="3">
        <v>0</v>
      </c>
      <c r="BK1291" s="3">
        <v>0</v>
      </c>
      <c r="BL1291" s="3">
        <v>1</v>
      </c>
      <c r="BM1291" s="3">
        <v>0</v>
      </c>
      <c r="BN1291" s="3">
        <v>0</v>
      </c>
      <c r="BO1291" s="3">
        <v>0</v>
      </c>
      <c r="BP1291" s="3">
        <v>0</v>
      </c>
      <c r="BQ1291" s="3">
        <v>0</v>
      </c>
      <c r="BR1291" s="3">
        <v>0</v>
      </c>
      <c r="BS1291" s="3">
        <v>0</v>
      </c>
      <c r="BT1291" s="3">
        <v>0</v>
      </c>
      <c r="BU1291" s="3">
        <v>0</v>
      </c>
    </row>
    <row r="1292" spans="1:73" x14ac:dyDescent="0.25">
      <c r="A1292" s="2" t="s">
        <v>146</v>
      </c>
      <c r="B1292" s="4">
        <v>74</v>
      </c>
      <c r="C1292" s="4">
        <v>2</v>
      </c>
      <c r="D1292" s="4">
        <v>2</v>
      </c>
      <c r="E1292" s="4">
        <v>1</v>
      </c>
      <c r="F1292" s="3">
        <v>0</v>
      </c>
      <c r="G1292" s="3">
        <v>1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V1292" s="3">
        <v>0</v>
      </c>
      <c r="AW1292" s="3">
        <v>0</v>
      </c>
      <c r="AX1292" s="3">
        <v>0</v>
      </c>
      <c r="AY1292" s="3">
        <v>0</v>
      </c>
      <c r="AZ1292" s="3">
        <v>0</v>
      </c>
      <c r="BA1292" s="3">
        <v>0</v>
      </c>
      <c r="BB1292" s="3">
        <v>0</v>
      </c>
      <c r="BC1292" s="3">
        <v>0</v>
      </c>
      <c r="BD1292" s="3">
        <v>0</v>
      </c>
      <c r="BE1292" s="3">
        <v>0</v>
      </c>
      <c r="BF1292" s="3">
        <v>0</v>
      </c>
      <c r="BG1292" s="3">
        <v>0</v>
      </c>
      <c r="BH1292" s="3">
        <v>0</v>
      </c>
      <c r="BI1292" s="3">
        <v>0</v>
      </c>
      <c r="BJ1292" s="3">
        <v>0</v>
      </c>
      <c r="BK1292" s="3">
        <v>0</v>
      </c>
      <c r="BL1292" s="3">
        <v>0</v>
      </c>
      <c r="BM1292" s="3">
        <v>0</v>
      </c>
      <c r="BN1292" s="3">
        <v>0</v>
      </c>
      <c r="BO1292" s="3">
        <v>0</v>
      </c>
      <c r="BP1292" s="3">
        <v>0</v>
      </c>
      <c r="BQ1292" s="3">
        <v>0</v>
      </c>
      <c r="BR1292" s="3">
        <v>0</v>
      </c>
      <c r="BS1292" s="3">
        <v>0</v>
      </c>
      <c r="BT1292" s="3">
        <v>0</v>
      </c>
      <c r="BU1292" s="3">
        <v>0</v>
      </c>
    </row>
    <row r="1293" spans="1:73" x14ac:dyDescent="0.25">
      <c r="A1293" s="2" t="s">
        <v>146</v>
      </c>
      <c r="B1293" s="4">
        <v>74</v>
      </c>
      <c r="C1293" s="4">
        <v>2</v>
      </c>
      <c r="D1293" s="4">
        <v>2</v>
      </c>
      <c r="E1293" s="4">
        <v>2</v>
      </c>
      <c r="F1293" s="3">
        <v>0</v>
      </c>
      <c r="G1293" s="3">
        <v>1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  <c r="AO1293" s="3">
        <v>0</v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3">
        <v>0</v>
      </c>
      <c r="AV1293" s="3">
        <v>0</v>
      </c>
      <c r="AW1293" s="3">
        <v>0</v>
      </c>
      <c r="AX1293" s="3">
        <v>0</v>
      </c>
      <c r="AY1293" s="3">
        <v>0</v>
      </c>
      <c r="AZ1293" s="3">
        <v>0</v>
      </c>
      <c r="BA1293" s="3">
        <v>0</v>
      </c>
      <c r="BB1293" s="3">
        <v>0</v>
      </c>
      <c r="BC1293" s="3">
        <v>0</v>
      </c>
      <c r="BD1293" s="3">
        <v>0</v>
      </c>
      <c r="BE1293" s="3">
        <v>0</v>
      </c>
      <c r="BF1293" s="3">
        <v>0</v>
      </c>
      <c r="BG1293" s="3">
        <v>0</v>
      </c>
      <c r="BH1293" s="3">
        <v>0</v>
      </c>
      <c r="BI1293" s="3">
        <v>0</v>
      </c>
      <c r="BJ1293" s="3">
        <v>0</v>
      </c>
      <c r="BK1293" s="3">
        <v>0</v>
      </c>
      <c r="BL1293" s="3">
        <v>0</v>
      </c>
      <c r="BM1293" s="3">
        <v>0</v>
      </c>
      <c r="BN1293" s="3">
        <v>0</v>
      </c>
      <c r="BO1293" s="3">
        <v>0</v>
      </c>
      <c r="BP1293" s="3">
        <v>0</v>
      </c>
      <c r="BQ1293" s="3">
        <v>0</v>
      </c>
      <c r="BR1293" s="3">
        <v>0</v>
      </c>
      <c r="BS1293" s="3">
        <v>0</v>
      </c>
      <c r="BT1293" s="3">
        <v>0</v>
      </c>
      <c r="BU1293" s="3">
        <v>0</v>
      </c>
    </row>
    <row r="1294" spans="1:73" x14ac:dyDescent="0.25">
      <c r="A1294" s="2" t="s">
        <v>146</v>
      </c>
      <c r="B1294" s="4">
        <v>74</v>
      </c>
      <c r="C1294" s="4">
        <v>2</v>
      </c>
      <c r="D1294" s="4">
        <v>2</v>
      </c>
      <c r="E1294" s="4">
        <v>3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  <c r="AV1294" s="3">
        <v>0</v>
      </c>
      <c r="AW1294" s="3">
        <v>0</v>
      </c>
      <c r="AX1294" s="3">
        <v>0</v>
      </c>
      <c r="AY1294" s="3">
        <v>0</v>
      </c>
      <c r="AZ1294" s="3">
        <v>0</v>
      </c>
      <c r="BA1294" s="3">
        <v>0</v>
      </c>
      <c r="BB1294" s="3">
        <v>0</v>
      </c>
      <c r="BC1294" s="3">
        <v>0</v>
      </c>
      <c r="BD1294" s="3">
        <v>0</v>
      </c>
      <c r="BE1294" s="3">
        <v>0</v>
      </c>
      <c r="BF1294" s="3">
        <v>0</v>
      </c>
      <c r="BG1294" s="3">
        <v>0</v>
      </c>
      <c r="BH1294" s="3">
        <v>0</v>
      </c>
      <c r="BI1294" s="3">
        <v>0</v>
      </c>
      <c r="BJ1294" s="3">
        <v>0</v>
      </c>
      <c r="BK1294" s="3">
        <v>0</v>
      </c>
      <c r="BL1294" s="3">
        <v>0</v>
      </c>
      <c r="BM1294" s="3">
        <v>0</v>
      </c>
      <c r="BN1294" s="3">
        <v>0</v>
      </c>
      <c r="BO1294" s="3">
        <v>0</v>
      </c>
      <c r="BP1294" s="3">
        <v>0</v>
      </c>
      <c r="BQ1294" s="3">
        <v>0</v>
      </c>
      <c r="BR1294" s="3">
        <v>0</v>
      </c>
      <c r="BS1294" s="3">
        <v>0</v>
      </c>
      <c r="BT1294" s="3">
        <v>0</v>
      </c>
      <c r="BU1294" s="3">
        <v>0</v>
      </c>
    </row>
    <row r="1295" spans="1:73" x14ac:dyDescent="0.25">
      <c r="A1295" s="2" t="s">
        <v>146</v>
      </c>
      <c r="B1295" s="4">
        <v>74</v>
      </c>
      <c r="C1295" s="4">
        <v>2</v>
      </c>
      <c r="D1295" s="4">
        <v>3</v>
      </c>
      <c r="E1295" s="4">
        <v>1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1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1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0</v>
      </c>
      <c r="AW1295" s="3">
        <v>0</v>
      </c>
      <c r="AX1295" s="3">
        <v>0</v>
      </c>
      <c r="AY1295" s="3">
        <v>0</v>
      </c>
      <c r="AZ1295" s="3">
        <v>0</v>
      </c>
      <c r="BA1295" s="3">
        <v>0</v>
      </c>
      <c r="BB1295" s="3">
        <v>0</v>
      </c>
      <c r="BC1295" s="3">
        <v>0</v>
      </c>
      <c r="BD1295" s="3">
        <v>0</v>
      </c>
      <c r="BE1295" s="3">
        <v>0</v>
      </c>
      <c r="BF1295" s="3">
        <v>0</v>
      </c>
      <c r="BG1295" s="3">
        <v>0</v>
      </c>
      <c r="BH1295" s="3">
        <v>0</v>
      </c>
      <c r="BI1295" s="3">
        <v>0</v>
      </c>
      <c r="BJ1295" s="3">
        <v>0</v>
      </c>
      <c r="BK1295" s="3">
        <v>0</v>
      </c>
      <c r="BL1295" s="3">
        <v>0</v>
      </c>
      <c r="BM1295" s="3">
        <v>0</v>
      </c>
      <c r="BN1295" s="3">
        <v>0</v>
      </c>
      <c r="BO1295" s="3">
        <v>0</v>
      </c>
      <c r="BP1295" s="3">
        <v>0</v>
      </c>
      <c r="BQ1295" s="3">
        <v>0</v>
      </c>
      <c r="BR1295" s="3">
        <v>0</v>
      </c>
      <c r="BS1295" s="3">
        <v>0</v>
      </c>
      <c r="BT1295" s="3">
        <v>1</v>
      </c>
      <c r="BU1295" s="3">
        <v>0</v>
      </c>
    </row>
    <row r="1296" spans="1:73" x14ac:dyDescent="0.25">
      <c r="A1296" s="2" t="s">
        <v>146</v>
      </c>
      <c r="B1296" s="4">
        <v>74</v>
      </c>
      <c r="C1296" s="4">
        <v>2</v>
      </c>
      <c r="D1296" s="4">
        <v>3</v>
      </c>
      <c r="E1296" s="4">
        <v>2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  <c r="AU1296" s="3">
        <v>0</v>
      </c>
      <c r="AV1296" s="3">
        <v>0</v>
      </c>
      <c r="AW1296" s="3">
        <v>0</v>
      </c>
      <c r="AX1296" s="3">
        <v>0</v>
      </c>
      <c r="AY1296" s="3">
        <v>0</v>
      </c>
      <c r="AZ1296" s="3">
        <v>0</v>
      </c>
      <c r="BA1296" s="3">
        <v>0</v>
      </c>
      <c r="BB1296" s="3">
        <v>0</v>
      </c>
      <c r="BC1296" s="3">
        <v>0</v>
      </c>
      <c r="BD1296" s="3">
        <v>0</v>
      </c>
      <c r="BE1296" s="3">
        <v>0</v>
      </c>
      <c r="BF1296" s="3">
        <v>0</v>
      </c>
      <c r="BG1296" s="3">
        <v>0</v>
      </c>
      <c r="BH1296" s="3">
        <v>0</v>
      </c>
      <c r="BI1296" s="3">
        <v>0</v>
      </c>
      <c r="BJ1296" s="3">
        <v>0</v>
      </c>
      <c r="BK1296" s="3">
        <v>0</v>
      </c>
      <c r="BL1296" s="3">
        <v>0</v>
      </c>
      <c r="BM1296" s="3">
        <v>0</v>
      </c>
      <c r="BN1296" s="3">
        <v>0</v>
      </c>
      <c r="BO1296" s="3">
        <v>0</v>
      </c>
      <c r="BP1296" s="3">
        <v>0</v>
      </c>
      <c r="BQ1296" s="3">
        <v>0</v>
      </c>
      <c r="BR1296" s="3">
        <v>0</v>
      </c>
      <c r="BS1296" s="3">
        <v>0</v>
      </c>
      <c r="BT1296" s="3">
        <v>0</v>
      </c>
      <c r="BU1296" s="3">
        <v>0</v>
      </c>
    </row>
    <row r="1297" spans="1:73" x14ac:dyDescent="0.25">
      <c r="A1297" s="2" t="s">
        <v>146</v>
      </c>
      <c r="B1297" s="4">
        <v>74</v>
      </c>
      <c r="C1297" s="4">
        <v>2</v>
      </c>
      <c r="D1297" s="4">
        <v>3</v>
      </c>
      <c r="E1297" s="4">
        <v>3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3">
        <v>0</v>
      </c>
      <c r="AW1297" s="3">
        <v>0</v>
      </c>
      <c r="AX1297" s="3">
        <v>0</v>
      </c>
      <c r="AY1297" s="3">
        <v>0</v>
      </c>
      <c r="AZ1297" s="3">
        <v>0</v>
      </c>
      <c r="BA1297" s="3">
        <v>0</v>
      </c>
      <c r="BB1297" s="3">
        <v>0</v>
      </c>
      <c r="BC1297" s="3">
        <v>0</v>
      </c>
      <c r="BD1297" s="3">
        <v>0</v>
      </c>
      <c r="BE1297" s="3">
        <v>0</v>
      </c>
      <c r="BF1297" s="3">
        <v>0</v>
      </c>
      <c r="BG1297" s="3">
        <v>0</v>
      </c>
      <c r="BH1297" s="3">
        <v>0</v>
      </c>
      <c r="BI1297" s="3">
        <v>0</v>
      </c>
      <c r="BJ1297" s="3">
        <v>0</v>
      </c>
      <c r="BK1297" s="3">
        <v>0</v>
      </c>
      <c r="BL1297" s="3">
        <v>0</v>
      </c>
      <c r="BM1297" s="3">
        <v>0</v>
      </c>
      <c r="BN1297" s="3">
        <v>0</v>
      </c>
      <c r="BO1297" s="3">
        <v>0</v>
      </c>
      <c r="BP1297" s="3">
        <v>0</v>
      </c>
      <c r="BQ1297" s="3">
        <v>0</v>
      </c>
      <c r="BR1297" s="3">
        <v>0</v>
      </c>
      <c r="BS1297" s="3">
        <v>0</v>
      </c>
      <c r="BT1297" s="3">
        <v>0</v>
      </c>
      <c r="BU1297" s="3">
        <v>0</v>
      </c>
    </row>
    <row r="1298" spans="1:73" x14ac:dyDescent="0.25">
      <c r="A1298" s="2" t="s">
        <v>147</v>
      </c>
      <c r="B1298" s="4">
        <v>75</v>
      </c>
      <c r="C1298" s="4">
        <v>1</v>
      </c>
      <c r="D1298" s="4">
        <v>1</v>
      </c>
      <c r="E1298" s="4">
        <v>1</v>
      </c>
      <c r="F1298" s="3">
        <v>0</v>
      </c>
      <c r="G1298" s="3">
        <v>1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1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  <c r="AJ1298" s="3">
        <v>0</v>
      </c>
      <c r="AK1298" s="3">
        <v>0</v>
      </c>
      <c r="AL1298" s="3">
        <v>0</v>
      </c>
      <c r="AM1298" s="3">
        <v>0</v>
      </c>
      <c r="AN1298" s="3">
        <v>0</v>
      </c>
      <c r="AO1298" s="3">
        <v>0</v>
      </c>
      <c r="AP1298" s="3">
        <v>0</v>
      </c>
      <c r="AQ1298" s="3">
        <v>0</v>
      </c>
      <c r="AR1298" s="3">
        <v>0</v>
      </c>
      <c r="AS1298" s="3">
        <v>0</v>
      </c>
      <c r="AT1298" s="3">
        <v>0</v>
      </c>
      <c r="AU1298" s="3">
        <v>0</v>
      </c>
      <c r="AV1298" s="3">
        <v>0</v>
      </c>
      <c r="AW1298" s="3">
        <v>0</v>
      </c>
      <c r="AX1298" s="3">
        <v>0</v>
      </c>
      <c r="AY1298" s="3">
        <v>0</v>
      </c>
      <c r="AZ1298" s="3">
        <v>0</v>
      </c>
      <c r="BA1298" s="3">
        <v>0</v>
      </c>
      <c r="BB1298" s="3">
        <v>0</v>
      </c>
      <c r="BC1298" s="3">
        <v>0</v>
      </c>
      <c r="BD1298" s="3">
        <v>0</v>
      </c>
      <c r="BE1298" s="3">
        <v>0</v>
      </c>
      <c r="BF1298" s="3">
        <v>0</v>
      </c>
      <c r="BG1298" s="3">
        <v>0</v>
      </c>
      <c r="BH1298" s="3">
        <v>0</v>
      </c>
      <c r="BI1298" s="3">
        <v>0</v>
      </c>
      <c r="BJ1298" s="3">
        <v>0</v>
      </c>
      <c r="BK1298" s="3">
        <v>0</v>
      </c>
      <c r="BL1298" s="3">
        <v>0</v>
      </c>
      <c r="BM1298" s="3">
        <v>0</v>
      </c>
      <c r="BN1298" s="3">
        <v>0</v>
      </c>
      <c r="BO1298" s="3">
        <v>0</v>
      </c>
      <c r="BP1298" s="3">
        <v>0</v>
      </c>
      <c r="BQ1298" s="3">
        <v>0</v>
      </c>
      <c r="BR1298" s="3">
        <v>0</v>
      </c>
      <c r="BS1298" s="3">
        <v>0</v>
      </c>
      <c r="BT1298" s="3">
        <v>2</v>
      </c>
      <c r="BU1298" s="3">
        <v>0</v>
      </c>
    </row>
    <row r="1299" spans="1:73" x14ac:dyDescent="0.25">
      <c r="A1299" s="2" t="s">
        <v>147</v>
      </c>
      <c r="B1299" s="4">
        <v>75</v>
      </c>
      <c r="C1299" s="4">
        <v>1</v>
      </c>
      <c r="D1299" s="4">
        <v>1</v>
      </c>
      <c r="E1299" s="4">
        <v>2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1</v>
      </c>
      <c r="AA1299" s="3">
        <v>0</v>
      </c>
      <c r="AB1299" s="3">
        <v>0</v>
      </c>
      <c r="AC1299" s="3">
        <v>0</v>
      </c>
      <c r="AD1299" s="3">
        <v>0</v>
      </c>
      <c r="AE1299" s="3">
        <v>1</v>
      </c>
      <c r="AF1299" s="3">
        <v>0</v>
      </c>
      <c r="AG1299" s="3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3">
        <v>0</v>
      </c>
      <c r="AV1299" s="3">
        <v>0</v>
      </c>
      <c r="AW1299" s="3">
        <v>0</v>
      </c>
      <c r="AX1299" s="3">
        <v>0</v>
      </c>
      <c r="AY1299" s="3">
        <v>0</v>
      </c>
      <c r="AZ1299" s="3">
        <v>0</v>
      </c>
      <c r="BA1299" s="3">
        <v>0</v>
      </c>
      <c r="BB1299" s="3">
        <v>0</v>
      </c>
      <c r="BC1299" s="3">
        <v>0</v>
      </c>
      <c r="BD1299" s="3">
        <v>0</v>
      </c>
      <c r="BE1299" s="3">
        <v>0</v>
      </c>
      <c r="BF1299" s="3">
        <v>0</v>
      </c>
      <c r="BG1299" s="3">
        <v>0</v>
      </c>
      <c r="BH1299" s="3">
        <v>0</v>
      </c>
      <c r="BI1299" s="3">
        <v>0</v>
      </c>
      <c r="BJ1299" s="3">
        <v>0</v>
      </c>
      <c r="BK1299" s="3">
        <v>0</v>
      </c>
      <c r="BL1299" s="3">
        <v>0</v>
      </c>
      <c r="BM1299" s="3">
        <v>0</v>
      </c>
      <c r="BN1299" s="3">
        <v>0</v>
      </c>
      <c r="BO1299" s="3">
        <v>0</v>
      </c>
      <c r="BP1299" s="3">
        <v>0</v>
      </c>
      <c r="BQ1299" s="3">
        <v>0</v>
      </c>
      <c r="BR1299" s="3">
        <v>0</v>
      </c>
      <c r="BS1299" s="3">
        <v>0</v>
      </c>
      <c r="BT1299" s="3">
        <v>1</v>
      </c>
      <c r="BU1299" s="3">
        <v>0</v>
      </c>
    </row>
    <row r="1300" spans="1:73" x14ac:dyDescent="0.25">
      <c r="A1300" s="2" t="s">
        <v>147</v>
      </c>
      <c r="B1300" s="4">
        <v>75</v>
      </c>
      <c r="C1300" s="4">
        <v>1</v>
      </c>
      <c r="D1300" s="4">
        <v>1</v>
      </c>
      <c r="E1300" s="4">
        <v>3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  <c r="AU1300" s="3">
        <v>0</v>
      </c>
      <c r="AV1300" s="3">
        <v>0</v>
      </c>
      <c r="AW1300" s="3">
        <v>0</v>
      </c>
      <c r="AX1300" s="3">
        <v>0</v>
      </c>
      <c r="AY1300" s="3">
        <v>0</v>
      </c>
      <c r="AZ1300" s="3">
        <v>0</v>
      </c>
      <c r="BA1300" s="3">
        <v>0</v>
      </c>
      <c r="BB1300" s="3">
        <v>0</v>
      </c>
      <c r="BC1300" s="3">
        <v>0</v>
      </c>
      <c r="BD1300" s="3">
        <v>0</v>
      </c>
      <c r="BE1300" s="3">
        <v>0</v>
      </c>
      <c r="BF1300" s="3">
        <v>0</v>
      </c>
      <c r="BG1300" s="3">
        <v>0</v>
      </c>
      <c r="BH1300" s="3">
        <v>0</v>
      </c>
      <c r="BI1300" s="3">
        <v>0</v>
      </c>
      <c r="BJ1300" s="3">
        <v>0</v>
      </c>
      <c r="BK1300" s="3">
        <v>0</v>
      </c>
      <c r="BL1300" s="3">
        <v>0</v>
      </c>
      <c r="BM1300" s="3">
        <v>0</v>
      </c>
      <c r="BN1300" s="3">
        <v>0</v>
      </c>
      <c r="BO1300" s="3">
        <v>0</v>
      </c>
      <c r="BP1300" s="3">
        <v>0</v>
      </c>
      <c r="BQ1300" s="3">
        <v>0</v>
      </c>
      <c r="BR1300" s="3">
        <v>0</v>
      </c>
      <c r="BS1300" s="3">
        <v>0</v>
      </c>
      <c r="BT1300" s="3">
        <v>0</v>
      </c>
      <c r="BU1300" s="3">
        <v>0</v>
      </c>
    </row>
    <row r="1301" spans="1:73" x14ac:dyDescent="0.25">
      <c r="A1301" s="2" t="s">
        <v>147</v>
      </c>
      <c r="B1301" s="4">
        <v>75</v>
      </c>
      <c r="C1301" s="4">
        <v>1</v>
      </c>
      <c r="D1301" s="4">
        <v>2</v>
      </c>
      <c r="E1301" s="4">
        <v>1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1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2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0</v>
      </c>
      <c r="AX1301" s="3">
        <v>0</v>
      </c>
      <c r="AY1301" s="3">
        <v>0</v>
      </c>
      <c r="AZ1301" s="3">
        <v>0</v>
      </c>
      <c r="BA1301" s="3">
        <v>0</v>
      </c>
      <c r="BB1301" s="3">
        <v>0</v>
      </c>
      <c r="BC1301" s="3">
        <v>0</v>
      </c>
      <c r="BD1301" s="3">
        <v>0</v>
      </c>
      <c r="BE1301" s="3">
        <v>0</v>
      </c>
      <c r="BF1301" s="3">
        <v>0</v>
      </c>
      <c r="BG1301" s="3">
        <v>0</v>
      </c>
      <c r="BH1301" s="3">
        <v>0</v>
      </c>
      <c r="BI1301" s="3">
        <v>0</v>
      </c>
      <c r="BJ1301" s="3">
        <v>0</v>
      </c>
      <c r="BK1301" s="3">
        <v>0</v>
      </c>
      <c r="BL1301" s="3">
        <v>0</v>
      </c>
      <c r="BM1301" s="3">
        <v>0</v>
      </c>
      <c r="BN1301" s="3">
        <v>0</v>
      </c>
      <c r="BO1301" s="3">
        <v>0</v>
      </c>
      <c r="BP1301" s="3">
        <v>0</v>
      </c>
      <c r="BQ1301" s="3">
        <v>0</v>
      </c>
      <c r="BR1301" s="3">
        <v>0</v>
      </c>
      <c r="BS1301" s="3">
        <v>0</v>
      </c>
      <c r="BT1301" s="3">
        <v>0</v>
      </c>
      <c r="BU1301" s="3">
        <v>0</v>
      </c>
    </row>
    <row r="1302" spans="1:73" x14ac:dyDescent="0.25">
      <c r="A1302" s="2" t="s">
        <v>147</v>
      </c>
      <c r="B1302" s="4">
        <v>75</v>
      </c>
      <c r="C1302" s="4">
        <v>1</v>
      </c>
      <c r="D1302" s="4">
        <v>2</v>
      </c>
      <c r="E1302" s="4">
        <v>2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2</v>
      </c>
      <c r="AK1302" s="3">
        <v>0</v>
      </c>
      <c r="AL1302" s="3">
        <v>0</v>
      </c>
      <c r="AM1302" s="3">
        <v>0</v>
      </c>
      <c r="AN1302" s="3">
        <v>0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3">
        <v>0</v>
      </c>
      <c r="AV1302" s="3">
        <v>0</v>
      </c>
      <c r="AW1302" s="3">
        <v>0</v>
      </c>
      <c r="AX1302" s="3">
        <v>0</v>
      </c>
      <c r="AY1302" s="3">
        <v>0</v>
      </c>
      <c r="AZ1302" s="3">
        <v>0</v>
      </c>
      <c r="BA1302" s="3">
        <v>0</v>
      </c>
      <c r="BB1302" s="3">
        <v>0</v>
      </c>
      <c r="BC1302" s="3">
        <v>0</v>
      </c>
      <c r="BD1302" s="3">
        <v>0</v>
      </c>
      <c r="BE1302" s="3">
        <v>0</v>
      </c>
      <c r="BF1302" s="3">
        <v>0</v>
      </c>
      <c r="BG1302" s="3">
        <v>0</v>
      </c>
      <c r="BH1302" s="3">
        <v>0</v>
      </c>
      <c r="BI1302" s="3">
        <v>0</v>
      </c>
      <c r="BJ1302" s="3">
        <v>0</v>
      </c>
      <c r="BK1302" s="3">
        <v>0</v>
      </c>
      <c r="BL1302" s="3">
        <v>0</v>
      </c>
      <c r="BM1302" s="3">
        <v>0</v>
      </c>
      <c r="BN1302" s="3">
        <v>0</v>
      </c>
      <c r="BO1302" s="3">
        <v>0</v>
      </c>
      <c r="BP1302" s="3">
        <v>0</v>
      </c>
      <c r="BQ1302" s="3">
        <v>0</v>
      </c>
      <c r="BR1302" s="3">
        <v>0</v>
      </c>
      <c r="BS1302" s="3">
        <v>0</v>
      </c>
      <c r="BT1302" s="3">
        <v>0</v>
      </c>
      <c r="BU1302" s="3">
        <v>0</v>
      </c>
    </row>
    <row r="1303" spans="1:73" x14ac:dyDescent="0.25">
      <c r="A1303" s="2" t="s">
        <v>147</v>
      </c>
      <c r="B1303" s="4">
        <v>75</v>
      </c>
      <c r="C1303" s="4">
        <v>1</v>
      </c>
      <c r="D1303" s="4">
        <v>2</v>
      </c>
      <c r="E1303" s="4">
        <v>3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1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  <c r="AV1303" s="3">
        <v>0</v>
      </c>
      <c r="AW1303" s="3">
        <v>0</v>
      </c>
      <c r="AX1303" s="3">
        <v>0</v>
      </c>
      <c r="AY1303" s="3">
        <v>0</v>
      </c>
      <c r="AZ1303" s="3">
        <v>0</v>
      </c>
      <c r="BA1303" s="3">
        <v>0</v>
      </c>
      <c r="BB1303" s="3">
        <v>0</v>
      </c>
      <c r="BC1303" s="3">
        <v>0</v>
      </c>
      <c r="BD1303" s="3">
        <v>0</v>
      </c>
      <c r="BE1303" s="3">
        <v>0</v>
      </c>
      <c r="BF1303" s="3">
        <v>0</v>
      </c>
      <c r="BG1303" s="3">
        <v>0</v>
      </c>
      <c r="BH1303" s="3">
        <v>0</v>
      </c>
      <c r="BI1303" s="3">
        <v>0</v>
      </c>
      <c r="BJ1303" s="3">
        <v>0</v>
      </c>
      <c r="BK1303" s="3">
        <v>0</v>
      </c>
      <c r="BL1303" s="3">
        <v>1</v>
      </c>
      <c r="BM1303" s="3">
        <v>0</v>
      </c>
      <c r="BN1303" s="3">
        <v>0</v>
      </c>
      <c r="BO1303" s="3">
        <v>0</v>
      </c>
      <c r="BP1303" s="3">
        <v>0</v>
      </c>
      <c r="BQ1303" s="3">
        <v>0</v>
      </c>
      <c r="BR1303" s="3">
        <v>0</v>
      </c>
      <c r="BS1303" s="3">
        <v>0</v>
      </c>
      <c r="BT1303" s="3">
        <v>0</v>
      </c>
      <c r="BU1303" s="3">
        <v>0</v>
      </c>
    </row>
    <row r="1304" spans="1:73" x14ac:dyDescent="0.25">
      <c r="A1304" s="2" t="s">
        <v>147</v>
      </c>
      <c r="B1304" s="4">
        <v>75</v>
      </c>
      <c r="C1304" s="4">
        <v>1</v>
      </c>
      <c r="D1304" s="4">
        <v>3</v>
      </c>
      <c r="E1304" s="4">
        <v>1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1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1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1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3">
        <v>0</v>
      </c>
      <c r="AV1304" s="3">
        <v>0</v>
      </c>
      <c r="AW1304" s="3">
        <v>0</v>
      </c>
      <c r="AX1304" s="3">
        <v>0</v>
      </c>
      <c r="AY1304" s="3">
        <v>0</v>
      </c>
      <c r="AZ1304" s="3">
        <v>0</v>
      </c>
      <c r="BA1304" s="3">
        <v>0</v>
      </c>
      <c r="BB1304" s="3">
        <v>0</v>
      </c>
      <c r="BC1304" s="3">
        <v>0</v>
      </c>
      <c r="BD1304" s="3">
        <v>0</v>
      </c>
      <c r="BE1304" s="3">
        <v>0</v>
      </c>
      <c r="BF1304" s="3">
        <v>0</v>
      </c>
      <c r="BG1304" s="3">
        <v>0</v>
      </c>
      <c r="BH1304" s="3">
        <v>0</v>
      </c>
      <c r="BI1304" s="3">
        <v>0</v>
      </c>
      <c r="BJ1304" s="3">
        <v>0</v>
      </c>
      <c r="BK1304" s="3">
        <v>0</v>
      </c>
      <c r="BL1304" s="3">
        <v>0</v>
      </c>
      <c r="BM1304" s="3">
        <v>0</v>
      </c>
      <c r="BN1304" s="3">
        <v>0</v>
      </c>
      <c r="BO1304" s="3">
        <v>0</v>
      </c>
      <c r="BP1304" s="3">
        <v>0</v>
      </c>
      <c r="BQ1304" s="3">
        <v>0</v>
      </c>
      <c r="BR1304" s="3">
        <v>0</v>
      </c>
      <c r="BS1304" s="3">
        <v>0</v>
      </c>
      <c r="BT1304" s="3">
        <v>0</v>
      </c>
      <c r="BU1304" s="3">
        <v>0</v>
      </c>
    </row>
    <row r="1305" spans="1:73" x14ac:dyDescent="0.25">
      <c r="A1305" s="2" t="s">
        <v>147</v>
      </c>
      <c r="B1305" s="4">
        <v>75</v>
      </c>
      <c r="C1305" s="4">
        <v>1</v>
      </c>
      <c r="D1305" s="4">
        <v>3</v>
      </c>
      <c r="E1305" s="4">
        <v>2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V1305" s="3">
        <v>0</v>
      </c>
      <c r="AW1305" s="3">
        <v>0</v>
      </c>
      <c r="AX1305" s="3">
        <v>0</v>
      </c>
      <c r="AY1305" s="3">
        <v>0</v>
      </c>
      <c r="AZ1305" s="3">
        <v>0</v>
      </c>
      <c r="BA1305" s="3">
        <v>0</v>
      </c>
      <c r="BB1305" s="3">
        <v>0</v>
      </c>
      <c r="BC1305" s="3">
        <v>0</v>
      </c>
      <c r="BD1305" s="3">
        <v>0</v>
      </c>
      <c r="BE1305" s="3">
        <v>0</v>
      </c>
      <c r="BF1305" s="3">
        <v>0</v>
      </c>
      <c r="BG1305" s="3">
        <v>0</v>
      </c>
      <c r="BH1305" s="3">
        <v>0</v>
      </c>
      <c r="BI1305" s="3">
        <v>0</v>
      </c>
      <c r="BJ1305" s="3">
        <v>0</v>
      </c>
      <c r="BK1305" s="3">
        <v>0</v>
      </c>
      <c r="BL1305" s="3">
        <v>0</v>
      </c>
      <c r="BM1305" s="3">
        <v>0</v>
      </c>
      <c r="BN1305" s="3">
        <v>0</v>
      </c>
      <c r="BO1305" s="3">
        <v>0</v>
      </c>
      <c r="BP1305" s="3">
        <v>0</v>
      </c>
      <c r="BQ1305" s="3">
        <v>0</v>
      </c>
      <c r="BR1305" s="3">
        <v>0</v>
      </c>
      <c r="BS1305" s="3">
        <v>0</v>
      </c>
      <c r="BT1305" s="3">
        <v>0</v>
      </c>
      <c r="BU1305" s="3">
        <v>0</v>
      </c>
    </row>
    <row r="1306" spans="1:73" x14ac:dyDescent="0.25">
      <c r="A1306" s="2" t="s">
        <v>147</v>
      </c>
      <c r="B1306" s="4">
        <v>75</v>
      </c>
      <c r="C1306" s="4">
        <v>1</v>
      </c>
      <c r="D1306" s="4">
        <v>3</v>
      </c>
      <c r="E1306" s="4">
        <v>3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0</v>
      </c>
      <c r="AX1306" s="3">
        <v>0</v>
      </c>
      <c r="AY1306" s="3">
        <v>0</v>
      </c>
      <c r="AZ1306" s="3">
        <v>0</v>
      </c>
      <c r="BA1306" s="3">
        <v>0</v>
      </c>
      <c r="BB1306" s="3">
        <v>0</v>
      </c>
      <c r="BC1306" s="3">
        <v>0</v>
      </c>
      <c r="BD1306" s="3">
        <v>0</v>
      </c>
      <c r="BE1306" s="3">
        <v>0</v>
      </c>
      <c r="BF1306" s="3">
        <v>0</v>
      </c>
      <c r="BG1306" s="3">
        <v>0</v>
      </c>
      <c r="BH1306" s="3">
        <v>0</v>
      </c>
      <c r="BI1306" s="3">
        <v>0</v>
      </c>
      <c r="BJ1306" s="3">
        <v>0</v>
      </c>
      <c r="BK1306" s="3">
        <v>0</v>
      </c>
      <c r="BL1306" s="3">
        <v>0</v>
      </c>
      <c r="BM1306" s="3">
        <v>0</v>
      </c>
      <c r="BN1306" s="3">
        <v>0</v>
      </c>
      <c r="BO1306" s="3">
        <v>0</v>
      </c>
      <c r="BP1306" s="3">
        <v>0</v>
      </c>
      <c r="BQ1306" s="3">
        <v>0</v>
      </c>
      <c r="BR1306" s="3">
        <v>0</v>
      </c>
      <c r="BS1306" s="3">
        <v>0</v>
      </c>
      <c r="BT1306" s="3">
        <v>0</v>
      </c>
      <c r="BU1306" s="3">
        <v>0</v>
      </c>
    </row>
    <row r="1307" spans="1:73" x14ac:dyDescent="0.25">
      <c r="A1307" s="2" t="s">
        <v>147</v>
      </c>
      <c r="B1307" s="4">
        <v>75</v>
      </c>
      <c r="C1307" s="4">
        <v>2</v>
      </c>
      <c r="D1307" s="4">
        <v>1</v>
      </c>
      <c r="E1307" s="4">
        <v>1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1</v>
      </c>
      <c r="AA1307" s="3">
        <v>0</v>
      </c>
      <c r="AB1307" s="3">
        <v>0</v>
      </c>
      <c r="AC1307" s="3">
        <v>0</v>
      </c>
      <c r="AD1307" s="3">
        <v>0</v>
      </c>
      <c r="AE1307" s="3">
        <v>1</v>
      </c>
      <c r="AF1307" s="3">
        <v>0</v>
      </c>
      <c r="AG1307" s="3">
        <v>0</v>
      </c>
      <c r="AH1307" s="3">
        <v>0</v>
      </c>
      <c r="AI1307" s="3">
        <v>0</v>
      </c>
      <c r="AJ1307" s="3">
        <v>1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3">
        <v>0</v>
      </c>
      <c r="AW1307" s="3">
        <v>0</v>
      </c>
      <c r="AX1307" s="3">
        <v>0</v>
      </c>
      <c r="AY1307" s="3">
        <v>0</v>
      </c>
      <c r="AZ1307" s="3">
        <v>0</v>
      </c>
      <c r="BA1307" s="3">
        <v>0</v>
      </c>
      <c r="BB1307" s="3">
        <v>0</v>
      </c>
      <c r="BC1307" s="3">
        <v>0</v>
      </c>
      <c r="BD1307" s="3">
        <v>0</v>
      </c>
      <c r="BE1307" s="3">
        <v>0</v>
      </c>
      <c r="BF1307" s="3">
        <v>0</v>
      </c>
      <c r="BG1307" s="3">
        <v>0</v>
      </c>
      <c r="BH1307" s="3">
        <v>0</v>
      </c>
      <c r="BI1307" s="3">
        <v>0</v>
      </c>
      <c r="BJ1307" s="3">
        <v>0</v>
      </c>
      <c r="BK1307" s="3">
        <v>0</v>
      </c>
      <c r="BL1307" s="3">
        <v>0</v>
      </c>
      <c r="BM1307" s="3">
        <v>0</v>
      </c>
      <c r="BN1307" s="3">
        <v>0</v>
      </c>
      <c r="BO1307" s="3">
        <v>0</v>
      </c>
      <c r="BP1307" s="3">
        <v>0</v>
      </c>
      <c r="BQ1307" s="3">
        <v>0</v>
      </c>
      <c r="BR1307" s="3">
        <v>0</v>
      </c>
      <c r="BS1307" s="3">
        <v>0</v>
      </c>
      <c r="BT1307" s="3">
        <v>1</v>
      </c>
      <c r="BU1307" s="3">
        <v>0</v>
      </c>
    </row>
    <row r="1308" spans="1:73" x14ac:dyDescent="0.25">
      <c r="A1308" s="2" t="s">
        <v>147</v>
      </c>
      <c r="B1308" s="4">
        <v>75</v>
      </c>
      <c r="C1308" s="4">
        <v>2</v>
      </c>
      <c r="D1308" s="4">
        <v>1</v>
      </c>
      <c r="E1308" s="4">
        <v>2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1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1</v>
      </c>
      <c r="AA1308" s="3">
        <v>0</v>
      </c>
      <c r="AB1308" s="3">
        <v>0</v>
      </c>
      <c r="AC1308" s="3">
        <v>0</v>
      </c>
      <c r="AD1308" s="3">
        <v>0</v>
      </c>
      <c r="AE1308" s="3">
        <v>2</v>
      </c>
      <c r="AF1308" s="3">
        <v>0</v>
      </c>
      <c r="AG1308" s="3">
        <v>0</v>
      </c>
      <c r="AH1308" s="3">
        <v>0</v>
      </c>
      <c r="AI1308" s="3">
        <v>0</v>
      </c>
      <c r="AJ1308" s="3">
        <v>1</v>
      </c>
      <c r="AK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  <c r="AV1308" s="3">
        <v>0</v>
      </c>
      <c r="AW1308" s="3">
        <v>0</v>
      </c>
      <c r="AX1308" s="3">
        <v>0</v>
      </c>
      <c r="AY1308" s="3">
        <v>0</v>
      </c>
      <c r="AZ1308" s="3">
        <v>0</v>
      </c>
      <c r="BA1308" s="3">
        <v>0</v>
      </c>
      <c r="BB1308" s="3">
        <v>0</v>
      </c>
      <c r="BC1308" s="3">
        <v>0</v>
      </c>
      <c r="BD1308" s="3">
        <v>0</v>
      </c>
      <c r="BE1308" s="3">
        <v>0</v>
      </c>
      <c r="BF1308" s="3">
        <v>0</v>
      </c>
      <c r="BG1308" s="3">
        <v>0</v>
      </c>
      <c r="BH1308" s="3">
        <v>0</v>
      </c>
      <c r="BI1308" s="3">
        <v>1</v>
      </c>
      <c r="BJ1308" s="3">
        <v>0</v>
      </c>
      <c r="BK1308" s="3">
        <v>0</v>
      </c>
      <c r="BL1308" s="3">
        <v>0</v>
      </c>
      <c r="BM1308" s="3">
        <v>0</v>
      </c>
      <c r="BN1308" s="3">
        <v>0</v>
      </c>
      <c r="BO1308" s="3">
        <v>0</v>
      </c>
      <c r="BP1308" s="3">
        <v>0</v>
      </c>
      <c r="BQ1308" s="3">
        <v>0</v>
      </c>
      <c r="BR1308" s="3">
        <v>0</v>
      </c>
      <c r="BS1308" s="3">
        <v>0</v>
      </c>
      <c r="BT1308" s="3">
        <v>0</v>
      </c>
      <c r="BU1308" s="3">
        <v>0</v>
      </c>
    </row>
    <row r="1309" spans="1:73" x14ac:dyDescent="0.25">
      <c r="A1309" s="2" t="s">
        <v>147</v>
      </c>
      <c r="B1309" s="4">
        <v>75</v>
      </c>
      <c r="C1309" s="4">
        <v>2</v>
      </c>
      <c r="D1309" s="4">
        <v>1</v>
      </c>
      <c r="E1309" s="4">
        <v>3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3">
        <v>1</v>
      </c>
      <c r="AV1309" s="3">
        <v>0</v>
      </c>
      <c r="AW1309" s="3">
        <v>0</v>
      </c>
      <c r="AX1309" s="3">
        <v>0</v>
      </c>
      <c r="AY1309" s="3">
        <v>0</v>
      </c>
      <c r="AZ1309" s="3">
        <v>0</v>
      </c>
      <c r="BA1309" s="3">
        <v>0</v>
      </c>
      <c r="BB1309" s="3">
        <v>0</v>
      </c>
      <c r="BC1309" s="3">
        <v>0</v>
      </c>
      <c r="BD1309" s="3">
        <v>0</v>
      </c>
      <c r="BE1309" s="3">
        <v>0</v>
      </c>
      <c r="BF1309" s="3">
        <v>0</v>
      </c>
      <c r="BG1309" s="3">
        <v>0</v>
      </c>
      <c r="BH1309" s="3">
        <v>0</v>
      </c>
      <c r="BI1309" s="3">
        <v>0</v>
      </c>
      <c r="BJ1309" s="3">
        <v>0</v>
      </c>
      <c r="BK1309" s="3">
        <v>0</v>
      </c>
      <c r="BL1309" s="3">
        <v>1</v>
      </c>
      <c r="BM1309" s="3">
        <v>0</v>
      </c>
      <c r="BN1309" s="3">
        <v>0</v>
      </c>
      <c r="BO1309" s="3">
        <v>0</v>
      </c>
      <c r="BP1309" s="3">
        <v>0</v>
      </c>
      <c r="BQ1309" s="3">
        <v>0</v>
      </c>
      <c r="BR1309" s="3">
        <v>0</v>
      </c>
      <c r="BS1309" s="3">
        <v>0</v>
      </c>
      <c r="BT1309" s="3">
        <v>0</v>
      </c>
      <c r="BU1309" s="3">
        <v>0</v>
      </c>
    </row>
    <row r="1310" spans="1:73" x14ac:dyDescent="0.25">
      <c r="A1310" s="2" t="s">
        <v>147</v>
      </c>
      <c r="B1310" s="4">
        <v>75</v>
      </c>
      <c r="C1310" s="4">
        <v>2</v>
      </c>
      <c r="D1310" s="4">
        <v>2</v>
      </c>
      <c r="E1310" s="4">
        <v>1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V1310" s="3">
        <v>0</v>
      </c>
      <c r="AW1310" s="3">
        <v>0</v>
      </c>
      <c r="AX1310" s="3">
        <v>0</v>
      </c>
      <c r="AY1310" s="3">
        <v>0</v>
      </c>
      <c r="AZ1310" s="3">
        <v>0</v>
      </c>
      <c r="BA1310" s="3">
        <v>0</v>
      </c>
      <c r="BB1310" s="3">
        <v>0</v>
      </c>
      <c r="BC1310" s="3">
        <v>0</v>
      </c>
      <c r="BD1310" s="3">
        <v>0</v>
      </c>
      <c r="BE1310" s="3">
        <v>0</v>
      </c>
      <c r="BF1310" s="3">
        <v>0</v>
      </c>
      <c r="BG1310" s="3">
        <v>0</v>
      </c>
      <c r="BH1310" s="3">
        <v>0</v>
      </c>
      <c r="BI1310" s="3">
        <v>0</v>
      </c>
      <c r="BJ1310" s="3">
        <v>0</v>
      </c>
      <c r="BK1310" s="3">
        <v>0</v>
      </c>
      <c r="BL1310" s="3">
        <v>0</v>
      </c>
      <c r="BM1310" s="3">
        <v>0</v>
      </c>
      <c r="BN1310" s="3">
        <v>0</v>
      </c>
      <c r="BO1310" s="3">
        <v>0</v>
      </c>
      <c r="BP1310" s="3">
        <v>0</v>
      </c>
      <c r="BQ1310" s="3">
        <v>0</v>
      </c>
      <c r="BR1310" s="3">
        <v>0</v>
      </c>
      <c r="BS1310" s="3">
        <v>0</v>
      </c>
      <c r="BT1310" s="3">
        <v>0</v>
      </c>
      <c r="BU1310" s="3">
        <v>0</v>
      </c>
    </row>
    <row r="1311" spans="1:73" x14ac:dyDescent="0.25">
      <c r="A1311" s="2" t="s">
        <v>147</v>
      </c>
      <c r="B1311" s="4">
        <v>75</v>
      </c>
      <c r="C1311" s="4">
        <v>2</v>
      </c>
      <c r="D1311" s="4">
        <v>2</v>
      </c>
      <c r="E1311" s="4">
        <v>2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1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3">
        <v>1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0</v>
      </c>
      <c r="AX1311" s="3">
        <v>0</v>
      </c>
      <c r="AY1311" s="3">
        <v>0</v>
      </c>
      <c r="AZ1311" s="3">
        <v>0</v>
      </c>
      <c r="BA1311" s="3">
        <v>0</v>
      </c>
      <c r="BB1311" s="3">
        <v>0</v>
      </c>
      <c r="BC1311" s="3">
        <v>0</v>
      </c>
      <c r="BD1311" s="3">
        <v>0</v>
      </c>
      <c r="BE1311" s="3">
        <v>0</v>
      </c>
      <c r="BF1311" s="3">
        <v>0</v>
      </c>
      <c r="BG1311" s="3">
        <v>0</v>
      </c>
      <c r="BH1311" s="3">
        <v>0</v>
      </c>
      <c r="BI1311" s="3">
        <v>0</v>
      </c>
      <c r="BJ1311" s="3">
        <v>0</v>
      </c>
      <c r="BK1311" s="3">
        <v>0</v>
      </c>
      <c r="BL1311" s="3">
        <v>0</v>
      </c>
      <c r="BM1311" s="3">
        <v>0</v>
      </c>
      <c r="BN1311" s="3">
        <v>0</v>
      </c>
      <c r="BO1311" s="3">
        <v>0</v>
      </c>
      <c r="BP1311" s="3">
        <v>0</v>
      </c>
      <c r="BQ1311" s="3">
        <v>0</v>
      </c>
      <c r="BR1311" s="3">
        <v>0</v>
      </c>
      <c r="BS1311" s="3">
        <v>0</v>
      </c>
      <c r="BT1311" s="3">
        <v>1</v>
      </c>
      <c r="BU1311" s="3">
        <v>0</v>
      </c>
    </row>
    <row r="1312" spans="1:73" x14ac:dyDescent="0.25">
      <c r="A1312" s="2" t="s">
        <v>147</v>
      </c>
      <c r="B1312" s="4">
        <v>75</v>
      </c>
      <c r="C1312" s="4">
        <v>2</v>
      </c>
      <c r="D1312" s="4">
        <v>2</v>
      </c>
      <c r="E1312" s="4">
        <v>3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  <c r="AP1312" s="3">
        <v>0</v>
      </c>
      <c r="AQ1312" s="3">
        <v>0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0</v>
      </c>
      <c r="AX1312" s="3">
        <v>0</v>
      </c>
      <c r="AY1312" s="3">
        <v>0</v>
      </c>
      <c r="AZ1312" s="3">
        <v>0</v>
      </c>
      <c r="BA1312" s="3">
        <v>0</v>
      </c>
      <c r="BB1312" s="3">
        <v>0</v>
      </c>
      <c r="BC1312" s="3">
        <v>0</v>
      </c>
      <c r="BD1312" s="3">
        <v>0</v>
      </c>
      <c r="BE1312" s="3">
        <v>0</v>
      </c>
      <c r="BF1312" s="3">
        <v>0</v>
      </c>
      <c r="BG1312" s="3">
        <v>0</v>
      </c>
      <c r="BH1312" s="3">
        <v>0</v>
      </c>
      <c r="BI1312" s="3">
        <v>0</v>
      </c>
      <c r="BJ1312" s="3">
        <v>0</v>
      </c>
      <c r="BK1312" s="3">
        <v>0</v>
      </c>
      <c r="BL1312" s="3">
        <v>0</v>
      </c>
      <c r="BM1312" s="3">
        <v>0</v>
      </c>
      <c r="BN1312" s="3">
        <v>0</v>
      </c>
      <c r="BO1312" s="3">
        <v>0</v>
      </c>
      <c r="BP1312" s="3">
        <v>0</v>
      </c>
      <c r="BQ1312" s="3">
        <v>0</v>
      </c>
      <c r="BR1312" s="3">
        <v>0</v>
      </c>
      <c r="BS1312" s="3">
        <v>0</v>
      </c>
      <c r="BT1312" s="3">
        <v>0</v>
      </c>
      <c r="BU1312" s="3">
        <v>0</v>
      </c>
    </row>
    <row r="1313" spans="1:73" x14ac:dyDescent="0.25">
      <c r="A1313" s="2" t="s">
        <v>147</v>
      </c>
      <c r="B1313" s="4">
        <v>75</v>
      </c>
      <c r="C1313" s="4">
        <v>2</v>
      </c>
      <c r="D1313" s="4">
        <v>3</v>
      </c>
      <c r="E1313" s="4">
        <v>1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1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  <c r="AP1313" s="3">
        <v>0</v>
      </c>
      <c r="AQ1313" s="3">
        <v>0</v>
      </c>
      <c r="AR1313" s="3">
        <v>0</v>
      </c>
      <c r="AS1313" s="3">
        <v>0</v>
      </c>
      <c r="AT1313" s="3">
        <v>0</v>
      </c>
      <c r="AU1313" s="3">
        <v>0</v>
      </c>
      <c r="AV1313" s="3">
        <v>0</v>
      </c>
      <c r="AW1313" s="3">
        <v>0</v>
      </c>
      <c r="AX1313" s="3">
        <v>0</v>
      </c>
      <c r="AY1313" s="3">
        <v>0</v>
      </c>
      <c r="AZ1313" s="3">
        <v>0</v>
      </c>
      <c r="BA1313" s="3">
        <v>0</v>
      </c>
      <c r="BB1313" s="3">
        <v>0</v>
      </c>
      <c r="BC1313" s="3">
        <v>0</v>
      </c>
      <c r="BD1313" s="3">
        <v>0</v>
      </c>
      <c r="BE1313" s="3">
        <v>0</v>
      </c>
      <c r="BF1313" s="3">
        <v>0</v>
      </c>
      <c r="BG1313" s="3">
        <v>0</v>
      </c>
      <c r="BH1313" s="3">
        <v>0</v>
      </c>
      <c r="BI1313" s="3">
        <v>0</v>
      </c>
      <c r="BJ1313" s="3">
        <v>0</v>
      </c>
      <c r="BK1313" s="3">
        <v>0</v>
      </c>
      <c r="BL1313" s="3">
        <v>1</v>
      </c>
      <c r="BM1313" s="3">
        <v>0</v>
      </c>
      <c r="BN1313" s="3">
        <v>0</v>
      </c>
      <c r="BO1313" s="3">
        <v>0</v>
      </c>
      <c r="BP1313" s="3">
        <v>0</v>
      </c>
      <c r="BQ1313" s="3">
        <v>0</v>
      </c>
      <c r="BR1313" s="3">
        <v>0</v>
      </c>
      <c r="BS1313" s="3">
        <v>0</v>
      </c>
      <c r="BT1313" s="3">
        <v>0</v>
      </c>
      <c r="BU1313" s="3">
        <v>0</v>
      </c>
    </row>
    <row r="1314" spans="1:73" x14ac:dyDescent="0.25">
      <c r="A1314" s="2" t="s">
        <v>147</v>
      </c>
      <c r="B1314" s="4">
        <v>75</v>
      </c>
      <c r="C1314" s="4">
        <v>2</v>
      </c>
      <c r="D1314" s="4">
        <v>3</v>
      </c>
      <c r="E1314" s="4">
        <v>2</v>
      </c>
      <c r="F1314" s="3">
        <v>0</v>
      </c>
      <c r="G1314" s="3">
        <v>1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1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0</v>
      </c>
      <c r="AX1314" s="3">
        <v>0</v>
      </c>
      <c r="AY1314" s="3">
        <v>0</v>
      </c>
      <c r="AZ1314" s="3">
        <v>0</v>
      </c>
      <c r="BA1314" s="3">
        <v>0</v>
      </c>
      <c r="BB1314" s="3">
        <v>0</v>
      </c>
      <c r="BC1314" s="3">
        <v>0</v>
      </c>
      <c r="BD1314" s="3">
        <v>0</v>
      </c>
      <c r="BE1314" s="3">
        <v>0</v>
      </c>
      <c r="BF1314" s="3">
        <v>0</v>
      </c>
      <c r="BG1314" s="3">
        <v>0</v>
      </c>
      <c r="BH1314" s="3">
        <v>0</v>
      </c>
      <c r="BI1314" s="3">
        <v>0</v>
      </c>
      <c r="BJ1314" s="3">
        <v>0</v>
      </c>
      <c r="BK1314" s="3">
        <v>0</v>
      </c>
      <c r="BL1314" s="3">
        <v>0</v>
      </c>
      <c r="BM1314" s="3">
        <v>0</v>
      </c>
      <c r="BN1314" s="3">
        <v>0</v>
      </c>
      <c r="BO1314" s="3">
        <v>0</v>
      </c>
      <c r="BP1314" s="3">
        <v>0</v>
      </c>
      <c r="BQ1314" s="3">
        <v>0</v>
      </c>
      <c r="BR1314" s="3">
        <v>0</v>
      </c>
      <c r="BS1314" s="3">
        <v>0</v>
      </c>
      <c r="BT1314" s="3">
        <v>0</v>
      </c>
      <c r="BU1314" s="3">
        <v>0</v>
      </c>
    </row>
    <row r="1315" spans="1:73" x14ac:dyDescent="0.25">
      <c r="A1315" s="2" t="s">
        <v>147</v>
      </c>
      <c r="B1315" s="4">
        <v>75</v>
      </c>
      <c r="C1315" s="4">
        <v>2</v>
      </c>
      <c r="D1315" s="4">
        <v>3</v>
      </c>
      <c r="E1315" s="4">
        <v>3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  <c r="AX1315" s="3">
        <v>0</v>
      </c>
      <c r="AY1315" s="3">
        <v>0</v>
      </c>
      <c r="AZ1315" s="3">
        <v>0</v>
      </c>
      <c r="BA1315" s="3">
        <v>0</v>
      </c>
      <c r="BB1315" s="3">
        <v>0</v>
      </c>
      <c r="BC1315" s="3">
        <v>0</v>
      </c>
      <c r="BD1315" s="3">
        <v>0</v>
      </c>
      <c r="BE1315" s="3">
        <v>0</v>
      </c>
      <c r="BF1315" s="3">
        <v>0</v>
      </c>
      <c r="BG1315" s="3">
        <v>0</v>
      </c>
      <c r="BH1315" s="3">
        <v>0</v>
      </c>
      <c r="BI1315" s="3">
        <v>0</v>
      </c>
      <c r="BJ1315" s="3">
        <v>0</v>
      </c>
      <c r="BK1315" s="3">
        <v>0</v>
      </c>
      <c r="BL1315" s="3">
        <v>0</v>
      </c>
      <c r="BM1315" s="3">
        <v>0</v>
      </c>
      <c r="BN1315" s="3">
        <v>0</v>
      </c>
      <c r="BO1315" s="3">
        <v>0</v>
      </c>
      <c r="BP1315" s="3">
        <v>0</v>
      </c>
      <c r="BQ1315" s="3">
        <v>0</v>
      </c>
      <c r="BR1315" s="3">
        <v>0</v>
      </c>
      <c r="BS1315" s="3">
        <v>0</v>
      </c>
      <c r="BT1315" s="3">
        <v>0</v>
      </c>
      <c r="BU1315" s="3">
        <v>0</v>
      </c>
    </row>
    <row r="1316" spans="1:73" x14ac:dyDescent="0.25">
      <c r="A1316" s="2" t="s">
        <v>148</v>
      </c>
      <c r="B1316" s="4">
        <v>76</v>
      </c>
      <c r="C1316" s="4">
        <v>1</v>
      </c>
      <c r="D1316" s="4">
        <v>1</v>
      </c>
      <c r="E1316" s="4">
        <v>1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1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2</v>
      </c>
      <c r="AF1316" s="3">
        <v>0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  <c r="BA1316" s="3">
        <v>0</v>
      </c>
      <c r="BB1316" s="3">
        <v>0</v>
      </c>
      <c r="BC1316" s="3">
        <v>0</v>
      </c>
      <c r="BD1316" s="3">
        <v>0</v>
      </c>
      <c r="BE1316" s="3">
        <v>0</v>
      </c>
      <c r="BF1316" s="3">
        <v>0</v>
      </c>
      <c r="BG1316" s="3">
        <v>0</v>
      </c>
      <c r="BH1316" s="3">
        <v>1</v>
      </c>
      <c r="BI1316" s="3">
        <v>0</v>
      </c>
      <c r="BJ1316" s="3">
        <v>0</v>
      </c>
      <c r="BK1316" s="3">
        <v>0</v>
      </c>
      <c r="BL1316" s="3">
        <v>0</v>
      </c>
      <c r="BM1316" s="3">
        <v>0</v>
      </c>
      <c r="BN1316" s="3">
        <v>0</v>
      </c>
      <c r="BO1316" s="3">
        <v>0</v>
      </c>
      <c r="BP1316" s="3">
        <v>1</v>
      </c>
      <c r="BQ1316" s="3">
        <v>0</v>
      </c>
      <c r="BR1316" s="3">
        <v>0</v>
      </c>
      <c r="BS1316" s="3">
        <v>0</v>
      </c>
      <c r="BT1316" s="3">
        <v>1</v>
      </c>
      <c r="BU1316" s="3">
        <v>0</v>
      </c>
    </row>
    <row r="1317" spans="1:73" x14ac:dyDescent="0.25">
      <c r="A1317" s="2" t="s">
        <v>148</v>
      </c>
      <c r="B1317" s="4">
        <v>76</v>
      </c>
      <c r="C1317" s="4">
        <v>1</v>
      </c>
      <c r="D1317" s="4">
        <v>1</v>
      </c>
      <c r="E1317" s="4">
        <v>2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1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>
        <v>0</v>
      </c>
      <c r="AS1317" s="3">
        <v>0</v>
      </c>
      <c r="AT1317" s="3">
        <v>0</v>
      </c>
      <c r="AU1317" s="3">
        <v>0</v>
      </c>
      <c r="AV1317" s="3">
        <v>0</v>
      </c>
      <c r="AW1317" s="3">
        <v>0</v>
      </c>
      <c r="AX1317" s="3">
        <v>0</v>
      </c>
      <c r="AY1317" s="3">
        <v>0</v>
      </c>
      <c r="AZ1317" s="3">
        <v>0</v>
      </c>
      <c r="BA1317" s="3">
        <v>0</v>
      </c>
      <c r="BB1317" s="3">
        <v>0</v>
      </c>
      <c r="BC1317" s="3">
        <v>0</v>
      </c>
      <c r="BD1317" s="3">
        <v>0</v>
      </c>
      <c r="BE1317" s="3">
        <v>0</v>
      </c>
      <c r="BF1317" s="3">
        <v>0</v>
      </c>
      <c r="BG1317" s="3">
        <v>0</v>
      </c>
      <c r="BH1317" s="3">
        <v>0</v>
      </c>
      <c r="BI1317" s="3">
        <v>0</v>
      </c>
      <c r="BJ1317" s="3">
        <v>0</v>
      </c>
      <c r="BK1317" s="3">
        <v>0</v>
      </c>
      <c r="BL1317" s="3">
        <v>0</v>
      </c>
      <c r="BM1317" s="3">
        <v>0</v>
      </c>
      <c r="BN1317" s="3">
        <v>0</v>
      </c>
      <c r="BO1317" s="3">
        <v>0</v>
      </c>
      <c r="BP1317" s="3">
        <v>0</v>
      </c>
      <c r="BQ1317" s="3">
        <v>0</v>
      </c>
      <c r="BR1317" s="3">
        <v>0</v>
      </c>
      <c r="BS1317" s="3">
        <v>0</v>
      </c>
      <c r="BT1317" s="3">
        <v>1</v>
      </c>
      <c r="BU1317" s="3">
        <v>0</v>
      </c>
    </row>
    <row r="1318" spans="1:73" x14ac:dyDescent="0.25">
      <c r="A1318" s="2" t="s">
        <v>148</v>
      </c>
      <c r="B1318" s="4">
        <v>76</v>
      </c>
      <c r="C1318" s="4">
        <v>1</v>
      </c>
      <c r="D1318" s="4">
        <v>1</v>
      </c>
      <c r="E1318" s="4">
        <v>3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0</v>
      </c>
      <c r="AX1318" s="3">
        <v>0</v>
      </c>
      <c r="AY1318" s="3">
        <v>0</v>
      </c>
      <c r="AZ1318" s="3">
        <v>0</v>
      </c>
      <c r="BA1318" s="3">
        <v>0</v>
      </c>
      <c r="BB1318" s="3">
        <v>0</v>
      </c>
      <c r="BC1318" s="3">
        <v>0</v>
      </c>
      <c r="BD1318" s="3">
        <v>0</v>
      </c>
      <c r="BE1318" s="3">
        <v>0</v>
      </c>
      <c r="BF1318" s="3">
        <v>0</v>
      </c>
      <c r="BG1318" s="3">
        <v>0</v>
      </c>
      <c r="BH1318" s="3">
        <v>0</v>
      </c>
      <c r="BI1318" s="3">
        <v>0</v>
      </c>
      <c r="BJ1318" s="3">
        <v>0</v>
      </c>
      <c r="BK1318" s="3">
        <v>0</v>
      </c>
      <c r="BL1318" s="3">
        <v>0</v>
      </c>
      <c r="BM1318" s="3">
        <v>0</v>
      </c>
      <c r="BN1318" s="3">
        <v>0</v>
      </c>
      <c r="BO1318" s="3">
        <v>0</v>
      </c>
      <c r="BP1318" s="3">
        <v>0</v>
      </c>
      <c r="BQ1318" s="3">
        <v>0</v>
      </c>
      <c r="BR1318" s="3">
        <v>0</v>
      </c>
      <c r="BS1318" s="3">
        <v>0</v>
      </c>
      <c r="BT1318" s="3">
        <v>0</v>
      </c>
      <c r="BU1318" s="3">
        <v>0</v>
      </c>
    </row>
    <row r="1319" spans="1:73" x14ac:dyDescent="0.25">
      <c r="A1319" s="2" t="s">
        <v>148</v>
      </c>
      <c r="B1319" s="4">
        <v>76</v>
      </c>
      <c r="C1319" s="4">
        <v>1</v>
      </c>
      <c r="D1319" s="4">
        <v>2</v>
      </c>
      <c r="E1319" s="4">
        <v>1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1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0</v>
      </c>
      <c r="AX1319" s="3">
        <v>0</v>
      </c>
      <c r="AY1319" s="3">
        <v>0</v>
      </c>
      <c r="AZ1319" s="3">
        <v>0</v>
      </c>
      <c r="BA1319" s="3">
        <v>0</v>
      </c>
      <c r="BB1319" s="3">
        <v>0</v>
      </c>
      <c r="BC1319" s="3">
        <v>0</v>
      </c>
      <c r="BD1319" s="3">
        <v>0</v>
      </c>
      <c r="BE1319" s="3">
        <v>0</v>
      </c>
      <c r="BF1319" s="3">
        <v>0</v>
      </c>
      <c r="BG1319" s="3">
        <v>0</v>
      </c>
      <c r="BH1319" s="3">
        <v>0</v>
      </c>
      <c r="BI1319" s="3">
        <v>0</v>
      </c>
      <c r="BJ1319" s="3">
        <v>0</v>
      </c>
      <c r="BK1319" s="3">
        <v>0</v>
      </c>
      <c r="BL1319" s="3">
        <v>0</v>
      </c>
      <c r="BM1319" s="3">
        <v>0</v>
      </c>
      <c r="BN1319" s="3">
        <v>0</v>
      </c>
      <c r="BO1319" s="3">
        <v>0</v>
      </c>
      <c r="BP1319" s="3">
        <v>0</v>
      </c>
      <c r="BQ1319" s="3">
        <v>0</v>
      </c>
      <c r="BR1319" s="3">
        <v>0</v>
      </c>
      <c r="BS1319" s="3">
        <v>0</v>
      </c>
      <c r="BT1319" s="3">
        <v>0</v>
      </c>
      <c r="BU1319" s="3">
        <v>0</v>
      </c>
    </row>
    <row r="1320" spans="1:73" x14ac:dyDescent="0.25">
      <c r="A1320" s="2" t="s">
        <v>148</v>
      </c>
      <c r="B1320" s="4">
        <v>76</v>
      </c>
      <c r="C1320" s="4">
        <v>1</v>
      </c>
      <c r="D1320" s="4">
        <v>2</v>
      </c>
      <c r="E1320" s="4">
        <v>2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1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  <c r="AQ1320" s="3">
        <v>0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0</v>
      </c>
      <c r="AX1320" s="3">
        <v>0</v>
      </c>
      <c r="AY1320" s="3">
        <v>0</v>
      </c>
      <c r="AZ1320" s="3">
        <v>0</v>
      </c>
      <c r="BA1320" s="3">
        <v>0</v>
      </c>
      <c r="BB1320" s="3">
        <v>0</v>
      </c>
      <c r="BC1320" s="3">
        <v>0</v>
      </c>
      <c r="BD1320" s="3">
        <v>0</v>
      </c>
      <c r="BE1320" s="3">
        <v>0</v>
      </c>
      <c r="BF1320" s="3">
        <v>0</v>
      </c>
      <c r="BG1320" s="3">
        <v>0</v>
      </c>
      <c r="BH1320" s="3">
        <v>0</v>
      </c>
      <c r="BI1320" s="3">
        <v>0</v>
      </c>
      <c r="BJ1320" s="3">
        <v>0</v>
      </c>
      <c r="BK1320" s="3">
        <v>0</v>
      </c>
      <c r="BL1320" s="3">
        <v>0</v>
      </c>
      <c r="BM1320" s="3">
        <v>0</v>
      </c>
      <c r="BN1320" s="3">
        <v>0</v>
      </c>
      <c r="BO1320" s="3">
        <v>0</v>
      </c>
      <c r="BP1320" s="3">
        <v>0</v>
      </c>
      <c r="BQ1320" s="3">
        <v>0</v>
      </c>
      <c r="BR1320" s="3">
        <v>0</v>
      </c>
      <c r="BS1320" s="3">
        <v>0</v>
      </c>
      <c r="BT1320" s="3">
        <v>0</v>
      </c>
      <c r="BU1320" s="3">
        <v>0</v>
      </c>
    </row>
    <row r="1321" spans="1:73" x14ac:dyDescent="0.25">
      <c r="A1321" s="2" t="s">
        <v>148</v>
      </c>
      <c r="B1321" s="4">
        <v>76</v>
      </c>
      <c r="C1321" s="4">
        <v>1</v>
      </c>
      <c r="D1321" s="4">
        <v>2</v>
      </c>
      <c r="E1321" s="4">
        <v>3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1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T1321" s="3">
        <v>0</v>
      </c>
      <c r="AU1321" s="3">
        <v>0</v>
      </c>
      <c r="AV1321" s="3">
        <v>0</v>
      </c>
      <c r="AW1321" s="3">
        <v>0</v>
      </c>
      <c r="AX1321" s="3">
        <v>0</v>
      </c>
      <c r="AY1321" s="3">
        <v>0</v>
      </c>
      <c r="AZ1321" s="3">
        <v>0</v>
      </c>
      <c r="BA1321" s="3">
        <v>0</v>
      </c>
      <c r="BB1321" s="3">
        <v>0</v>
      </c>
      <c r="BC1321" s="3">
        <v>0</v>
      </c>
      <c r="BD1321" s="3">
        <v>0</v>
      </c>
      <c r="BE1321" s="3">
        <v>0</v>
      </c>
      <c r="BF1321" s="3">
        <v>0</v>
      </c>
      <c r="BG1321" s="3">
        <v>0</v>
      </c>
      <c r="BH1321" s="3">
        <v>0</v>
      </c>
      <c r="BI1321" s="3">
        <v>0</v>
      </c>
      <c r="BJ1321" s="3">
        <v>0</v>
      </c>
      <c r="BK1321" s="3">
        <v>0</v>
      </c>
      <c r="BL1321" s="3">
        <v>0</v>
      </c>
      <c r="BM1321" s="3">
        <v>0</v>
      </c>
      <c r="BN1321" s="3">
        <v>0</v>
      </c>
      <c r="BO1321" s="3">
        <v>0</v>
      </c>
      <c r="BP1321" s="3">
        <v>0</v>
      </c>
      <c r="BQ1321" s="3">
        <v>0</v>
      </c>
      <c r="BR1321" s="3">
        <v>0</v>
      </c>
      <c r="BS1321" s="3">
        <v>0</v>
      </c>
      <c r="BT1321" s="3">
        <v>0</v>
      </c>
      <c r="BU1321" s="3">
        <v>0</v>
      </c>
    </row>
    <row r="1322" spans="1:73" x14ac:dyDescent="0.25">
      <c r="A1322" s="2" t="s">
        <v>148</v>
      </c>
      <c r="B1322" s="4">
        <v>76</v>
      </c>
      <c r="C1322" s="4">
        <v>1</v>
      </c>
      <c r="D1322" s="4">
        <v>3</v>
      </c>
      <c r="E1322" s="4">
        <v>1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3">
        <v>0</v>
      </c>
      <c r="AV1322" s="3">
        <v>0</v>
      </c>
      <c r="AW1322" s="3">
        <v>0</v>
      </c>
      <c r="AX1322" s="3">
        <v>0</v>
      </c>
      <c r="AY1322" s="3">
        <v>0</v>
      </c>
      <c r="AZ1322" s="3">
        <v>0</v>
      </c>
      <c r="BA1322" s="3">
        <v>0</v>
      </c>
      <c r="BB1322" s="3">
        <v>0</v>
      </c>
      <c r="BC1322" s="3">
        <v>0</v>
      </c>
      <c r="BD1322" s="3">
        <v>0</v>
      </c>
      <c r="BE1322" s="3">
        <v>0</v>
      </c>
      <c r="BF1322" s="3">
        <v>0</v>
      </c>
      <c r="BG1322" s="3">
        <v>0</v>
      </c>
      <c r="BH1322" s="3">
        <v>0</v>
      </c>
      <c r="BI1322" s="3">
        <v>2</v>
      </c>
      <c r="BJ1322" s="3">
        <v>0</v>
      </c>
      <c r="BK1322" s="3">
        <v>0</v>
      </c>
      <c r="BL1322" s="3">
        <v>0</v>
      </c>
      <c r="BM1322" s="3">
        <v>0</v>
      </c>
      <c r="BN1322" s="3">
        <v>0</v>
      </c>
      <c r="BO1322" s="3">
        <v>0</v>
      </c>
      <c r="BP1322" s="3">
        <v>0</v>
      </c>
      <c r="BQ1322" s="3">
        <v>0</v>
      </c>
      <c r="BR1322" s="3">
        <v>0</v>
      </c>
      <c r="BS1322" s="3">
        <v>0</v>
      </c>
      <c r="BT1322" s="3">
        <v>0</v>
      </c>
      <c r="BU1322" s="3">
        <v>0</v>
      </c>
    </row>
    <row r="1323" spans="1:73" x14ac:dyDescent="0.25">
      <c r="A1323" s="2" t="s">
        <v>148</v>
      </c>
      <c r="B1323" s="4">
        <v>76</v>
      </c>
      <c r="C1323" s="4">
        <v>1</v>
      </c>
      <c r="D1323" s="4">
        <v>3</v>
      </c>
      <c r="E1323" s="4">
        <v>2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1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1</v>
      </c>
      <c r="AF1323" s="3">
        <v>0</v>
      </c>
      <c r="AG1323" s="3">
        <v>0</v>
      </c>
      <c r="AH1323" s="3">
        <v>0</v>
      </c>
      <c r="AI1323" s="3">
        <v>0</v>
      </c>
      <c r="AJ1323" s="3">
        <v>1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  <c r="AV1323" s="3">
        <v>0</v>
      </c>
      <c r="AW1323" s="3">
        <v>0</v>
      </c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v>0</v>
      </c>
      <c r="BD1323" s="3">
        <v>0</v>
      </c>
      <c r="BE1323" s="3">
        <v>0</v>
      </c>
      <c r="BF1323" s="3">
        <v>0</v>
      </c>
      <c r="BG1323" s="3">
        <v>0</v>
      </c>
      <c r="BH1323" s="3">
        <v>0</v>
      </c>
      <c r="BI1323" s="3">
        <v>0</v>
      </c>
      <c r="BJ1323" s="3">
        <v>0</v>
      </c>
      <c r="BK1323" s="3">
        <v>0</v>
      </c>
      <c r="BL1323" s="3">
        <v>0</v>
      </c>
      <c r="BM1323" s="3">
        <v>0</v>
      </c>
      <c r="BN1323" s="3">
        <v>0</v>
      </c>
      <c r="BO1323" s="3">
        <v>0</v>
      </c>
      <c r="BP1323" s="3">
        <v>0</v>
      </c>
      <c r="BQ1323" s="3">
        <v>0</v>
      </c>
      <c r="BR1323" s="3">
        <v>0</v>
      </c>
      <c r="BS1323" s="3">
        <v>0</v>
      </c>
      <c r="BT1323" s="3">
        <v>1</v>
      </c>
      <c r="BU1323" s="3">
        <v>0</v>
      </c>
    </row>
    <row r="1324" spans="1:73" x14ac:dyDescent="0.25">
      <c r="A1324" s="2" t="s">
        <v>148</v>
      </c>
      <c r="B1324" s="4">
        <v>76</v>
      </c>
      <c r="C1324" s="4">
        <v>1</v>
      </c>
      <c r="D1324" s="4">
        <v>3</v>
      </c>
      <c r="E1324" s="4">
        <v>3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T1324" s="3">
        <v>0</v>
      </c>
      <c r="AU1324" s="3">
        <v>0</v>
      </c>
      <c r="AV1324" s="3">
        <v>0</v>
      </c>
      <c r="AW1324" s="3">
        <v>0</v>
      </c>
      <c r="AX1324" s="3">
        <v>0</v>
      </c>
      <c r="AY1324" s="3">
        <v>0</v>
      </c>
      <c r="AZ1324" s="3">
        <v>0</v>
      </c>
      <c r="BA1324" s="3">
        <v>0</v>
      </c>
      <c r="BB1324" s="3">
        <v>0</v>
      </c>
      <c r="BC1324" s="3">
        <v>0</v>
      </c>
      <c r="BD1324" s="3">
        <v>0</v>
      </c>
      <c r="BE1324" s="3">
        <v>0</v>
      </c>
      <c r="BF1324" s="3">
        <v>0</v>
      </c>
      <c r="BG1324" s="3">
        <v>0</v>
      </c>
      <c r="BH1324" s="3">
        <v>0</v>
      </c>
      <c r="BI1324" s="3">
        <v>0</v>
      </c>
      <c r="BJ1324" s="3">
        <v>0</v>
      </c>
      <c r="BK1324" s="3">
        <v>0</v>
      </c>
      <c r="BL1324" s="3">
        <v>0</v>
      </c>
      <c r="BM1324" s="3">
        <v>0</v>
      </c>
      <c r="BN1324" s="3">
        <v>0</v>
      </c>
      <c r="BO1324" s="3">
        <v>0</v>
      </c>
      <c r="BP1324" s="3">
        <v>0</v>
      </c>
      <c r="BQ1324" s="3">
        <v>0</v>
      </c>
      <c r="BR1324" s="3">
        <v>0</v>
      </c>
      <c r="BS1324" s="3">
        <v>0</v>
      </c>
      <c r="BT1324" s="3">
        <v>0</v>
      </c>
      <c r="BU1324" s="3">
        <v>0</v>
      </c>
    </row>
    <row r="1325" spans="1:73" x14ac:dyDescent="0.25">
      <c r="A1325" s="2" t="s">
        <v>148</v>
      </c>
      <c r="B1325" s="4">
        <v>76</v>
      </c>
      <c r="C1325" s="4">
        <v>2</v>
      </c>
      <c r="D1325" s="4">
        <v>1</v>
      </c>
      <c r="E1325" s="4">
        <v>1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1</v>
      </c>
      <c r="AA1325" s="3">
        <v>0</v>
      </c>
      <c r="AB1325" s="3">
        <v>0</v>
      </c>
      <c r="AC1325" s="3">
        <v>0</v>
      </c>
      <c r="AD1325" s="3">
        <v>0</v>
      </c>
      <c r="AE1325" s="3">
        <v>1</v>
      </c>
      <c r="AF1325" s="3">
        <v>0</v>
      </c>
      <c r="AG1325" s="3">
        <v>0</v>
      </c>
      <c r="AH1325" s="3">
        <v>0</v>
      </c>
      <c r="AI1325" s="3">
        <v>0</v>
      </c>
      <c r="AJ1325" s="3">
        <v>2</v>
      </c>
      <c r="AK1325" s="3">
        <v>0</v>
      </c>
      <c r="AL1325" s="3">
        <v>0</v>
      </c>
      <c r="AM1325" s="3">
        <v>0</v>
      </c>
      <c r="AN1325" s="3">
        <v>0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0</v>
      </c>
      <c r="AX1325" s="3">
        <v>0</v>
      </c>
      <c r="AY1325" s="3">
        <v>0</v>
      </c>
      <c r="AZ1325" s="3">
        <v>0</v>
      </c>
      <c r="BA1325" s="3">
        <v>0</v>
      </c>
      <c r="BB1325" s="3">
        <v>0</v>
      </c>
      <c r="BC1325" s="3">
        <v>0</v>
      </c>
      <c r="BD1325" s="3">
        <v>0</v>
      </c>
      <c r="BE1325" s="3">
        <v>0</v>
      </c>
      <c r="BF1325" s="3">
        <v>0</v>
      </c>
      <c r="BG1325" s="3">
        <v>0</v>
      </c>
      <c r="BH1325" s="3">
        <v>0</v>
      </c>
      <c r="BI1325" s="3">
        <v>0</v>
      </c>
      <c r="BJ1325" s="3">
        <v>0</v>
      </c>
      <c r="BK1325" s="3">
        <v>0</v>
      </c>
      <c r="BL1325" s="3">
        <v>0</v>
      </c>
      <c r="BM1325" s="3">
        <v>0</v>
      </c>
      <c r="BN1325" s="3">
        <v>0</v>
      </c>
      <c r="BO1325" s="3">
        <v>0</v>
      </c>
      <c r="BP1325" s="3">
        <v>0</v>
      </c>
      <c r="BQ1325" s="3">
        <v>0</v>
      </c>
      <c r="BR1325" s="3">
        <v>0</v>
      </c>
      <c r="BS1325" s="3">
        <v>0</v>
      </c>
      <c r="BT1325" s="3">
        <v>0</v>
      </c>
      <c r="BU1325" s="3">
        <v>0</v>
      </c>
    </row>
    <row r="1326" spans="1:73" x14ac:dyDescent="0.25">
      <c r="A1326" s="2" t="s">
        <v>148</v>
      </c>
      <c r="B1326" s="4">
        <v>76</v>
      </c>
      <c r="C1326" s="4">
        <v>2</v>
      </c>
      <c r="D1326" s="4">
        <v>1</v>
      </c>
      <c r="E1326" s="4">
        <v>2</v>
      </c>
      <c r="F1326" s="3">
        <v>0</v>
      </c>
      <c r="G1326" s="3">
        <v>1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1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3">
        <v>1</v>
      </c>
      <c r="AF1326" s="3">
        <v>0</v>
      </c>
      <c r="AG1326" s="3">
        <v>0</v>
      </c>
      <c r="AH1326" s="3">
        <v>0</v>
      </c>
      <c r="AI1326" s="3">
        <v>0</v>
      </c>
      <c r="AJ1326" s="3">
        <v>1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0</v>
      </c>
      <c r="AQ1326" s="3">
        <v>0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W1326" s="3">
        <v>0</v>
      </c>
      <c r="AX1326" s="3">
        <v>0</v>
      </c>
      <c r="AY1326" s="3">
        <v>0</v>
      </c>
      <c r="AZ1326" s="3">
        <v>0</v>
      </c>
      <c r="BA1326" s="3">
        <v>0</v>
      </c>
      <c r="BB1326" s="3">
        <v>0</v>
      </c>
      <c r="BC1326" s="3">
        <v>0</v>
      </c>
      <c r="BD1326" s="3">
        <v>0</v>
      </c>
      <c r="BE1326" s="3">
        <v>0</v>
      </c>
      <c r="BF1326" s="3">
        <v>0</v>
      </c>
      <c r="BG1326" s="3">
        <v>0</v>
      </c>
      <c r="BH1326" s="3">
        <v>0</v>
      </c>
      <c r="BI1326" s="3">
        <v>0</v>
      </c>
      <c r="BJ1326" s="3">
        <v>0</v>
      </c>
      <c r="BK1326" s="3">
        <v>0</v>
      </c>
      <c r="BL1326" s="3">
        <v>0</v>
      </c>
      <c r="BM1326" s="3">
        <v>0</v>
      </c>
      <c r="BN1326" s="3">
        <v>0</v>
      </c>
      <c r="BO1326" s="3">
        <v>0</v>
      </c>
      <c r="BP1326" s="3">
        <v>0</v>
      </c>
      <c r="BQ1326" s="3">
        <v>0</v>
      </c>
      <c r="BR1326" s="3">
        <v>0</v>
      </c>
      <c r="BS1326" s="3">
        <v>0</v>
      </c>
      <c r="BT1326" s="3">
        <v>0</v>
      </c>
      <c r="BU1326" s="3">
        <v>0</v>
      </c>
    </row>
    <row r="1327" spans="1:73" x14ac:dyDescent="0.25">
      <c r="A1327" s="2" t="s">
        <v>148</v>
      </c>
      <c r="B1327" s="4">
        <v>76</v>
      </c>
      <c r="C1327" s="4">
        <v>2</v>
      </c>
      <c r="D1327" s="4">
        <v>1</v>
      </c>
      <c r="E1327" s="4">
        <v>3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3">
        <v>0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0</v>
      </c>
      <c r="BD1327" s="3">
        <v>0</v>
      </c>
      <c r="BE1327" s="3">
        <v>0</v>
      </c>
      <c r="BF1327" s="3">
        <v>0</v>
      </c>
      <c r="BG1327" s="3">
        <v>0</v>
      </c>
      <c r="BH1327" s="3">
        <v>0</v>
      </c>
      <c r="BI1327" s="3">
        <v>0</v>
      </c>
      <c r="BJ1327" s="3">
        <v>0</v>
      </c>
      <c r="BK1327" s="3">
        <v>0</v>
      </c>
      <c r="BL1327" s="3">
        <v>0</v>
      </c>
      <c r="BM1327" s="3">
        <v>0</v>
      </c>
      <c r="BN1327" s="3">
        <v>0</v>
      </c>
      <c r="BO1327" s="3">
        <v>0</v>
      </c>
      <c r="BP1327" s="3">
        <v>0</v>
      </c>
      <c r="BQ1327" s="3">
        <v>0</v>
      </c>
      <c r="BR1327" s="3">
        <v>0</v>
      </c>
      <c r="BS1327" s="3">
        <v>0</v>
      </c>
      <c r="BT1327" s="3">
        <v>0</v>
      </c>
      <c r="BU1327" s="3">
        <v>0</v>
      </c>
    </row>
    <row r="1328" spans="1:73" x14ac:dyDescent="0.25">
      <c r="A1328" s="2" t="s">
        <v>148</v>
      </c>
      <c r="B1328" s="4">
        <v>76</v>
      </c>
      <c r="C1328" s="4">
        <v>2</v>
      </c>
      <c r="D1328" s="4">
        <v>2</v>
      </c>
      <c r="E1328" s="4">
        <v>1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  <c r="AU1328" s="3">
        <v>0</v>
      </c>
      <c r="AV1328" s="3">
        <v>0</v>
      </c>
      <c r="AW1328" s="3">
        <v>0</v>
      </c>
      <c r="AX1328" s="3">
        <v>0</v>
      </c>
      <c r="AY1328" s="3">
        <v>0</v>
      </c>
      <c r="AZ1328" s="3">
        <v>0</v>
      </c>
      <c r="BA1328" s="3">
        <v>0</v>
      </c>
      <c r="BB1328" s="3">
        <v>0</v>
      </c>
      <c r="BC1328" s="3">
        <v>0</v>
      </c>
      <c r="BD1328" s="3">
        <v>0</v>
      </c>
      <c r="BE1328" s="3">
        <v>0</v>
      </c>
      <c r="BF1328" s="3">
        <v>0</v>
      </c>
      <c r="BG1328" s="3">
        <v>0</v>
      </c>
      <c r="BH1328" s="3">
        <v>0</v>
      </c>
      <c r="BI1328" s="3">
        <v>0</v>
      </c>
      <c r="BJ1328" s="3">
        <v>0</v>
      </c>
      <c r="BK1328" s="3">
        <v>0</v>
      </c>
      <c r="BL1328" s="3">
        <v>0</v>
      </c>
      <c r="BM1328" s="3">
        <v>0</v>
      </c>
      <c r="BN1328" s="3">
        <v>0</v>
      </c>
      <c r="BO1328" s="3">
        <v>0</v>
      </c>
      <c r="BP1328" s="3">
        <v>0</v>
      </c>
      <c r="BQ1328" s="3">
        <v>0</v>
      </c>
      <c r="BR1328" s="3">
        <v>0</v>
      </c>
      <c r="BS1328" s="3">
        <v>0</v>
      </c>
      <c r="BT1328" s="3">
        <v>0</v>
      </c>
      <c r="BU1328" s="3">
        <v>0</v>
      </c>
    </row>
    <row r="1329" spans="1:73" x14ac:dyDescent="0.25">
      <c r="A1329" s="2" t="s">
        <v>148</v>
      </c>
      <c r="B1329" s="4">
        <v>76</v>
      </c>
      <c r="C1329" s="4">
        <v>2</v>
      </c>
      <c r="D1329" s="4">
        <v>2</v>
      </c>
      <c r="E1329" s="4">
        <v>2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1</v>
      </c>
      <c r="AA1329" s="3">
        <v>0</v>
      </c>
      <c r="AB1329" s="3">
        <v>0</v>
      </c>
      <c r="AC1329" s="3">
        <v>0</v>
      </c>
      <c r="AD1329" s="3">
        <v>0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  <c r="AJ1329" s="3">
        <v>0</v>
      </c>
      <c r="AK1329" s="3">
        <v>0</v>
      </c>
      <c r="AL1329" s="3">
        <v>0</v>
      </c>
      <c r="AM1329" s="3">
        <v>0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0</v>
      </c>
      <c r="AX1329" s="3">
        <v>0</v>
      </c>
      <c r="AY1329" s="3">
        <v>0</v>
      </c>
      <c r="AZ1329" s="3">
        <v>0</v>
      </c>
      <c r="BA1329" s="3">
        <v>0</v>
      </c>
      <c r="BB1329" s="3">
        <v>0</v>
      </c>
      <c r="BC1329" s="3">
        <v>0</v>
      </c>
      <c r="BD1329" s="3">
        <v>0</v>
      </c>
      <c r="BE1329" s="3">
        <v>0</v>
      </c>
      <c r="BF1329" s="3">
        <v>0</v>
      </c>
      <c r="BG1329" s="3">
        <v>0</v>
      </c>
      <c r="BH1329" s="3">
        <v>0</v>
      </c>
      <c r="BI1329" s="3">
        <v>0</v>
      </c>
      <c r="BJ1329" s="3">
        <v>0</v>
      </c>
      <c r="BK1329" s="3">
        <v>0</v>
      </c>
      <c r="BL1329" s="3">
        <v>0</v>
      </c>
      <c r="BM1329" s="3">
        <v>0</v>
      </c>
      <c r="BN1329" s="3">
        <v>0</v>
      </c>
      <c r="BO1329" s="3">
        <v>0</v>
      </c>
      <c r="BP1329" s="3">
        <v>0</v>
      </c>
      <c r="BQ1329" s="3">
        <v>0</v>
      </c>
      <c r="BR1329" s="3">
        <v>0</v>
      </c>
      <c r="BS1329" s="3">
        <v>0</v>
      </c>
      <c r="BT1329" s="3">
        <v>1</v>
      </c>
      <c r="BU1329" s="3">
        <v>0</v>
      </c>
    </row>
    <row r="1330" spans="1:73" x14ac:dyDescent="0.25">
      <c r="A1330" s="2" t="s">
        <v>148</v>
      </c>
      <c r="B1330" s="4">
        <v>76</v>
      </c>
      <c r="C1330" s="4">
        <v>2</v>
      </c>
      <c r="D1330" s="4">
        <v>2</v>
      </c>
      <c r="E1330" s="4">
        <v>3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2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3">
        <v>0</v>
      </c>
      <c r="AV1330" s="3">
        <v>0</v>
      </c>
      <c r="AW1330" s="3">
        <v>0</v>
      </c>
      <c r="AX1330" s="3">
        <v>0</v>
      </c>
      <c r="AY1330" s="3">
        <v>0</v>
      </c>
      <c r="AZ1330" s="3">
        <v>0</v>
      </c>
      <c r="BA1330" s="3">
        <v>0</v>
      </c>
      <c r="BB1330" s="3">
        <v>0</v>
      </c>
      <c r="BC1330" s="3">
        <v>0</v>
      </c>
      <c r="BD1330" s="3">
        <v>0</v>
      </c>
      <c r="BE1330" s="3">
        <v>0</v>
      </c>
      <c r="BF1330" s="3">
        <v>0</v>
      </c>
      <c r="BG1330" s="3">
        <v>0</v>
      </c>
      <c r="BH1330" s="3">
        <v>0</v>
      </c>
      <c r="BI1330" s="3">
        <v>0</v>
      </c>
      <c r="BJ1330" s="3">
        <v>0</v>
      </c>
      <c r="BK1330" s="3">
        <v>0</v>
      </c>
      <c r="BL1330" s="3">
        <v>0</v>
      </c>
      <c r="BM1330" s="3">
        <v>0</v>
      </c>
      <c r="BN1330" s="3">
        <v>0</v>
      </c>
      <c r="BO1330" s="3">
        <v>0</v>
      </c>
      <c r="BP1330" s="3">
        <v>0</v>
      </c>
      <c r="BQ1330" s="3">
        <v>0</v>
      </c>
      <c r="BR1330" s="3">
        <v>0</v>
      </c>
      <c r="BS1330" s="3">
        <v>0</v>
      </c>
      <c r="BT1330" s="3">
        <v>0</v>
      </c>
      <c r="BU1330" s="3">
        <v>0</v>
      </c>
    </row>
    <row r="1331" spans="1:73" x14ac:dyDescent="0.25">
      <c r="A1331" s="2" t="s">
        <v>148</v>
      </c>
      <c r="B1331" s="4">
        <v>76</v>
      </c>
      <c r="C1331" s="4">
        <v>2</v>
      </c>
      <c r="D1331" s="4">
        <v>3</v>
      </c>
      <c r="E1331" s="4">
        <v>1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  <c r="AJ1331" s="3">
        <v>1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T1331" s="3">
        <v>0</v>
      </c>
      <c r="AU1331" s="3">
        <v>0</v>
      </c>
      <c r="AV1331" s="3">
        <v>0</v>
      </c>
      <c r="AW1331" s="3">
        <v>0</v>
      </c>
      <c r="AX1331" s="3">
        <v>0</v>
      </c>
      <c r="AY1331" s="3">
        <v>0</v>
      </c>
      <c r="AZ1331" s="3">
        <v>0</v>
      </c>
      <c r="BA1331" s="3">
        <v>0</v>
      </c>
      <c r="BB1331" s="3">
        <v>0</v>
      </c>
      <c r="BC1331" s="3">
        <v>0</v>
      </c>
      <c r="BD1331" s="3">
        <v>0</v>
      </c>
      <c r="BE1331" s="3">
        <v>0</v>
      </c>
      <c r="BF1331" s="3">
        <v>0</v>
      </c>
      <c r="BG1331" s="3">
        <v>0</v>
      </c>
      <c r="BH1331" s="3">
        <v>0</v>
      </c>
      <c r="BI1331" s="3">
        <v>0</v>
      </c>
      <c r="BJ1331" s="3">
        <v>0</v>
      </c>
      <c r="BK1331" s="3">
        <v>0</v>
      </c>
      <c r="BL1331" s="3">
        <v>0</v>
      </c>
      <c r="BM1331" s="3">
        <v>0</v>
      </c>
      <c r="BN1331" s="3">
        <v>0</v>
      </c>
      <c r="BO1331" s="3">
        <v>0</v>
      </c>
      <c r="BP1331" s="3">
        <v>0</v>
      </c>
      <c r="BQ1331" s="3">
        <v>0</v>
      </c>
      <c r="BR1331" s="3">
        <v>0</v>
      </c>
      <c r="BS1331" s="3">
        <v>0</v>
      </c>
      <c r="BT1331" s="3">
        <v>0</v>
      </c>
      <c r="BU1331" s="3">
        <v>0</v>
      </c>
    </row>
    <row r="1332" spans="1:73" x14ac:dyDescent="0.25">
      <c r="A1332" s="2" t="s">
        <v>148</v>
      </c>
      <c r="B1332" s="4">
        <v>76</v>
      </c>
      <c r="C1332" s="4">
        <v>2</v>
      </c>
      <c r="D1332" s="4">
        <v>3</v>
      </c>
      <c r="E1332" s="4">
        <v>2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  <c r="AO1332" s="3">
        <v>0</v>
      </c>
      <c r="AP1332" s="3">
        <v>0</v>
      </c>
      <c r="AQ1332" s="3">
        <v>0</v>
      </c>
      <c r="AR1332" s="3">
        <v>0</v>
      </c>
      <c r="AS1332" s="3">
        <v>0</v>
      </c>
      <c r="AT1332" s="3">
        <v>0</v>
      </c>
      <c r="AU1332" s="3">
        <v>0</v>
      </c>
      <c r="AV1332" s="3">
        <v>0</v>
      </c>
      <c r="AW1332" s="3">
        <v>0</v>
      </c>
      <c r="AX1332" s="3">
        <v>0</v>
      </c>
      <c r="AY1332" s="3">
        <v>0</v>
      </c>
      <c r="AZ1332" s="3">
        <v>0</v>
      </c>
      <c r="BA1332" s="3">
        <v>0</v>
      </c>
      <c r="BB1332" s="3">
        <v>0</v>
      </c>
      <c r="BC1332" s="3">
        <v>0</v>
      </c>
      <c r="BD1332" s="3">
        <v>0</v>
      </c>
      <c r="BE1332" s="3">
        <v>0</v>
      </c>
      <c r="BF1332" s="3">
        <v>0</v>
      </c>
      <c r="BG1332" s="3">
        <v>0</v>
      </c>
      <c r="BH1332" s="3">
        <v>0</v>
      </c>
      <c r="BI1332" s="3">
        <v>1</v>
      </c>
      <c r="BJ1332" s="3">
        <v>0</v>
      </c>
      <c r="BK1332" s="3">
        <v>0</v>
      </c>
      <c r="BL1332" s="3">
        <v>0</v>
      </c>
      <c r="BM1332" s="3">
        <v>0</v>
      </c>
      <c r="BN1332" s="3">
        <v>0</v>
      </c>
      <c r="BO1332" s="3">
        <v>0</v>
      </c>
      <c r="BP1332" s="3">
        <v>0</v>
      </c>
      <c r="BQ1332" s="3">
        <v>0</v>
      </c>
      <c r="BR1332" s="3">
        <v>0</v>
      </c>
      <c r="BS1332" s="3">
        <v>0</v>
      </c>
      <c r="BT1332" s="3">
        <v>0</v>
      </c>
      <c r="BU1332" s="3">
        <v>0</v>
      </c>
    </row>
    <row r="1333" spans="1:73" x14ac:dyDescent="0.25">
      <c r="A1333" s="2" t="s">
        <v>148</v>
      </c>
      <c r="B1333" s="4">
        <v>76</v>
      </c>
      <c r="C1333" s="4">
        <v>2</v>
      </c>
      <c r="D1333" s="4">
        <v>3</v>
      </c>
      <c r="E1333" s="4">
        <v>3</v>
      </c>
      <c r="F1333" s="3">
        <v>0</v>
      </c>
      <c r="G1333" s="3">
        <v>0</v>
      </c>
      <c r="H1333" s="3">
        <v>0</v>
      </c>
      <c r="I1333" s="3">
        <v>0</v>
      </c>
      <c r="J1333" s="3">
        <v>1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3">
        <v>1</v>
      </c>
      <c r="AV1333" s="3">
        <v>0</v>
      </c>
      <c r="AW1333" s="3">
        <v>0</v>
      </c>
      <c r="AX1333" s="3">
        <v>0</v>
      </c>
      <c r="AY1333" s="3">
        <v>0</v>
      </c>
      <c r="AZ1333" s="3">
        <v>0</v>
      </c>
      <c r="BA1333" s="3">
        <v>0</v>
      </c>
      <c r="BB1333" s="3">
        <v>0</v>
      </c>
      <c r="BC1333" s="3">
        <v>0</v>
      </c>
      <c r="BD1333" s="3">
        <v>0</v>
      </c>
      <c r="BE1333" s="3">
        <v>0</v>
      </c>
      <c r="BF1333" s="3">
        <v>0</v>
      </c>
      <c r="BG1333" s="3">
        <v>0</v>
      </c>
      <c r="BH1333" s="3">
        <v>0</v>
      </c>
      <c r="BI1333" s="3">
        <v>0</v>
      </c>
      <c r="BJ1333" s="3">
        <v>0</v>
      </c>
      <c r="BK1333" s="3">
        <v>0</v>
      </c>
      <c r="BL1333" s="3">
        <v>1</v>
      </c>
      <c r="BM1333" s="3">
        <v>0</v>
      </c>
      <c r="BN1333" s="3">
        <v>0</v>
      </c>
      <c r="BO1333" s="3">
        <v>0</v>
      </c>
      <c r="BP1333" s="3">
        <v>0</v>
      </c>
      <c r="BQ1333" s="3">
        <v>0</v>
      </c>
      <c r="BR1333" s="3">
        <v>0</v>
      </c>
      <c r="BS1333" s="3">
        <v>0</v>
      </c>
      <c r="BT1333" s="3">
        <v>0</v>
      </c>
      <c r="BU1333" s="3">
        <v>0</v>
      </c>
    </row>
    <row r="1334" spans="1:73" x14ac:dyDescent="0.25">
      <c r="A1334" s="2" t="s">
        <v>149</v>
      </c>
      <c r="B1334" s="4">
        <v>77</v>
      </c>
      <c r="C1334" s="4">
        <v>1</v>
      </c>
      <c r="D1334" s="4">
        <v>1</v>
      </c>
      <c r="E1334" s="4">
        <v>1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  <c r="AE1334" s="3">
        <v>1</v>
      </c>
      <c r="AF1334" s="3">
        <v>0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3">
        <v>0</v>
      </c>
      <c r="AQ1334" s="3">
        <v>0</v>
      </c>
      <c r="AR1334" s="3">
        <v>0</v>
      </c>
      <c r="AS1334" s="3">
        <v>0</v>
      </c>
      <c r="AT1334" s="3">
        <v>0</v>
      </c>
      <c r="AU1334" s="3">
        <v>0</v>
      </c>
      <c r="AV1334" s="3">
        <v>0</v>
      </c>
      <c r="AW1334" s="3">
        <v>0</v>
      </c>
      <c r="AX1334" s="3">
        <v>0</v>
      </c>
      <c r="AY1334" s="3">
        <v>0</v>
      </c>
      <c r="AZ1334" s="3">
        <v>0</v>
      </c>
      <c r="BA1334" s="3">
        <v>0</v>
      </c>
      <c r="BB1334" s="3">
        <v>0</v>
      </c>
      <c r="BC1334" s="3">
        <v>0</v>
      </c>
      <c r="BD1334" s="3">
        <v>0</v>
      </c>
      <c r="BE1334" s="3">
        <v>0</v>
      </c>
      <c r="BF1334" s="3">
        <v>0</v>
      </c>
      <c r="BG1334" s="3">
        <v>0</v>
      </c>
      <c r="BH1334" s="3">
        <v>0</v>
      </c>
      <c r="BI1334" s="3">
        <v>0</v>
      </c>
      <c r="BJ1334" s="3">
        <v>0</v>
      </c>
      <c r="BK1334" s="3">
        <v>0</v>
      </c>
      <c r="BL1334" s="3">
        <v>0</v>
      </c>
      <c r="BM1334" s="3">
        <v>0</v>
      </c>
      <c r="BN1334" s="3">
        <v>0</v>
      </c>
      <c r="BO1334" s="3">
        <v>0</v>
      </c>
      <c r="BP1334" s="3">
        <v>0</v>
      </c>
      <c r="BQ1334" s="3">
        <v>0</v>
      </c>
      <c r="BR1334" s="3">
        <v>0</v>
      </c>
      <c r="BS1334" s="3">
        <v>0</v>
      </c>
      <c r="BT1334" s="3">
        <v>1</v>
      </c>
      <c r="BU1334" s="3">
        <v>0</v>
      </c>
    </row>
    <row r="1335" spans="1:73" x14ac:dyDescent="0.25">
      <c r="A1335" s="2" t="s">
        <v>149</v>
      </c>
      <c r="B1335" s="4">
        <v>77</v>
      </c>
      <c r="C1335" s="4">
        <v>1</v>
      </c>
      <c r="D1335" s="4">
        <v>1</v>
      </c>
      <c r="E1335" s="4">
        <v>2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1</v>
      </c>
      <c r="AA1335" s="3">
        <v>0</v>
      </c>
      <c r="AB1335" s="3">
        <v>0</v>
      </c>
      <c r="AC1335" s="3">
        <v>0</v>
      </c>
      <c r="AD1335" s="3">
        <v>0</v>
      </c>
      <c r="AE1335" s="3">
        <v>1</v>
      </c>
      <c r="AF1335" s="3">
        <v>0</v>
      </c>
      <c r="AG1335" s="3">
        <v>0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v>0</v>
      </c>
      <c r="BD1335" s="3">
        <v>0</v>
      </c>
      <c r="BE1335" s="3">
        <v>0</v>
      </c>
      <c r="BF1335" s="3">
        <v>0</v>
      </c>
      <c r="BG1335" s="3">
        <v>0</v>
      </c>
      <c r="BH1335" s="3">
        <v>0</v>
      </c>
      <c r="BI1335" s="3">
        <v>1</v>
      </c>
      <c r="BJ1335" s="3">
        <v>0</v>
      </c>
      <c r="BK1335" s="3">
        <v>0</v>
      </c>
      <c r="BL1335" s="3">
        <v>0</v>
      </c>
      <c r="BM1335" s="3">
        <v>0</v>
      </c>
      <c r="BN1335" s="3">
        <v>0</v>
      </c>
      <c r="BO1335" s="3">
        <v>0</v>
      </c>
      <c r="BP1335" s="3">
        <v>0</v>
      </c>
      <c r="BQ1335" s="3">
        <v>0</v>
      </c>
      <c r="BR1335" s="3">
        <v>0</v>
      </c>
      <c r="BS1335" s="3">
        <v>0</v>
      </c>
      <c r="BT1335" s="3">
        <v>2</v>
      </c>
      <c r="BU1335" s="3">
        <v>0</v>
      </c>
    </row>
    <row r="1336" spans="1:73" x14ac:dyDescent="0.25">
      <c r="A1336" s="2" t="s">
        <v>149</v>
      </c>
      <c r="B1336" s="4">
        <v>77</v>
      </c>
      <c r="C1336" s="4">
        <v>1</v>
      </c>
      <c r="D1336" s="4">
        <v>1</v>
      </c>
      <c r="E1336" s="4">
        <v>3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3">
        <v>1</v>
      </c>
      <c r="AV1336" s="3">
        <v>0</v>
      </c>
      <c r="AW1336" s="3">
        <v>0</v>
      </c>
      <c r="AX1336" s="3">
        <v>0</v>
      </c>
      <c r="AY1336" s="3">
        <v>0</v>
      </c>
      <c r="AZ1336" s="3">
        <v>0</v>
      </c>
      <c r="BA1336" s="3">
        <v>0</v>
      </c>
      <c r="BB1336" s="3">
        <v>0</v>
      </c>
      <c r="BC1336" s="3">
        <v>0</v>
      </c>
      <c r="BD1336" s="3">
        <v>0</v>
      </c>
      <c r="BE1336" s="3">
        <v>0</v>
      </c>
      <c r="BF1336" s="3">
        <v>0</v>
      </c>
      <c r="BG1336" s="3">
        <v>0</v>
      </c>
      <c r="BH1336" s="3">
        <v>0</v>
      </c>
      <c r="BI1336" s="3">
        <v>0</v>
      </c>
      <c r="BJ1336" s="3">
        <v>0</v>
      </c>
      <c r="BK1336" s="3">
        <v>0</v>
      </c>
      <c r="BL1336" s="3">
        <v>0</v>
      </c>
      <c r="BM1336" s="3">
        <v>0</v>
      </c>
      <c r="BN1336" s="3">
        <v>0</v>
      </c>
      <c r="BO1336" s="3">
        <v>0</v>
      </c>
      <c r="BP1336" s="3">
        <v>0</v>
      </c>
      <c r="BQ1336" s="3">
        <v>0</v>
      </c>
      <c r="BR1336" s="3">
        <v>0</v>
      </c>
      <c r="BS1336" s="3">
        <v>0</v>
      </c>
      <c r="BT1336" s="3">
        <v>0</v>
      </c>
      <c r="BU1336" s="3">
        <v>0</v>
      </c>
    </row>
    <row r="1337" spans="1:73" x14ac:dyDescent="0.25">
      <c r="A1337" s="2" t="s">
        <v>149</v>
      </c>
      <c r="B1337" s="4">
        <v>77</v>
      </c>
      <c r="C1337" s="4">
        <v>1</v>
      </c>
      <c r="D1337" s="4">
        <v>2</v>
      </c>
      <c r="E1337" s="4">
        <v>1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1</v>
      </c>
      <c r="AK1337" s="3">
        <v>0</v>
      </c>
      <c r="AL1337" s="3">
        <v>0</v>
      </c>
      <c r="AM1337" s="3">
        <v>0</v>
      </c>
      <c r="AN1337" s="3">
        <v>0</v>
      </c>
      <c r="AO1337" s="3">
        <v>0</v>
      </c>
      <c r="AP1337" s="3">
        <v>0</v>
      </c>
      <c r="AQ1337" s="3">
        <v>0</v>
      </c>
      <c r="AR1337" s="3">
        <v>0</v>
      </c>
      <c r="AS1337" s="3">
        <v>0</v>
      </c>
      <c r="AT1337" s="3">
        <v>0</v>
      </c>
      <c r="AU1337" s="3">
        <v>0</v>
      </c>
      <c r="AV1337" s="3">
        <v>0</v>
      </c>
      <c r="AW1337" s="3">
        <v>0</v>
      </c>
      <c r="AX1337" s="3">
        <v>0</v>
      </c>
      <c r="AY1337" s="3">
        <v>0</v>
      </c>
      <c r="AZ1337" s="3">
        <v>0</v>
      </c>
      <c r="BA1337" s="3">
        <v>0</v>
      </c>
      <c r="BB1337" s="3">
        <v>0</v>
      </c>
      <c r="BC1337" s="3">
        <v>0</v>
      </c>
      <c r="BD1337" s="3">
        <v>0</v>
      </c>
      <c r="BE1337" s="3">
        <v>0</v>
      </c>
      <c r="BF1337" s="3">
        <v>0</v>
      </c>
      <c r="BG1337" s="3">
        <v>0</v>
      </c>
      <c r="BH1337" s="3">
        <v>0</v>
      </c>
      <c r="BI1337" s="3">
        <v>0</v>
      </c>
      <c r="BJ1337" s="3">
        <v>0</v>
      </c>
      <c r="BK1337" s="3">
        <v>0</v>
      </c>
      <c r="BL1337" s="3">
        <v>0</v>
      </c>
      <c r="BM1337" s="3">
        <v>0</v>
      </c>
      <c r="BN1337" s="3">
        <v>0</v>
      </c>
      <c r="BO1337" s="3">
        <v>0</v>
      </c>
      <c r="BP1337" s="3">
        <v>0</v>
      </c>
      <c r="BQ1337" s="3">
        <v>0</v>
      </c>
      <c r="BR1337" s="3">
        <v>0</v>
      </c>
      <c r="BS1337" s="3">
        <v>0</v>
      </c>
      <c r="BT1337" s="3">
        <v>0</v>
      </c>
      <c r="BU1337" s="3">
        <v>0</v>
      </c>
    </row>
    <row r="1338" spans="1:73" x14ac:dyDescent="0.25">
      <c r="A1338" s="2" t="s">
        <v>149</v>
      </c>
      <c r="B1338" s="4">
        <v>77</v>
      </c>
      <c r="C1338" s="4">
        <v>1</v>
      </c>
      <c r="D1338" s="4">
        <v>2</v>
      </c>
      <c r="E1338" s="4">
        <v>2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>
        <v>0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  <c r="AP1338" s="3">
        <v>0</v>
      </c>
      <c r="AQ1338" s="3">
        <v>0</v>
      </c>
      <c r="AR1338" s="3">
        <v>0</v>
      </c>
      <c r="AS1338" s="3">
        <v>0</v>
      </c>
      <c r="AT1338" s="3">
        <v>0</v>
      </c>
      <c r="AU1338" s="3">
        <v>0</v>
      </c>
      <c r="AV1338" s="3">
        <v>0</v>
      </c>
      <c r="AW1338" s="3">
        <v>0</v>
      </c>
      <c r="AX1338" s="3">
        <v>0</v>
      </c>
      <c r="AY1338" s="3">
        <v>0</v>
      </c>
      <c r="AZ1338" s="3">
        <v>0</v>
      </c>
      <c r="BA1338" s="3">
        <v>0</v>
      </c>
      <c r="BB1338" s="3">
        <v>0</v>
      </c>
      <c r="BC1338" s="3">
        <v>0</v>
      </c>
      <c r="BD1338" s="3">
        <v>0</v>
      </c>
      <c r="BE1338" s="3">
        <v>0</v>
      </c>
      <c r="BF1338" s="3">
        <v>0</v>
      </c>
      <c r="BG1338" s="3">
        <v>0</v>
      </c>
      <c r="BH1338" s="3">
        <v>0</v>
      </c>
      <c r="BI1338" s="3">
        <v>0</v>
      </c>
      <c r="BJ1338" s="3">
        <v>0</v>
      </c>
      <c r="BK1338" s="3">
        <v>0</v>
      </c>
      <c r="BL1338" s="3">
        <v>0</v>
      </c>
      <c r="BM1338" s="3">
        <v>0</v>
      </c>
      <c r="BN1338" s="3">
        <v>0</v>
      </c>
      <c r="BO1338" s="3">
        <v>0</v>
      </c>
      <c r="BP1338" s="3">
        <v>0</v>
      </c>
      <c r="BQ1338" s="3">
        <v>0</v>
      </c>
      <c r="BR1338" s="3">
        <v>0</v>
      </c>
      <c r="BS1338" s="3">
        <v>0</v>
      </c>
      <c r="BT1338" s="3">
        <v>0</v>
      </c>
      <c r="BU1338" s="3">
        <v>0</v>
      </c>
    </row>
    <row r="1339" spans="1:73" x14ac:dyDescent="0.25">
      <c r="A1339" s="2" t="s">
        <v>149</v>
      </c>
      <c r="B1339" s="4">
        <v>77</v>
      </c>
      <c r="C1339" s="4">
        <v>1</v>
      </c>
      <c r="D1339" s="4">
        <v>2</v>
      </c>
      <c r="E1339" s="4">
        <v>3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1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H1339" s="3">
        <v>1</v>
      </c>
      <c r="AI1339" s="3">
        <v>0</v>
      </c>
      <c r="AJ1339" s="3">
        <v>0</v>
      </c>
      <c r="AK1339" s="3">
        <v>0</v>
      </c>
      <c r="AL1339" s="3">
        <v>0</v>
      </c>
      <c r="AM1339" s="3">
        <v>0</v>
      </c>
      <c r="AN1339" s="3">
        <v>0</v>
      </c>
      <c r="AO1339" s="3">
        <v>0</v>
      </c>
      <c r="AP1339" s="3">
        <v>0</v>
      </c>
      <c r="AQ1339" s="3">
        <v>0</v>
      </c>
      <c r="AR1339" s="3">
        <v>0</v>
      </c>
      <c r="AS1339" s="3">
        <v>0</v>
      </c>
      <c r="AT1339" s="3">
        <v>0</v>
      </c>
      <c r="AU1339" s="3">
        <v>0</v>
      </c>
      <c r="AV1339" s="3">
        <v>0</v>
      </c>
      <c r="AW1339" s="3">
        <v>0</v>
      </c>
      <c r="AX1339" s="3">
        <v>0</v>
      </c>
      <c r="AY1339" s="3">
        <v>0</v>
      </c>
      <c r="AZ1339" s="3">
        <v>0</v>
      </c>
      <c r="BA1339" s="3">
        <v>0</v>
      </c>
      <c r="BB1339" s="3">
        <v>0</v>
      </c>
      <c r="BC1339" s="3">
        <v>0</v>
      </c>
      <c r="BD1339" s="3">
        <v>0</v>
      </c>
      <c r="BE1339" s="3">
        <v>0</v>
      </c>
      <c r="BF1339" s="3">
        <v>0</v>
      </c>
      <c r="BG1339" s="3">
        <v>0</v>
      </c>
      <c r="BH1339" s="3">
        <v>0</v>
      </c>
      <c r="BI1339" s="3">
        <v>0</v>
      </c>
      <c r="BJ1339" s="3">
        <v>0</v>
      </c>
      <c r="BK1339" s="3">
        <v>0</v>
      </c>
      <c r="BL1339" s="3">
        <v>0</v>
      </c>
      <c r="BM1339" s="3">
        <v>0</v>
      </c>
      <c r="BN1339" s="3">
        <v>0</v>
      </c>
      <c r="BO1339" s="3">
        <v>0</v>
      </c>
      <c r="BP1339" s="3">
        <v>0</v>
      </c>
      <c r="BQ1339" s="3">
        <v>0</v>
      </c>
      <c r="BR1339" s="3">
        <v>0</v>
      </c>
      <c r="BS1339" s="3">
        <v>0</v>
      </c>
      <c r="BT1339" s="3">
        <v>0</v>
      </c>
      <c r="BU1339" s="3">
        <v>0</v>
      </c>
    </row>
    <row r="1340" spans="1:73" x14ac:dyDescent="0.25">
      <c r="A1340" s="2" t="s">
        <v>149</v>
      </c>
      <c r="B1340" s="4">
        <v>77</v>
      </c>
      <c r="C1340" s="4">
        <v>1</v>
      </c>
      <c r="D1340" s="4">
        <v>3</v>
      </c>
      <c r="E1340" s="4">
        <v>1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2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3">
        <v>0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0</v>
      </c>
      <c r="AW1340" s="3">
        <v>0</v>
      </c>
      <c r="AX1340" s="3">
        <v>0</v>
      </c>
      <c r="AY1340" s="3">
        <v>0</v>
      </c>
      <c r="AZ1340" s="3">
        <v>0</v>
      </c>
      <c r="BA1340" s="3">
        <v>0</v>
      </c>
      <c r="BB1340" s="3">
        <v>0</v>
      </c>
      <c r="BC1340" s="3">
        <v>0</v>
      </c>
      <c r="BD1340" s="3">
        <v>0</v>
      </c>
      <c r="BE1340" s="3">
        <v>0</v>
      </c>
      <c r="BF1340" s="3">
        <v>0</v>
      </c>
      <c r="BG1340" s="3">
        <v>0</v>
      </c>
      <c r="BH1340" s="3">
        <v>0</v>
      </c>
      <c r="BI1340" s="3">
        <v>0</v>
      </c>
      <c r="BJ1340" s="3">
        <v>0</v>
      </c>
      <c r="BK1340" s="3">
        <v>0</v>
      </c>
      <c r="BL1340" s="3">
        <v>0</v>
      </c>
      <c r="BM1340" s="3">
        <v>0</v>
      </c>
      <c r="BN1340" s="3">
        <v>0</v>
      </c>
      <c r="BO1340" s="3">
        <v>0</v>
      </c>
      <c r="BP1340" s="3">
        <v>0</v>
      </c>
      <c r="BQ1340" s="3">
        <v>0</v>
      </c>
      <c r="BR1340" s="3">
        <v>0</v>
      </c>
      <c r="BS1340" s="3">
        <v>0</v>
      </c>
      <c r="BT1340" s="3">
        <v>0</v>
      </c>
      <c r="BU1340" s="3">
        <v>0</v>
      </c>
    </row>
    <row r="1341" spans="1:73" x14ac:dyDescent="0.25">
      <c r="A1341" s="2" t="s">
        <v>149</v>
      </c>
      <c r="B1341" s="4">
        <v>77</v>
      </c>
      <c r="C1341" s="4">
        <v>1</v>
      </c>
      <c r="D1341" s="4">
        <v>3</v>
      </c>
      <c r="E1341" s="4">
        <v>2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  <c r="AD1341" s="3">
        <v>0</v>
      </c>
      <c r="AE1341" s="3">
        <v>1</v>
      </c>
      <c r="AF1341" s="3">
        <v>0</v>
      </c>
      <c r="AG1341" s="3">
        <v>0</v>
      </c>
      <c r="AH1341" s="3">
        <v>0</v>
      </c>
      <c r="AI1341" s="3">
        <v>0</v>
      </c>
      <c r="AJ1341" s="3">
        <v>0</v>
      </c>
      <c r="AK1341" s="3">
        <v>0</v>
      </c>
      <c r="AL1341" s="3">
        <v>0</v>
      </c>
      <c r="AM1341" s="3">
        <v>0</v>
      </c>
      <c r="AN1341" s="3">
        <v>0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3">
        <v>0</v>
      </c>
      <c r="AV1341" s="3">
        <v>0</v>
      </c>
      <c r="AW1341" s="3">
        <v>0</v>
      </c>
      <c r="AX1341" s="3">
        <v>0</v>
      </c>
      <c r="AY1341" s="3">
        <v>0</v>
      </c>
      <c r="AZ1341" s="3">
        <v>0</v>
      </c>
      <c r="BA1341" s="3">
        <v>0</v>
      </c>
      <c r="BB1341" s="3">
        <v>0</v>
      </c>
      <c r="BC1341" s="3">
        <v>0</v>
      </c>
      <c r="BD1341" s="3">
        <v>0</v>
      </c>
      <c r="BE1341" s="3">
        <v>0</v>
      </c>
      <c r="BF1341" s="3">
        <v>0</v>
      </c>
      <c r="BG1341" s="3">
        <v>0</v>
      </c>
      <c r="BH1341" s="3">
        <v>0</v>
      </c>
      <c r="BI1341" s="3">
        <v>0</v>
      </c>
      <c r="BJ1341" s="3">
        <v>0</v>
      </c>
      <c r="BK1341" s="3">
        <v>1</v>
      </c>
      <c r="BL1341" s="3">
        <v>0</v>
      </c>
      <c r="BM1341" s="3">
        <v>0</v>
      </c>
      <c r="BN1341" s="3">
        <v>0</v>
      </c>
      <c r="BO1341" s="3">
        <v>0</v>
      </c>
      <c r="BP1341" s="3">
        <v>0</v>
      </c>
      <c r="BQ1341" s="3">
        <v>0</v>
      </c>
      <c r="BR1341" s="3">
        <v>0</v>
      </c>
      <c r="BS1341" s="3">
        <v>0</v>
      </c>
      <c r="BT1341" s="3">
        <v>0</v>
      </c>
      <c r="BU1341" s="3">
        <v>0</v>
      </c>
    </row>
    <row r="1342" spans="1:73" x14ac:dyDescent="0.25">
      <c r="A1342" s="2" t="s">
        <v>149</v>
      </c>
      <c r="B1342" s="4">
        <v>77</v>
      </c>
      <c r="C1342" s="4">
        <v>1</v>
      </c>
      <c r="D1342" s="4">
        <v>3</v>
      </c>
      <c r="E1342" s="4">
        <v>3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  <c r="AJ1342" s="3">
        <v>0</v>
      </c>
      <c r="AK1342" s="3">
        <v>0</v>
      </c>
      <c r="AL1342" s="3">
        <v>0</v>
      </c>
      <c r="AM1342" s="3">
        <v>0</v>
      </c>
      <c r="AN1342" s="3">
        <v>0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3">
        <v>0</v>
      </c>
      <c r="AV1342" s="3">
        <v>0</v>
      </c>
      <c r="AW1342" s="3">
        <v>0</v>
      </c>
      <c r="AX1342" s="3">
        <v>0</v>
      </c>
      <c r="AY1342" s="3">
        <v>0</v>
      </c>
      <c r="AZ1342" s="3">
        <v>0</v>
      </c>
      <c r="BA1342" s="3">
        <v>0</v>
      </c>
      <c r="BB1342" s="3">
        <v>0</v>
      </c>
      <c r="BC1342" s="3">
        <v>0</v>
      </c>
      <c r="BD1342" s="3">
        <v>0</v>
      </c>
      <c r="BE1342" s="3">
        <v>0</v>
      </c>
      <c r="BF1342" s="3">
        <v>0</v>
      </c>
      <c r="BG1342" s="3">
        <v>0</v>
      </c>
      <c r="BH1342" s="3">
        <v>0</v>
      </c>
      <c r="BI1342" s="3">
        <v>0</v>
      </c>
      <c r="BJ1342" s="3">
        <v>0</v>
      </c>
      <c r="BK1342" s="3">
        <v>0</v>
      </c>
      <c r="BL1342" s="3">
        <v>0</v>
      </c>
      <c r="BM1342" s="3">
        <v>0</v>
      </c>
      <c r="BN1342" s="3">
        <v>0</v>
      </c>
      <c r="BO1342" s="3">
        <v>0</v>
      </c>
      <c r="BP1342" s="3">
        <v>0</v>
      </c>
      <c r="BQ1342" s="3">
        <v>0</v>
      </c>
      <c r="BR1342" s="3">
        <v>0</v>
      </c>
      <c r="BS1342" s="3">
        <v>0</v>
      </c>
      <c r="BT1342" s="3">
        <v>0</v>
      </c>
      <c r="BU1342" s="3">
        <v>0</v>
      </c>
    </row>
    <row r="1343" spans="1:73" x14ac:dyDescent="0.25">
      <c r="A1343" s="2" t="s">
        <v>149</v>
      </c>
      <c r="B1343" s="4">
        <v>77</v>
      </c>
      <c r="C1343" s="4">
        <v>2</v>
      </c>
      <c r="D1343" s="4">
        <v>1</v>
      </c>
      <c r="E1343" s="4">
        <v>1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0</v>
      </c>
      <c r="AE1343" s="3">
        <v>1</v>
      </c>
      <c r="AF1343" s="3">
        <v>0</v>
      </c>
      <c r="AG1343" s="3">
        <v>0</v>
      </c>
      <c r="AH1343" s="3">
        <v>0</v>
      </c>
      <c r="AI1343" s="3">
        <v>0</v>
      </c>
      <c r="AJ1343" s="3">
        <v>1</v>
      </c>
      <c r="AK1343" s="3">
        <v>0</v>
      </c>
      <c r="AL1343" s="3">
        <v>0</v>
      </c>
      <c r="AM1343" s="3">
        <v>0</v>
      </c>
      <c r="AN1343" s="3">
        <v>0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  <c r="AT1343" s="3">
        <v>0</v>
      </c>
      <c r="AU1343" s="3">
        <v>0</v>
      </c>
      <c r="AV1343" s="3">
        <v>0</v>
      </c>
      <c r="AW1343" s="3">
        <v>0</v>
      </c>
      <c r="AX1343" s="3">
        <v>0</v>
      </c>
      <c r="AY1343" s="3">
        <v>0</v>
      </c>
      <c r="AZ1343" s="3">
        <v>0</v>
      </c>
      <c r="BA1343" s="3">
        <v>0</v>
      </c>
      <c r="BB1343" s="3">
        <v>0</v>
      </c>
      <c r="BC1343" s="3">
        <v>0</v>
      </c>
      <c r="BD1343" s="3">
        <v>0</v>
      </c>
      <c r="BE1343" s="3">
        <v>0</v>
      </c>
      <c r="BF1343" s="3">
        <v>0</v>
      </c>
      <c r="BG1343" s="3">
        <v>0</v>
      </c>
      <c r="BH1343" s="3">
        <v>0</v>
      </c>
      <c r="BI1343" s="3">
        <v>0</v>
      </c>
      <c r="BJ1343" s="3">
        <v>0</v>
      </c>
      <c r="BK1343" s="3">
        <v>0</v>
      </c>
      <c r="BL1343" s="3">
        <v>0</v>
      </c>
      <c r="BM1343" s="3">
        <v>0</v>
      </c>
      <c r="BN1343" s="3">
        <v>0</v>
      </c>
      <c r="BO1343" s="3">
        <v>0</v>
      </c>
      <c r="BP1343" s="3">
        <v>0</v>
      </c>
      <c r="BQ1343" s="3">
        <v>0</v>
      </c>
      <c r="BR1343" s="3">
        <v>0</v>
      </c>
      <c r="BS1343" s="3">
        <v>0</v>
      </c>
      <c r="BT1343" s="3">
        <v>0</v>
      </c>
      <c r="BU1343" s="3">
        <v>0</v>
      </c>
    </row>
    <row r="1344" spans="1:73" x14ac:dyDescent="0.25">
      <c r="A1344" s="2" t="s">
        <v>149</v>
      </c>
      <c r="B1344" s="4">
        <v>77</v>
      </c>
      <c r="C1344" s="4">
        <v>2</v>
      </c>
      <c r="D1344" s="4">
        <v>1</v>
      </c>
      <c r="E1344" s="4">
        <v>2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1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2</v>
      </c>
      <c r="AA1344" s="3">
        <v>0</v>
      </c>
      <c r="AB1344" s="3">
        <v>0</v>
      </c>
      <c r="AC1344" s="3">
        <v>0</v>
      </c>
      <c r="AD1344" s="3">
        <v>0</v>
      </c>
      <c r="AE1344" s="3">
        <v>1</v>
      </c>
      <c r="AF1344" s="3">
        <v>0</v>
      </c>
      <c r="AG1344" s="3">
        <v>0</v>
      </c>
      <c r="AH1344" s="3">
        <v>0</v>
      </c>
      <c r="AI1344" s="3">
        <v>0</v>
      </c>
      <c r="AJ1344" s="3">
        <v>1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  <c r="AU1344" s="3">
        <v>0</v>
      </c>
      <c r="AV1344" s="3">
        <v>0</v>
      </c>
      <c r="AW1344" s="3">
        <v>0</v>
      </c>
      <c r="AX1344" s="3">
        <v>0</v>
      </c>
      <c r="AY1344" s="3">
        <v>0</v>
      </c>
      <c r="AZ1344" s="3">
        <v>0</v>
      </c>
      <c r="BA1344" s="3">
        <v>0</v>
      </c>
      <c r="BB1344" s="3">
        <v>0</v>
      </c>
      <c r="BC1344" s="3">
        <v>0</v>
      </c>
      <c r="BD1344" s="3">
        <v>0</v>
      </c>
      <c r="BE1344" s="3">
        <v>0</v>
      </c>
      <c r="BF1344" s="3">
        <v>0</v>
      </c>
      <c r="BG1344" s="3">
        <v>0</v>
      </c>
      <c r="BH1344" s="3">
        <v>0</v>
      </c>
      <c r="BI1344" s="3">
        <v>1</v>
      </c>
      <c r="BJ1344" s="3">
        <v>0</v>
      </c>
      <c r="BK1344" s="3">
        <v>0</v>
      </c>
      <c r="BL1344" s="3">
        <v>0</v>
      </c>
      <c r="BM1344" s="3">
        <v>0</v>
      </c>
      <c r="BN1344" s="3">
        <v>0</v>
      </c>
      <c r="BO1344" s="3">
        <v>0</v>
      </c>
      <c r="BP1344" s="3">
        <v>0</v>
      </c>
      <c r="BQ1344" s="3">
        <v>0</v>
      </c>
      <c r="BR1344" s="3">
        <v>0</v>
      </c>
      <c r="BS1344" s="3">
        <v>0</v>
      </c>
      <c r="BT1344" s="3">
        <v>0</v>
      </c>
      <c r="BU1344" s="3">
        <v>0</v>
      </c>
    </row>
    <row r="1345" spans="1:73" x14ac:dyDescent="0.25">
      <c r="A1345" s="2" t="s">
        <v>149</v>
      </c>
      <c r="B1345" s="4">
        <v>77</v>
      </c>
      <c r="C1345" s="4">
        <v>2</v>
      </c>
      <c r="D1345" s="4">
        <v>1</v>
      </c>
      <c r="E1345" s="4">
        <v>3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3">
        <v>0</v>
      </c>
      <c r="AQ1345" s="3">
        <v>0</v>
      </c>
      <c r="AR1345" s="3">
        <v>0</v>
      </c>
      <c r="AS1345" s="3">
        <v>0</v>
      </c>
      <c r="AT1345" s="3">
        <v>0</v>
      </c>
      <c r="AU1345" s="3">
        <v>0</v>
      </c>
      <c r="AV1345" s="3">
        <v>0</v>
      </c>
      <c r="AW1345" s="3">
        <v>0</v>
      </c>
      <c r="AX1345" s="3">
        <v>0</v>
      </c>
      <c r="AY1345" s="3">
        <v>0</v>
      </c>
      <c r="AZ1345" s="3">
        <v>0</v>
      </c>
      <c r="BA1345" s="3">
        <v>0</v>
      </c>
      <c r="BB1345" s="3">
        <v>0</v>
      </c>
      <c r="BC1345" s="3">
        <v>0</v>
      </c>
      <c r="BD1345" s="3">
        <v>0</v>
      </c>
      <c r="BE1345" s="3">
        <v>0</v>
      </c>
      <c r="BF1345" s="3">
        <v>0</v>
      </c>
      <c r="BG1345" s="3">
        <v>0</v>
      </c>
      <c r="BH1345" s="3">
        <v>0</v>
      </c>
      <c r="BI1345" s="3">
        <v>0</v>
      </c>
      <c r="BJ1345" s="3">
        <v>0</v>
      </c>
      <c r="BK1345" s="3">
        <v>0</v>
      </c>
      <c r="BL1345" s="3">
        <v>0</v>
      </c>
      <c r="BM1345" s="3">
        <v>0</v>
      </c>
      <c r="BN1345" s="3">
        <v>0</v>
      </c>
      <c r="BO1345" s="3">
        <v>0</v>
      </c>
      <c r="BP1345" s="3">
        <v>0</v>
      </c>
      <c r="BQ1345" s="3">
        <v>0</v>
      </c>
      <c r="BR1345" s="3">
        <v>0</v>
      </c>
      <c r="BS1345" s="3">
        <v>0</v>
      </c>
      <c r="BT1345" s="3">
        <v>0</v>
      </c>
      <c r="BU1345" s="3">
        <v>0</v>
      </c>
    </row>
    <row r="1346" spans="1:73" x14ac:dyDescent="0.25">
      <c r="A1346" s="2" t="s">
        <v>149</v>
      </c>
      <c r="B1346" s="4">
        <v>77</v>
      </c>
      <c r="C1346" s="4">
        <v>2</v>
      </c>
      <c r="D1346" s="4">
        <v>2</v>
      </c>
      <c r="E1346" s="4">
        <v>1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1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1</v>
      </c>
      <c r="AK1346" s="3">
        <v>0</v>
      </c>
      <c r="AL1346" s="3">
        <v>0</v>
      </c>
      <c r="AM1346" s="3">
        <v>0</v>
      </c>
      <c r="AN1346" s="3">
        <v>0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V1346" s="3">
        <v>0</v>
      </c>
      <c r="AW1346" s="3">
        <v>0</v>
      </c>
      <c r="AX1346" s="3">
        <v>0</v>
      </c>
      <c r="AY1346" s="3">
        <v>0</v>
      </c>
      <c r="AZ1346" s="3">
        <v>0</v>
      </c>
      <c r="BA1346" s="3">
        <v>0</v>
      </c>
      <c r="BB1346" s="3">
        <v>0</v>
      </c>
      <c r="BC1346" s="3">
        <v>0</v>
      </c>
      <c r="BD1346" s="3">
        <v>0</v>
      </c>
      <c r="BE1346" s="3">
        <v>0</v>
      </c>
      <c r="BF1346" s="3">
        <v>0</v>
      </c>
      <c r="BG1346" s="3">
        <v>0</v>
      </c>
      <c r="BH1346" s="3">
        <v>0</v>
      </c>
      <c r="BI1346" s="3">
        <v>0</v>
      </c>
      <c r="BJ1346" s="3">
        <v>0</v>
      </c>
      <c r="BK1346" s="3">
        <v>0</v>
      </c>
      <c r="BL1346" s="3">
        <v>0</v>
      </c>
      <c r="BM1346" s="3">
        <v>0</v>
      </c>
      <c r="BN1346" s="3">
        <v>0</v>
      </c>
      <c r="BO1346" s="3">
        <v>0</v>
      </c>
      <c r="BP1346" s="3">
        <v>0</v>
      </c>
      <c r="BQ1346" s="3">
        <v>0</v>
      </c>
      <c r="BR1346" s="3">
        <v>0</v>
      </c>
      <c r="BS1346" s="3">
        <v>0</v>
      </c>
      <c r="BT1346" s="3">
        <v>0</v>
      </c>
      <c r="BU1346" s="3">
        <v>0</v>
      </c>
    </row>
    <row r="1347" spans="1:73" x14ac:dyDescent="0.25">
      <c r="A1347" s="2" t="s">
        <v>149</v>
      </c>
      <c r="B1347" s="4">
        <v>77</v>
      </c>
      <c r="C1347" s="4">
        <v>2</v>
      </c>
      <c r="D1347" s="4">
        <v>2</v>
      </c>
      <c r="E1347" s="4">
        <v>2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T1347" s="3">
        <v>0</v>
      </c>
      <c r="AU1347" s="3">
        <v>0</v>
      </c>
      <c r="AV1347" s="3">
        <v>0</v>
      </c>
      <c r="AW1347" s="3">
        <v>0</v>
      </c>
      <c r="AX1347" s="3">
        <v>0</v>
      </c>
      <c r="AY1347" s="3">
        <v>0</v>
      </c>
      <c r="AZ1347" s="3">
        <v>0</v>
      </c>
      <c r="BA1347" s="3">
        <v>0</v>
      </c>
      <c r="BB1347" s="3">
        <v>0</v>
      </c>
      <c r="BC1347" s="3">
        <v>0</v>
      </c>
      <c r="BD1347" s="3">
        <v>0</v>
      </c>
      <c r="BE1347" s="3">
        <v>0</v>
      </c>
      <c r="BF1347" s="3">
        <v>0</v>
      </c>
      <c r="BG1347" s="3">
        <v>0</v>
      </c>
      <c r="BH1347" s="3">
        <v>0</v>
      </c>
      <c r="BI1347" s="3">
        <v>0</v>
      </c>
      <c r="BJ1347" s="3">
        <v>0</v>
      </c>
      <c r="BK1347" s="3">
        <v>0</v>
      </c>
      <c r="BL1347" s="3">
        <v>0</v>
      </c>
      <c r="BM1347" s="3">
        <v>0</v>
      </c>
      <c r="BN1347" s="3">
        <v>0</v>
      </c>
      <c r="BO1347" s="3">
        <v>0</v>
      </c>
      <c r="BP1347" s="3">
        <v>0</v>
      </c>
      <c r="BQ1347" s="3">
        <v>0</v>
      </c>
      <c r="BR1347" s="3">
        <v>0</v>
      </c>
      <c r="BS1347" s="3">
        <v>0</v>
      </c>
      <c r="BT1347" s="3">
        <v>1</v>
      </c>
      <c r="BU1347" s="3">
        <v>0</v>
      </c>
    </row>
    <row r="1348" spans="1:73" x14ac:dyDescent="0.25">
      <c r="A1348" s="2" t="s">
        <v>149</v>
      </c>
      <c r="B1348" s="4">
        <v>77</v>
      </c>
      <c r="C1348" s="4">
        <v>2</v>
      </c>
      <c r="D1348" s="4">
        <v>2</v>
      </c>
      <c r="E1348" s="4">
        <v>3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0</v>
      </c>
      <c r="AX1348" s="3">
        <v>0</v>
      </c>
      <c r="AY1348" s="3">
        <v>0</v>
      </c>
      <c r="AZ1348" s="3">
        <v>0</v>
      </c>
      <c r="BA1348" s="3">
        <v>0</v>
      </c>
      <c r="BB1348" s="3">
        <v>0</v>
      </c>
      <c r="BC1348" s="3">
        <v>0</v>
      </c>
      <c r="BD1348" s="3">
        <v>0</v>
      </c>
      <c r="BE1348" s="3">
        <v>0</v>
      </c>
      <c r="BF1348" s="3">
        <v>0</v>
      </c>
      <c r="BG1348" s="3">
        <v>0</v>
      </c>
      <c r="BH1348" s="3">
        <v>0</v>
      </c>
      <c r="BI1348" s="3">
        <v>0</v>
      </c>
      <c r="BJ1348" s="3">
        <v>0</v>
      </c>
      <c r="BK1348" s="3">
        <v>0</v>
      </c>
      <c r="BL1348" s="3">
        <v>0</v>
      </c>
      <c r="BM1348" s="3">
        <v>0</v>
      </c>
      <c r="BN1348" s="3">
        <v>0</v>
      </c>
      <c r="BO1348" s="3">
        <v>0</v>
      </c>
      <c r="BP1348" s="3">
        <v>0</v>
      </c>
      <c r="BQ1348" s="3">
        <v>0</v>
      </c>
      <c r="BR1348" s="3">
        <v>0</v>
      </c>
      <c r="BS1348" s="3">
        <v>0</v>
      </c>
      <c r="BT1348" s="3">
        <v>0</v>
      </c>
      <c r="BU1348" s="3">
        <v>0</v>
      </c>
    </row>
    <row r="1349" spans="1:73" x14ac:dyDescent="0.25">
      <c r="A1349" s="2" t="s">
        <v>149</v>
      </c>
      <c r="B1349" s="4">
        <v>77</v>
      </c>
      <c r="C1349" s="4">
        <v>2</v>
      </c>
      <c r="D1349" s="4">
        <v>3</v>
      </c>
      <c r="E1349" s="4">
        <v>1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0</v>
      </c>
      <c r="AX1349" s="3">
        <v>0</v>
      </c>
      <c r="AY1349" s="3">
        <v>0</v>
      </c>
      <c r="AZ1349" s="3">
        <v>0</v>
      </c>
      <c r="BA1349" s="3">
        <v>0</v>
      </c>
      <c r="BB1349" s="3">
        <v>0</v>
      </c>
      <c r="BC1349" s="3">
        <v>0</v>
      </c>
      <c r="BD1349" s="3">
        <v>0</v>
      </c>
      <c r="BE1349" s="3">
        <v>0</v>
      </c>
      <c r="BF1349" s="3">
        <v>0</v>
      </c>
      <c r="BG1349" s="3">
        <v>0</v>
      </c>
      <c r="BH1349" s="3">
        <v>0</v>
      </c>
      <c r="BI1349" s="3">
        <v>0</v>
      </c>
      <c r="BJ1349" s="3">
        <v>0</v>
      </c>
      <c r="BK1349" s="3">
        <v>0</v>
      </c>
      <c r="BL1349" s="3">
        <v>0</v>
      </c>
      <c r="BM1349" s="3">
        <v>0</v>
      </c>
      <c r="BN1349" s="3">
        <v>0</v>
      </c>
      <c r="BO1349" s="3">
        <v>0</v>
      </c>
      <c r="BP1349" s="3">
        <v>0</v>
      </c>
      <c r="BQ1349" s="3">
        <v>0</v>
      </c>
      <c r="BR1349" s="3">
        <v>0</v>
      </c>
      <c r="BS1349" s="3">
        <v>0</v>
      </c>
      <c r="BT1349" s="3">
        <v>0</v>
      </c>
      <c r="BU1349" s="3">
        <v>0</v>
      </c>
    </row>
    <row r="1350" spans="1:73" x14ac:dyDescent="0.25">
      <c r="A1350" s="2" t="s">
        <v>149</v>
      </c>
      <c r="B1350" s="4">
        <v>77</v>
      </c>
      <c r="C1350" s="4">
        <v>2</v>
      </c>
      <c r="D1350" s="4">
        <v>3</v>
      </c>
      <c r="E1350" s="4">
        <v>2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1</v>
      </c>
      <c r="AK1350" s="3">
        <v>0</v>
      </c>
      <c r="AL1350" s="3">
        <v>0</v>
      </c>
      <c r="AM1350" s="3">
        <v>0</v>
      </c>
      <c r="AN1350" s="3">
        <v>0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3">
        <v>0</v>
      </c>
      <c r="AV1350" s="3">
        <v>0</v>
      </c>
      <c r="AW1350" s="3">
        <v>0</v>
      </c>
      <c r="AX1350" s="3">
        <v>0</v>
      </c>
      <c r="AY1350" s="3">
        <v>0</v>
      </c>
      <c r="AZ1350" s="3">
        <v>0</v>
      </c>
      <c r="BA1350" s="3">
        <v>0</v>
      </c>
      <c r="BB1350" s="3">
        <v>0</v>
      </c>
      <c r="BC1350" s="3">
        <v>0</v>
      </c>
      <c r="BD1350" s="3">
        <v>0</v>
      </c>
      <c r="BE1350" s="3">
        <v>0</v>
      </c>
      <c r="BF1350" s="3">
        <v>0</v>
      </c>
      <c r="BG1350" s="3">
        <v>0</v>
      </c>
      <c r="BH1350" s="3">
        <v>0</v>
      </c>
      <c r="BI1350" s="3">
        <v>0</v>
      </c>
      <c r="BJ1350" s="3">
        <v>0</v>
      </c>
      <c r="BK1350" s="3">
        <v>0</v>
      </c>
      <c r="BL1350" s="3">
        <v>0</v>
      </c>
      <c r="BM1350" s="3">
        <v>0</v>
      </c>
      <c r="BN1350" s="3">
        <v>0</v>
      </c>
      <c r="BO1350" s="3">
        <v>0</v>
      </c>
      <c r="BP1350" s="3">
        <v>0</v>
      </c>
      <c r="BQ1350" s="3">
        <v>0</v>
      </c>
      <c r="BR1350" s="3">
        <v>0</v>
      </c>
      <c r="BS1350" s="3">
        <v>0</v>
      </c>
      <c r="BT1350" s="3">
        <v>0</v>
      </c>
      <c r="BU1350" s="3">
        <v>0</v>
      </c>
    </row>
    <row r="1351" spans="1:73" x14ac:dyDescent="0.25">
      <c r="A1351" s="2" t="s">
        <v>149</v>
      </c>
      <c r="B1351" s="4">
        <v>77</v>
      </c>
      <c r="C1351" s="4">
        <v>2</v>
      </c>
      <c r="D1351" s="4">
        <v>3</v>
      </c>
      <c r="E1351" s="4">
        <v>3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>
        <v>1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3">
        <v>0</v>
      </c>
      <c r="AV1351" s="3">
        <v>0</v>
      </c>
      <c r="AW1351" s="3">
        <v>0</v>
      </c>
      <c r="AX1351" s="3">
        <v>0</v>
      </c>
      <c r="AY1351" s="3">
        <v>0</v>
      </c>
      <c r="AZ1351" s="3">
        <v>0</v>
      </c>
      <c r="BA1351" s="3">
        <v>1</v>
      </c>
      <c r="BB1351" s="3">
        <v>0</v>
      </c>
      <c r="BC1351" s="3">
        <v>0</v>
      </c>
      <c r="BD1351" s="3">
        <v>0</v>
      </c>
      <c r="BE1351" s="3">
        <v>0</v>
      </c>
      <c r="BF1351" s="3">
        <v>0</v>
      </c>
      <c r="BG1351" s="3">
        <v>0</v>
      </c>
      <c r="BH1351" s="3">
        <v>0</v>
      </c>
      <c r="BI1351" s="3">
        <v>0</v>
      </c>
      <c r="BJ1351" s="3">
        <v>0</v>
      </c>
      <c r="BK1351" s="3">
        <v>0</v>
      </c>
      <c r="BL1351" s="3">
        <v>1</v>
      </c>
      <c r="BM1351" s="3">
        <v>0</v>
      </c>
      <c r="BN1351" s="3">
        <v>0</v>
      </c>
      <c r="BO1351" s="3">
        <v>1</v>
      </c>
      <c r="BP1351" s="3">
        <v>0</v>
      </c>
      <c r="BQ1351" s="3">
        <v>0</v>
      </c>
      <c r="BR1351" s="3">
        <v>0</v>
      </c>
      <c r="BS1351" s="3">
        <v>0</v>
      </c>
      <c r="BT1351" s="3">
        <v>0</v>
      </c>
      <c r="BU1351" s="3">
        <v>0</v>
      </c>
    </row>
    <row r="1352" spans="1:73" x14ac:dyDescent="0.25">
      <c r="A1352" s="2" t="s">
        <v>150</v>
      </c>
      <c r="B1352" s="4">
        <v>78</v>
      </c>
      <c r="C1352" s="4">
        <v>1</v>
      </c>
      <c r="D1352" s="4">
        <v>1</v>
      </c>
      <c r="E1352" s="4">
        <v>1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2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3">
        <v>0</v>
      </c>
      <c r="AY1352" s="3">
        <v>0</v>
      </c>
      <c r="AZ1352" s="3">
        <v>0</v>
      </c>
      <c r="BA1352" s="3">
        <v>0</v>
      </c>
      <c r="BB1352" s="3">
        <v>0</v>
      </c>
      <c r="BC1352" s="3">
        <v>0</v>
      </c>
      <c r="BD1352" s="3">
        <v>0</v>
      </c>
      <c r="BE1352" s="3">
        <v>0</v>
      </c>
      <c r="BF1352" s="3">
        <v>0</v>
      </c>
      <c r="BG1352" s="3">
        <v>0</v>
      </c>
      <c r="BH1352" s="3">
        <v>0</v>
      </c>
      <c r="BI1352" s="3">
        <v>0</v>
      </c>
      <c r="BJ1352" s="3">
        <v>0</v>
      </c>
      <c r="BK1352" s="3">
        <v>0</v>
      </c>
      <c r="BL1352" s="3">
        <v>0</v>
      </c>
      <c r="BM1352" s="3">
        <v>0</v>
      </c>
      <c r="BN1352" s="3">
        <v>0</v>
      </c>
      <c r="BO1352" s="3">
        <v>0</v>
      </c>
      <c r="BP1352" s="3">
        <v>1</v>
      </c>
      <c r="BQ1352" s="3">
        <v>0</v>
      </c>
      <c r="BR1352" s="3">
        <v>0</v>
      </c>
      <c r="BS1352" s="3">
        <v>0</v>
      </c>
      <c r="BT1352" s="3">
        <v>2</v>
      </c>
      <c r="BU1352" s="3">
        <v>0</v>
      </c>
    </row>
    <row r="1353" spans="1:73" x14ac:dyDescent="0.25">
      <c r="A1353" s="2" t="s">
        <v>150</v>
      </c>
      <c r="B1353" s="4">
        <v>78</v>
      </c>
      <c r="C1353" s="4">
        <v>1</v>
      </c>
      <c r="D1353" s="4">
        <v>1</v>
      </c>
      <c r="E1353" s="4">
        <v>2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1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3">
        <v>0</v>
      </c>
      <c r="AV1353" s="3">
        <v>0</v>
      </c>
      <c r="AW1353" s="3">
        <v>0</v>
      </c>
      <c r="AX1353" s="3">
        <v>0</v>
      </c>
      <c r="AY1353" s="3">
        <v>0</v>
      </c>
      <c r="AZ1353" s="3">
        <v>0</v>
      </c>
      <c r="BA1353" s="3">
        <v>0</v>
      </c>
      <c r="BB1353" s="3">
        <v>0</v>
      </c>
      <c r="BC1353" s="3">
        <v>0</v>
      </c>
      <c r="BD1353" s="3">
        <v>0</v>
      </c>
      <c r="BE1353" s="3">
        <v>0</v>
      </c>
      <c r="BF1353" s="3">
        <v>0</v>
      </c>
      <c r="BG1353" s="3">
        <v>0</v>
      </c>
      <c r="BH1353" s="3">
        <v>0</v>
      </c>
      <c r="BI1353" s="3">
        <v>0</v>
      </c>
      <c r="BJ1353" s="3">
        <v>0</v>
      </c>
      <c r="BK1353" s="3">
        <v>0</v>
      </c>
      <c r="BL1353" s="3">
        <v>0</v>
      </c>
      <c r="BM1353" s="3">
        <v>0</v>
      </c>
      <c r="BN1353" s="3">
        <v>0</v>
      </c>
      <c r="BO1353" s="3">
        <v>0</v>
      </c>
      <c r="BP1353" s="3">
        <v>0</v>
      </c>
      <c r="BQ1353" s="3">
        <v>0</v>
      </c>
      <c r="BR1353" s="3">
        <v>0</v>
      </c>
      <c r="BS1353" s="3">
        <v>0</v>
      </c>
      <c r="BT1353" s="3">
        <v>0</v>
      </c>
      <c r="BU1353" s="3">
        <v>0</v>
      </c>
    </row>
    <row r="1354" spans="1:73" x14ac:dyDescent="0.25">
      <c r="A1354" s="2" t="s">
        <v>150</v>
      </c>
      <c r="B1354" s="4">
        <v>78</v>
      </c>
      <c r="C1354" s="4">
        <v>1</v>
      </c>
      <c r="D1354" s="4">
        <v>1</v>
      </c>
      <c r="E1354" s="4">
        <v>3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1</v>
      </c>
      <c r="N1354" s="3">
        <v>0</v>
      </c>
      <c r="O1354" s="3">
        <v>0</v>
      </c>
      <c r="P1354" s="3">
        <v>0</v>
      </c>
      <c r="Q1354" s="3">
        <v>1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1</v>
      </c>
      <c r="AF1354" s="3">
        <v>0</v>
      </c>
      <c r="AG1354" s="3">
        <v>0</v>
      </c>
      <c r="AH1354" s="3">
        <v>0</v>
      </c>
      <c r="AI1354" s="3">
        <v>0</v>
      </c>
      <c r="AJ1354" s="3">
        <v>0</v>
      </c>
      <c r="AK1354" s="3">
        <v>0</v>
      </c>
      <c r="AL1354" s="3">
        <v>0</v>
      </c>
      <c r="AM1354" s="3">
        <v>0</v>
      </c>
      <c r="AN1354" s="3">
        <v>0</v>
      </c>
      <c r="AO1354" s="3">
        <v>0</v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  <c r="AU1354" s="3">
        <v>0</v>
      </c>
      <c r="AV1354" s="3">
        <v>0</v>
      </c>
      <c r="AW1354" s="3">
        <v>0</v>
      </c>
      <c r="AX1354" s="3">
        <v>0</v>
      </c>
      <c r="AY1354" s="3">
        <v>0</v>
      </c>
      <c r="AZ1354" s="3">
        <v>0</v>
      </c>
      <c r="BA1354" s="3">
        <v>0</v>
      </c>
      <c r="BB1354" s="3">
        <v>0</v>
      </c>
      <c r="BC1354" s="3">
        <v>0</v>
      </c>
      <c r="BD1354" s="3">
        <v>0</v>
      </c>
      <c r="BE1354" s="3">
        <v>0</v>
      </c>
      <c r="BF1354" s="3">
        <v>0</v>
      </c>
      <c r="BG1354" s="3">
        <v>0</v>
      </c>
      <c r="BH1354" s="3">
        <v>0</v>
      </c>
      <c r="BI1354" s="3">
        <v>0</v>
      </c>
      <c r="BJ1354" s="3">
        <v>0</v>
      </c>
      <c r="BK1354" s="3">
        <v>0</v>
      </c>
      <c r="BL1354" s="3">
        <v>0</v>
      </c>
      <c r="BM1354" s="3">
        <v>0</v>
      </c>
      <c r="BN1354" s="3">
        <v>0</v>
      </c>
      <c r="BO1354" s="3">
        <v>0</v>
      </c>
      <c r="BP1354" s="3">
        <v>0</v>
      </c>
      <c r="BQ1354" s="3">
        <v>0</v>
      </c>
      <c r="BR1354" s="3">
        <v>0</v>
      </c>
      <c r="BS1354" s="3">
        <v>0</v>
      </c>
      <c r="BT1354" s="3">
        <v>0</v>
      </c>
      <c r="BU1354" s="3">
        <v>0</v>
      </c>
    </row>
    <row r="1355" spans="1:73" x14ac:dyDescent="0.25">
      <c r="A1355" s="2" t="s">
        <v>150</v>
      </c>
      <c r="B1355" s="4">
        <v>78</v>
      </c>
      <c r="C1355" s="4">
        <v>1</v>
      </c>
      <c r="D1355" s="4">
        <v>2</v>
      </c>
      <c r="E1355" s="4">
        <v>1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3">
        <v>0</v>
      </c>
      <c r="AQ1355" s="3">
        <v>0</v>
      </c>
      <c r="AR1355" s="3">
        <v>0</v>
      </c>
      <c r="AS1355" s="3">
        <v>0</v>
      </c>
      <c r="AT1355" s="3">
        <v>0</v>
      </c>
      <c r="AU1355" s="3">
        <v>0</v>
      </c>
      <c r="AV1355" s="3">
        <v>0</v>
      </c>
      <c r="AW1355" s="3">
        <v>0</v>
      </c>
      <c r="AX1355" s="3">
        <v>0</v>
      </c>
      <c r="AY1355" s="3">
        <v>0</v>
      </c>
      <c r="AZ1355" s="3">
        <v>0</v>
      </c>
      <c r="BA1355" s="3">
        <v>0</v>
      </c>
      <c r="BB1355" s="3">
        <v>0</v>
      </c>
      <c r="BC1355" s="3">
        <v>0</v>
      </c>
      <c r="BD1355" s="3">
        <v>0</v>
      </c>
      <c r="BE1355" s="3">
        <v>0</v>
      </c>
      <c r="BF1355" s="3">
        <v>0</v>
      </c>
      <c r="BG1355" s="3">
        <v>0</v>
      </c>
      <c r="BH1355" s="3">
        <v>0</v>
      </c>
      <c r="BI1355" s="3">
        <v>0</v>
      </c>
      <c r="BJ1355" s="3">
        <v>0</v>
      </c>
      <c r="BK1355" s="3">
        <v>0</v>
      </c>
      <c r="BL1355" s="3">
        <v>0</v>
      </c>
      <c r="BM1355" s="3">
        <v>0</v>
      </c>
      <c r="BN1355" s="3">
        <v>0</v>
      </c>
      <c r="BO1355" s="3">
        <v>0</v>
      </c>
      <c r="BP1355" s="3">
        <v>0</v>
      </c>
      <c r="BQ1355" s="3">
        <v>0</v>
      </c>
      <c r="BR1355" s="3">
        <v>0</v>
      </c>
      <c r="BS1355" s="3">
        <v>0</v>
      </c>
      <c r="BT1355" s="3">
        <v>0</v>
      </c>
      <c r="BU1355" s="3">
        <v>0</v>
      </c>
    </row>
    <row r="1356" spans="1:73" x14ac:dyDescent="0.25">
      <c r="A1356" s="2" t="s">
        <v>150</v>
      </c>
      <c r="B1356" s="4">
        <v>78</v>
      </c>
      <c r="C1356" s="4">
        <v>1</v>
      </c>
      <c r="D1356" s="4">
        <v>2</v>
      </c>
      <c r="E1356" s="4">
        <v>2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0</v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3">
        <v>0</v>
      </c>
      <c r="AV1356" s="3">
        <v>0</v>
      </c>
      <c r="AW1356" s="3">
        <v>0</v>
      </c>
      <c r="AX1356" s="3">
        <v>0</v>
      </c>
      <c r="AY1356" s="3">
        <v>0</v>
      </c>
      <c r="AZ1356" s="3">
        <v>0</v>
      </c>
      <c r="BA1356" s="3">
        <v>0</v>
      </c>
      <c r="BB1356" s="3">
        <v>0</v>
      </c>
      <c r="BC1356" s="3">
        <v>0</v>
      </c>
      <c r="BD1356" s="3">
        <v>0</v>
      </c>
      <c r="BE1356" s="3">
        <v>0</v>
      </c>
      <c r="BF1356" s="3">
        <v>0</v>
      </c>
      <c r="BG1356" s="3">
        <v>0</v>
      </c>
      <c r="BH1356" s="3">
        <v>0</v>
      </c>
      <c r="BI1356" s="3">
        <v>1</v>
      </c>
      <c r="BJ1356" s="3">
        <v>0</v>
      </c>
      <c r="BK1356" s="3">
        <v>0</v>
      </c>
      <c r="BL1356" s="3">
        <v>0</v>
      </c>
      <c r="BM1356" s="3">
        <v>0</v>
      </c>
      <c r="BN1356" s="3">
        <v>0</v>
      </c>
      <c r="BO1356" s="3">
        <v>0</v>
      </c>
      <c r="BP1356" s="3">
        <v>0</v>
      </c>
      <c r="BQ1356" s="3">
        <v>0</v>
      </c>
      <c r="BR1356" s="3">
        <v>0</v>
      </c>
      <c r="BS1356" s="3">
        <v>0</v>
      </c>
      <c r="BT1356" s="3">
        <v>0</v>
      </c>
      <c r="BU1356" s="3">
        <v>0</v>
      </c>
    </row>
    <row r="1357" spans="1:73" x14ac:dyDescent="0.25">
      <c r="A1357" s="2" t="s">
        <v>150</v>
      </c>
      <c r="B1357" s="4">
        <v>78</v>
      </c>
      <c r="C1357" s="4">
        <v>1</v>
      </c>
      <c r="D1357" s="4">
        <v>2</v>
      </c>
      <c r="E1357" s="4">
        <v>3</v>
      </c>
      <c r="F1357" s="3">
        <v>0</v>
      </c>
      <c r="G1357" s="3">
        <v>0</v>
      </c>
      <c r="H1357" s="3">
        <v>0</v>
      </c>
      <c r="I1357" s="3">
        <v>0</v>
      </c>
      <c r="J1357" s="3">
        <v>1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0</v>
      </c>
      <c r="AO1357" s="3">
        <v>0</v>
      </c>
      <c r="AP1357" s="3">
        <v>0</v>
      </c>
      <c r="AQ1357" s="3">
        <v>0</v>
      </c>
      <c r="AR1357" s="3">
        <v>0</v>
      </c>
      <c r="AS1357" s="3">
        <v>0</v>
      </c>
      <c r="AT1357" s="3">
        <v>0</v>
      </c>
      <c r="AU1357" s="3">
        <v>0</v>
      </c>
      <c r="AV1357" s="3">
        <v>0</v>
      </c>
      <c r="AW1357" s="3">
        <v>0</v>
      </c>
      <c r="AX1357" s="3">
        <v>0</v>
      </c>
      <c r="AY1357" s="3">
        <v>0</v>
      </c>
      <c r="AZ1357" s="3">
        <v>0</v>
      </c>
      <c r="BA1357" s="3">
        <v>0</v>
      </c>
      <c r="BB1357" s="3">
        <v>0</v>
      </c>
      <c r="BC1357" s="3">
        <v>0</v>
      </c>
      <c r="BD1357" s="3">
        <v>0</v>
      </c>
      <c r="BE1357" s="3">
        <v>0</v>
      </c>
      <c r="BF1357" s="3">
        <v>0</v>
      </c>
      <c r="BG1357" s="3">
        <v>0</v>
      </c>
      <c r="BH1357" s="3">
        <v>0</v>
      </c>
      <c r="BI1357" s="3">
        <v>0</v>
      </c>
      <c r="BJ1357" s="3">
        <v>0</v>
      </c>
      <c r="BK1357" s="3">
        <v>0</v>
      </c>
      <c r="BL1357" s="3">
        <v>0</v>
      </c>
      <c r="BM1357" s="3">
        <v>0</v>
      </c>
      <c r="BN1357" s="3">
        <v>0</v>
      </c>
      <c r="BO1357" s="3">
        <v>0</v>
      </c>
      <c r="BP1357" s="3">
        <v>0</v>
      </c>
      <c r="BQ1357" s="3">
        <v>0</v>
      </c>
      <c r="BR1357" s="3">
        <v>0</v>
      </c>
      <c r="BS1357" s="3">
        <v>0</v>
      </c>
      <c r="BT1357" s="3">
        <v>0</v>
      </c>
      <c r="BU1357" s="3">
        <v>0</v>
      </c>
    </row>
    <row r="1358" spans="1:73" x14ac:dyDescent="0.25">
      <c r="A1358" s="2" t="s">
        <v>150</v>
      </c>
      <c r="B1358" s="4">
        <v>78</v>
      </c>
      <c r="C1358" s="4">
        <v>1</v>
      </c>
      <c r="D1358" s="4">
        <v>3</v>
      </c>
      <c r="E1358" s="4">
        <v>1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>
        <v>1</v>
      </c>
      <c r="AK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  <c r="AU1358" s="3">
        <v>0</v>
      </c>
      <c r="AV1358" s="3">
        <v>0</v>
      </c>
      <c r="AW1358" s="3">
        <v>0</v>
      </c>
      <c r="AX1358" s="3">
        <v>0</v>
      </c>
      <c r="AY1358" s="3">
        <v>0</v>
      </c>
      <c r="AZ1358" s="3">
        <v>0</v>
      </c>
      <c r="BA1358" s="3">
        <v>0</v>
      </c>
      <c r="BB1358" s="3">
        <v>0</v>
      </c>
      <c r="BC1358" s="3">
        <v>0</v>
      </c>
      <c r="BD1358" s="3">
        <v>0</v>
      </c>
      <c r="BE1358" s="3">
        <v>0</v>
      </c>
      <c r="BF1358" s="3">
        <v>0</v>
      </c>
      <c r="BG1358" s="3">
        <v>0</v>
      </c>
      <c r="BH1358" s="3">
        <v>0</v>
      </c>
      <c r="BI1358" s="3">
        <v>0</v>
      </c>
      <c r="BJ1358" s="3">
        <v>0</v>
      </c>
      <c r="BK1358" s="3">
        <v>0</v>
      </c>
      <c r="BL1358" s="3">
        <v>0</v>
      </c>
      <c r="BM1358" s="3">
        <v>0</v>
      </c>
      <c r="BN1358" s="3">
        <v>0</v>
      </c>
      <c r="BO1358" s="3">
        <v>0</v>
      </c>
      <c r="BP1358" s="3">
        <v>0</v>
      </c>
      <c r="BQ1358" s="3">
        <v>0</v>
      </c>
      <c r="BR1358" s="3">
        <v>0</v>
      </c>
      <c r="BS1358" s="3">
        <v>0</v>
      </c>
      <c r="BT1358" s="3">
        <v>0</v>
      </c>
      <c r="BU1358" s="3">
        <v>0</v>
      </c>
    </row>
    <row r="1359" spans="1:73" x14ac:dyDescent="0.25">
      <c r="A1359" s="2" t="s">
        <v>150</v>
      </c>
      <c r="B1359" s="4">
        <v>78</v>
      </c>
      <c r="C1359" s="4">
        <v>1</v>
      </c>
      <c r="D1359" s="4">
        <v>3</v>
      </c>
      <c r="E1359" s="4">
        <v>2</v>
      </c>
      <c r="F1359" s="3">
        <v>0</v>
      </c>
      <c r="G1359" s="3">
        <v>1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1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3">
        <v>0</v>
      </c>
      <c r="AV1359" s="3">
        <v>0</v>
      </c>
      <c r="AW1359" s="3">
        <v>0</v>
      </c>
      <c r="AX1359" s="3">
        <v>0</v>
      </c>
      <c r="AY1359" s="3">
        <v>0</v>
      </c>
      <c r="AZ1359" s="3">
        <v>0</v>
      </c>
      <c r="BA1359" s="3">
        <v>0</v>
      </c>
      <c r="BB1359" s="3">
        <v>0</v>
      </c>
      <c r="BC1359" s="3">
        <v>0</v>
      </c>
      <c r="BD1359" s="3">
        <v>0</v>
      </c>
      <c r="BE1359" s="3">
        <v>0</v>
      </c>
      <c r="BF1359" s="3">
        <v>0</v>
      </c>
      <c r="BG1359" s="3">
        <v>0</v>
      </c>
      <c r="BH1359" s="3">
        <v>0</v>
      </c>
      <c r="BI1359" s="3">
        <v>0</v>
      </c>
      <c r="BJ1359" s="3">
        <v>0</v>
      </c>
      <c r="BK1359" s="3">
        <v>0</v>
      </c>
      <c r="BL1359" s="3">
        <v>1</v>
      </c>
      <c r="BM1359" s="3">
        <v>0</v>
      </c>
      <c r="BN1359" s="3">
        <v>0</v>
      </c>
      <c r="BO1359" s="3">
        <v>0</v>
      </c>
      <c r="BP1359" s="3">
        <v>0</v>
      </c>
      <c r="BQ1359" s="3">
        <v>0</v>
      </c>
      <c r="BR1359" s="3">
        <v>0</v>
      </c>
      <c r="BS1359" s="3">
        <v>0</v>
      </c>
      <c r="BT1359" s="3">
        <v>0</v>
      </c>
      <c r="BU1359" s="3">
        <v>0</v>
      </c>
    </row>
    <row r="1360" spans="1:73" x14ac:dyDescent="0.25">
      <c r="A1360" s="2" t="s">
        <v>150</v>
      </c>
      <c r="B1360" s="4">
        <v>78</v>
      </c>
      <c r="C1360" s="4">
        <v>1</v>
      </c>
      <c r="D1360" s="4">
        <v>3</v>
      </c>
      <c r="E1360" s="4">
        <v>3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  <c r="AJ1360" s="3">
        <v>0</v>
      </c>
      <c r="AK1360" s="3">
        <v>0</v>
      </c>
      <c r="AL1360" s="3">
        <v>0</v>
      </c>
      <c r="AM1360" s="3">
        <v>0</v>
      </c>
      <c r="AN1360" s="3">
        <v>0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3">
        <v>1</v>
      </c>
      <c r="AV1360" s="3">
        <v>0</v>
      </c>
      <c r="AW1360" s="3">
        <v>0</v>
      </c>
      <c r="AX1360" s="3">
        <v>0</v>
      </c>
      <c r="AY1360" s="3">
        <v>0</v>
      </c>
      <c r="AZ1360" s="3">
        <v>0</v>
      </c>
      <c r="BA1360" s="3">
        <v>0</v>
      </c>
      <c r="BB1360" s="3">
        <v>0</v>
      </c>
      <c r="BC1360" s="3">
        <v>0</v>
      </c>
      <c r="BD1360" s="3">
        <v>0</v>
      </c>
      <c r="BE1360" s="3">
        <v>0</v>
      </c>
      <c r="BF1360" s="3">
        <v>0</v>
      </c>
      <c r="BG1360" s="3">
        <v>0</v>
      </c>
      <c r="BH1360" s="3">
        <v>0</v>
      </c>
      <c r="BI1360" s="3">
        <v>0</v>
      </c>
      <c r="BJ1360" s="3">
        <v>0</v>
      </c>
      <c r="BK1360" s="3">
        <v>0</v>
      </c>
      <c r="BL1360" s="3">
        <v>0</v>
      </c>
      <c r="BM1360" s="3">
        <v>0</v>
      </c>
      <c r="BN1360" s="3">
        <v>0</v>
      </c>
      <c r="BO1360" s="3">
        <v>0</v>
      </c>
      <c r="BP1360" s="3">
        <v>0</v>
      </c>
      <c r="BQ1360" s="3">
        <v>0</v>
      </c>
      <c r="BR1360" s="3">
        <v>0</v>
      </c>
      <c r="BS1360" s="3">
        <v>0</v>
      </c>
      <c r="BT1360" s="3">
        <v>0</v>
      </c>
      <c r="BU1360" s="3">
        <v>0</v>
      </c>
    </row>
    <row r="1361" spans="1:73" x14ac:dyDescent="0.25">
      <c r="A1361" s="2" t="s">
        <v>150</v>
      </c>
      <c r="B1361" s="4">
        <v>78</v>
      </c>
      <c r="C1361" s="4">
        <v>2</v>
      </c>
      <c r="D1361" s="4">
        <v>1</v>
      </c>
      <c r="E1361" s="4">
        <v>1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1</v>
      </c>
      <c r="N1361" s="3">
        <v>0</v>
      </c>
      <c r="O1361" s="3">
        <v>0</v>
      </c>
      <c r="P1361" s="3">
        <v>1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1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  <c r="AE1361" s="3">
        <v>1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3">
        <v>0</v>
      </c>
      <c r="AL1361" s="3">
        <v>0</v>
      </c>
      <c r="AM1361" s="3">
        <v>0</v>
      </c>
      <c r="AN1361" s="3">
        <v>0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3">
        <v>1</v>
      </c>
      <c r="AV1361" s="3">
        <v>0</v>
      </c>
      <c r="AW1361" s="3">
        <v>0</v>
      </c>
      <c r="AX1361" s="3">
        <v>0</v>
      </c>
      <c r="AY1361" s="3">
        <v>0</v>
      </c>
      <c r="AZ1361" s="3">
        <v>0</v>
      </c>
      <c r="BA1361" s="3">
        <v>0</v>
      </c>
      <c r="BB1361" s="3">
        <v>0</v>
      </c>
      <c r="BC1361" s="3">
        <v>0</v>
      </c>
      <c r="BD1361" s="3">
        <v>0</v>
      </c>
      <c r="BE1361" s="3">
        <v>0</v>
      </c>
      <c r="BF1361" s="3">
        <v>0</v>
      </c>
      <c r="BG1361" s="3">
        <v>0</v>
      </c>
      <c r="BH1361" s="3">
        <v>0</v>
      </c>
      <c r="BI1361" s="3">
        <v>0</v>
      </c>
      <c r="BJ1361" s="3">
        <v>0</v>
      </c>
      <c r="BK1361" s="3">
        <v>0</v>
      </c>
      <c r="BL1361" s="3">
        <v>1</v>
      </c>
      <c r="BM1361" s="3">
        <v>0</v>
      </c>
      <c r="BN1361" s="3">
        <v>0</v>
      </c>
      <c r="BO1361" s="3">
        <v>0</v>
      </c>
      <c r="BP1361" s="3">
        <v>1</v>
      </c>
      <c r="BQ1361" s="3">
        <v>0</v>
      </c>
      <c r="BR1361" s="3">
        <v>0</v>
      </c>
      <c r="BS1361" s="3">
        <v>0</v>
      </c>
      <c r="BT1361" s="3">
        <v>1</v>
      </c>
      <c r="BU1361" s="3">
        <v>0</v>
      </c>
    </row>
    <row r="1362" spans="1:73" x14ac:dyDescent="0.25">
      <c r="A1362" s="2" t="s">
        <v>150</v>
      </c>
      <c r="B1362" s="4">
        <v>78</v>
      </c>
      <c r="C1362" s="4">
        <v>2</v>
      </c>
      <c r="D1362" s="4">
        <v>1</v>
      </c>
      <c r="E1362" s="4">
        <v>2</v>
      </c>
      <c r="F1362" s="3">
        <v>0</v>
      </c>
      <c r="G1362" s="3">
        <v>0</v>
      </c>
      <c r="H1362" s="3">
        <v>0</v>
      </c>
      <c r="I1362" s="3">
        <v>0</v>
      </c>
      <c r="J1362" s="3">
        <v>1</v>
      </c>
      <c r="K1362" s="3">
        <v>0</v>
      </c>
      <c r="L1362" s="3">
        <v>0</v>
      </c>
      <c r="M1362" s="3">
        <v>0</v>
      </c>
      <c r="N1362" s="3">
        <v>1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>
        <v>1</v>
      </c>
      <c r="AK1362" s="3">
        <v>0</v>
      </c>
      <c r="AL1362" s="3">
        <v>0</v>
      </c>
      <c r="AM1362" s="3">
        <v>0</v>
      </c>
      <c r="AN1362" s="3">
        <v>0</v>
      </c>
      <c r="AO1362" s="3">
        <v>0</v>
      </c>
      <c r="AP1362" s="3">
        <v>0</v>
      </c>
      <c r="AQ1362" s="3">
        <v>0</v>
      </c>
      <c r="AR1362" s="3">
        <v>0</v>
      </c>
      <c r="AS1362" s="3">
        <v>0</v>
      </c>
      <c r="AT1362" s="3">
        <v>0</v>
      </c>
      <c r="AU1362" s="3">
        <v>0</v>
      </c>
      <c r="AV1362" s="3">
        <v>0</v>
      </c>
      <c r="AW1362" s="3">
        <v>0</v>
      </c>
      <c r="AX1362" s="3">
        <v>0</v>
      </c>
      <c r="AY1362" s="3">
        <v>0</v>
      </c>
      <c r="AZ1362" s="3">
        <v>0</v>
      </c>
      <c r="BA1362" s="3">
        <v>0</v>
      </c>
      <c r="BB1362" s="3">
        <v>0</v>
      </c>
      <c r="BC1362" s="3">
        <v>0</v>
      </c>
      <c r="BD1362" s="3">
        <v>0</v>
      </c>
      <c r="BE1362" s="3">
        <v>0</v>
      </c>
      <c r="BF1362" s="3">
        <v>0</v>
      </c>
      <c r="BG1362" s="3">
        <v>0</v>
      </c>
      <c r="BH1362" s="3">
        <v>0</v>
      </c>
      <c r="BI1362" s="3">
        <v>1</v>
      </c>
      <c r="BJ1362" s="3">
        <v>0</v>
      </c>
      <c r="BK1362" s="3">
        <v>0</v>
      </c>
      <c r="BL1362" s="3">
        <v>0</v>
      </c>
      <c r="BM1362" s="3">
        <v>0</v>
      </c>
      <c r="BN1362" s="3">
        <v>0</v>
      </c>
      <c r="BO1362" s="3">
        <v>0</v>
      </c>
      <c r="BP1362" s="3">
        <v>0</v>
      </c>
      <c r="BQ1362" s="3">
        <v>0</v>
      </c>
      <c r="BR1362" s="3">
        <v>0</v>
      </c>
      <c r="BS1362" s="3">
        <v>0</v>
      </c>
      <c r="BT1362" s="3">
        <v>2</v>
      </c>
      <c r="BU1362" s="3">
        <v>0</v>
      </c>
    </row>
    <row r="1363" spans="1:73" x14ac:dyDescent="0.25">
      <c r="A1363" s="2" t="s">
        <v>150</v>
      </c>
      <c r="B1363" s="4">
        <v>78</v>
      </c>
      <c r="C1363" s="4">
        <v>2</v>
      </c>
      <c r="D1363" s="4">
        <v>1</v>
      </c>
      <c r="E1363" s="4">
        <v>3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0</v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  <c r="AU1363" s="3">
        <v>1</v>
      </c>
      <c r="AV1363" s="3">
        <v>0</v>
      </c>
      <c r="AW1363" s="3">
        <v>0</v>
      </c>
      <c r="AX1363" s="3">
        <v>0</v>
      </c>
      <c r="AY1363" s="3">
        <v>0</v>
      </c>
      <c r="AZ1363" s="3">
        <v>0</v>
      </c>
      <c r="BA1363" s="3">
        <v>0</v>
      </c>
      <c r="BB1363" s="3">
        <v>0</v>
      </c>
      <c r="BC1363" s="3">
        <v>0</v>
      </c>
      <c r="BD1363" s="3">
        <v>0</v>
      </c>
      <c r="BE1363" s="3">
        <v>0</v>
      </c>
      <c r="BF1363" s="3">
        <v>0</v>
      </c>
      <c r="BG1363" s="3">
        <v>0</v>
      </c>
      <c r="BH1363" s="3">
        <v>0</v>
      </c>
      <c r="BI1363" s="3">
        <v>0</v>
      </c>
      <c r="BJ1363" s="3">
        <v>0</v>
      </c>
      <c r="BK1363" s="3">
        <v>0</v>
      </c>
      <c r="BL1363" s="3">
        <v>0</v>
      </c>
      <c r="BM1363" s="3">
        <v>0</v>
      </c>
      <c r="BN1363" s="3">
        <v>0</v>
      </c>
      <c r="BO1363" s="3">
        <v>0</v>
      </c>
      <c r="BP1363" s="3">
        <v>0</v>
      </c>
      <c r="BQ1363" s="3">
        <v>0</v>
      </c>
      <c r="BR1363" s="3">
        <v>0</v>
      </c>
      <c r="BS1363" s="3">
        <v>0</v>
      </c>
      <c r="BT1363" s="3">
        <v>0</v>
      </c>
      <c r="BU1363" s="3">
        <v>0</v>
      </c>
    </row>
    <row r="1364" spans="1:73" x14ac:dyDescent="0.25">
      <c r="A1364" s="2" t="s">
        <v>150</v>
      </c>
      <c r="B1364" s="4">
        <v>78</v>
      </c>
      <c r="C1364" s="4">
        <v>2</v>
      </c>
      <c r="D1364" s="4">
        <v>2</v>
      </c>
      <c r="E1364" s="4">
        <v>1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1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2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0</v>
      </c>
      <c r="AX1364" s="3">
        <v>0</v>
      </c>
      <c r="AY1364" s="3">
        <v>0</v>
      </c>
      <c r="AZ1364" s="3">
        <v>0</v>
      </c>
      <c r="BA1364" s="3">
        <v>0</v>
      </c>
      <c r="BB1364" s="3">
        <v>0</v>
      </c>
      <c r="BC1364" s="3">
        <v>0</v>
      </c>
      <c r="BD1364" s="3">
        <v>0</v>
      </c>
      <c r="BE1364" s="3">
        <v>0</v>
      </c>
      <c r="BF1364" s="3">
        <v>0</v>
      </c>
      <c r="BG1364" s="3">
        <v>0</v>
      </c>
      <c r="BH1364" s="3">
        <v>0</v>
      </c>
      <c r="BI1364" s="3">
        <v>0</v>
      </c>
      <c r="BJ1364" s="3">
        <v>0</v>
      </c>
      <c r="BK1364" s="3">
        <v>0</v>
      </c>
      <c r="BL1364" s="3">
        <v>0</v>
      </c>
      <c r="BM1364" s="3">
        <v>0</v>
      </c>
      <c r="BN1364" s="3">
        <v>0</v>
      </c>
      <c r="BO1364" s="3">
        <v>0</v>
      </c>
      <c r="BP1364" s="3">
        <v>0</v>
      </c>
      <c r="BQ1364" s="3">
        <v>0</v>
      </c>
      <c r="BR1364" s="3">
        <v>0</v>
      </c>
      <c r="BS1364" s="3">
        <v>0</v>
      </c>
      <c r="BT1364" s="3">
        <v>0</v>
      </c>
      <c r="BU1364" s="3">
        <v>0</v>
      </c>
    </row>
    <row r="1365" spans="1:73" x14ac:dyDescent="0.25">
      <c r="A1365" s="2" t="s">
        <v>150</v>
      </c>
      <c r="B1365" s="4">
        <v>78</v>
      </c>
      <c r="C1365" s="4">
        <v>2</v>
      </c>
      <c r="D1365" s="4">
        <v>2</v>
      </c>
      <c r="E1365" s="4">
        <v>2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  <c r="AE1365" s="3">
        <v>1</v>
      </c>
      <c r="AF1365" s="3">
        <v>0</v>
      </c>
      <c r="AG1365" s="3">
        <v>0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0</v>
      </c>
      <c r="AX1365" s="3">
        <v>0</v>
      </c>
      <c r="AY1365" s="3">
        <v>0</v>
      </c>
      <c r="AZ1365" s="3">
        <v>0</v>
      </c>
      <c r="BA1365" s="3">
        <v>0</v>
      </c>
      <c r="BB1365" s="3">
        <v>0</v>
      </c>
      <c r="BC1365" s="3">
        <v>0</v>
      </c>
      <c r="BD1365" s="3">
        <v>0</v>
      </c>
      <c r="BE1365" s="3">
        <v>0</v>
      </c>
      <c r="BF1365" s="3">
        <v>0</v>
      </c>
      <c r="BG1365" s="3">
        <v>0</v>
      </c>
      <c r="BH1365" s="3">
        <v>0</v>
      </c>
      <c r="BI1365" s="3">
        <v>0</v>
      </c>
      <c r="BJ1365" s="3">
        <v>0</v>
      </c>
      <c r="BK1365" s="3">
        <v>1</v>
      </c>
      <c r="BL1365" s="3">
        <v>0</v>
      </c>
      <c r="BM1365" s="3">
        <v>0</v>
      </c>
      <c r="BN1365" s="3">
        <v>0</v>
      </c>
      <c r="BO1365" s="3">
        <v>0</v>
      </c>
      <c r="BP1365" s="3">
        <v>0</v>
      </c>
      <c r="BQ1365" s="3">
        <v>0</v>
      </c>
      <c r="BR1365" s="3">
        <v>0</v>
      </c>
      <c r="BS1365" s="3">
        <v>0</v>
      </c>
      <c r="BT1365" s="3">
        <v>0</v>
      </c>
      <c r="BU1365" s="3">
        <v>0</v>
      </c>
    </row>
    <row r="1366" spans="1:73" x14ac:dyDescent="0.25">
      <c r="A1366" s="2" t="s">
        <v>150</v>
      </c>
      <c r="B1366" s="4">
        <v>78</v>
      </c>
      <c r="C1366" s="4">
        <v>2</v>
      </c>
      <c r="D1366" s="4">
        <v>2</v>
      </c>
      <c r="E1366" s="4">
        <v>3</v>
      </c>
      <c r="F1366" s="3">
        <v>0</v>
      </c>
      <c r="G1366" s="3">
        <v>1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0</v>
      </c>
      <c r="AX1366" s="3">
        <v>0</v>
      </c>
      <c r="AY1366" s="3">
        <v>0</v>
      </c>
      <c r="AZ1366" s="3">
        <v>0</v>
      </c>
      <c r="BA1366" s="3">
        <v>0</v>
      </c>
      <c r="BB1366" s="3">
        <v>0</v>
      </c>
      <c r="BC1366" s="3">
        <v>0</v>
      </c>
      <c r="BD1366" s="3">
        <v>0</v>
      </c>
      <c r="BE1366" s="3">
        <v>0</v>
      </c>
      <c r="BF1366" s="3">
        <v>0</v>
      </c>
      <c r="BG1366" s="3">
        <v>0</v>
      </c>
      <c r="BH1366" s="3">
        <v>0</v>
      </c>
      <c r="BI1366" s="3">
        <v>0</v>
      </c>
      <c r="BJ1366" s="3">
        <v>0</v>
      </c>
      <c r="BK1366" s="3">
        <v>0</v>
      </c>
      <c r="BL1366" s="3">
        <v>0</v>
      </c>
      <c r="BM1366" s="3">
        <v>0</v>
      </c>
      <c r="BN1366" s="3">
        <v>0</v>
      </c>
      <c r="BO1366" s="3">
        <v>0</v>
      </c>
      <c r="BP1366" s="3">
        <v>0</v>
      </c>
      <c r="BQ1366" s="3">
        <v>0</v>
      </c>
      <c r="BR1366" s="3">
        <v>1</v>
      </c>
      <c r="BS1366" s="3">
        <v>0</v>
      </c>
      <c r="BT1366" s="3">
        <v>0</v>
      </c>
      <c r="BU1366" s="3">
        <v>0</v>
      </c>
    </row>
    <row r="1367" spans="1:73" x14ac:dyDescent="0.25">
      <c r="A1367" s="2" t="s">
        <v>150</v>
      </c>
      <c r="B1367" s="4">
        <v>78</v>
      </c>
      <c r="C1367" s="4">
        <v>2</v>
      </c>
      <c r="D1367" s="4">
        <v>3</v>
      </c>
      <c r="E1367" s="4">
        <v>1</v>
      </c>
      <c r="F1367" s="3">
        <v>0</v>
      </c>
      <c r="G1367" s="3">
        <v>1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1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1</v>
      </c>
      <c r="AV1367" s="3">
        <v>0</v>
      </c>
      <c r="AW1367" s="3">
        <v>0</v>
      </c>
      <c r="AX1367" s="3">
        <v>0</v>
      </c>
      <c r="AY1367" s="3">
        <v>0</v>
      </c>
      <c r="AZ1367" s="3">
        <v>0</v>
      </c>
      <c r="BA1367" s="3">
        <v>0</v>
      </c>
      <c r="BB1367" s="3">
        <v>0</v>
      </c>
      <c r="BC1367" s="3">
        <v>0</v>
      </c>
      <c r="BD1367" s="3">
        <v>0</v>
      </c>
      <c r="BE1367" s="3">
        <v>0</v>
      </c>
      <c r="BF1367" s="3">
        <v>0</v>
      </c>
      <c r="BG1367" s="3">
        <v>0</v>
      </c>
      <c r="BH1367" s="3">
        <v>0</v>
      </c>
      <c r="BI1367" s="3">
        <v>0</v>
      </c>
      <c r="BJ1367" s="3">
        <v>0</v>
      </c>
      <c r="BK1367" s="3">
        <v>0</v>
      </c>
      <c r="BL1367" s="3">
        <v>0</v>
      </c>
      <c r="BM1367" s="3">
        <v>0</v>
      </c>
      <c r="BN1367" s="3">
        <v>0</v>
      </c>
      <c r="BO1367" s="3">
        <v>0</v>
      </c>
      <c r="BP1367" s="3">
        <v>0</v>
      </c>
      <c r="BQ1367" s="3">
        <v>0</v>
      </c>
      <c r="BR1367" s="3">
        <v>0</v>
      </c>
      <c r="BS1367" s="3">
        <v>0</v>
      </c>
      <c r="BT1367" s="3">
        <v>0</v>
      </c>
      <c r="BU1367" s="3">
        <v>0</v>
      </c>
    </row>
    <row r="1368" spans="1:73" x14ac:dyDescent="0.25">
      <c r="A1368" s="2" t="s">
        <v>150</v>
      </c>
      <c r="B1368" s="4">
        <v>78</v>
      </c>
      <c r="C1368" s="4">
        <v>2</v>
      </c>
      <c r="D1368" s="4">
        <v>3</v>
      </c>
      <c r="E1368" s="4">
        <v>2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1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T1368" s="3">
        <v>0</v>
      </c>
      <c r="AU1368" s="3">
        <v>0</v>
      </c>
      <c r="AV1368" s="3">
        <v>0</v>
      </c>
      <c r="AW1368" s="3">
        <v>0</v>
      </c>
      <c r="AX1368" s="3">
        <v>0</v>
      </c>
      <c r="AY1368" s="3">
        <v>0</v>
      </c>
      <c r="AZ1368" s="3">
        <v>0</v>
      </c>
      <c r="BA1368" s="3">
        <v>0</v>
      </c>
      <c r="BB1368" s="3">
        <v>0</v>
      </c>
      <c r="BC1368" s="3">
        <v>0</v>
      </c>
      <c r="BD1368" s="3">
        <v>0</v>
      </c>
      <c r="BE1368" s="3">
        <v>0</v>
      </c>
      <c r="BF1368" s="3">
        <v>0</v>
      </c>
      <c r="BG1368" s="3">
        <v>0</v>
      </c>
      <c r="BH1368" s="3">
        <v>0</v>
      </c>
      <c r="BI1368" s="3">
        <v>0</v>
      </c>
      <c r="BJ1368" s="3">
        <v>0</v>
      </c>
      <c r="BK1368" s="3">
        <v>0</v>
      </c>
      <c r="BL1368" s="3">
        <v>0</v>
      </c>
      <c r="BM1368" s="3">
        <v>0</v>
      </c>
      <c r="BN1368" s="3">
        <v>0</v>
      </c>
      <c r="BO1368" s="3">
        <v>0</v>
      </c>
      <c r="BP1368" s="3">
        <v>0</v>
      </c>
      <c r="BQ1368" s="3">
        <v>0</v>
      </c>
      <c r="BR1368" s="3">
        <v>0</v>
      </c>
      <c r="BS1368" s="3">
        <v>0</v>
      </c>
      <c r="BT1368" s="3">
        <v>0</v>
      </c>
      <c r="BU1368" s="3">
        <v>0</v>
      </c>
    </row>
    <row r="1369" spans="1:73" x14ac:dyDescent="0.25">
      <c r="A1369" s="2" t="s">
        <v>150</v>
      </c>
      <c r="B1369" s="4">
        <v>78</v>
      </c>
      <c r="C1369" s="4">
        <v>2</v>
      </c>
      <c r="D1369" s="4">
        <v>3</v>
      </c>
      <c r="E1369" s="4">
        <v>3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  <c r="AV1369" s="3">
        <v>0</v>
      </c>
      <c r="AW1369" s="3">
        <v>0</v>
      </c>
      <c r="AX1369" s="3">
        <v>0</v>
      </c>
      <c r="AY1369" s="3">
        <v>0</v>
      </c>
      <c r="AZ1369" s="3">
        <v>0</v>
      </c>
      <c r="BA1369" s="3">
        <v>0</v>
      </c>
      <c r="BB1369" s="3">
        <v>0</v>
      </c>
      <c r="BC1369" s="3">
        <v>0</v>
      </c>
      <c r="BD1369" s="3">
        <v>0</v>
      </c>
      <c r="BE1369" s="3">
        <v>0</v>
      </c>
      <c r="BF1369" s="3">
        <v>0</v>
      </c>
      <c r="BG1369" s="3">
        <v>0</v>
      </c>
      <c r="BH1369" s="3">
        <v>0</v>
      </c>
      <c r="BI1369" s="3">
        <v>0</v>
      </c>
      <c r="BJ1369" s="3">
        <v>0</v>
      </c>
      <c r="BK1369" s="3">
        <v>0</v>
      </c>
      <c r="BL1369" s="3">
        <v>0</v>
      </c>
      <c r="BM1369" s="3">
        <v>0</v>
      </c>
      <c r="BN1369" s="3">
        <v>0</v>
      </c>
      <c r="BO1369" s="3">
        <v>0</v>
      </c>
      <c r="BP1369" s="3">
        <v>0</v>
      </c>
      <c r="BQ1369" s="3">
        <v>0</v>
      </c>
      <c r="BR1369" s="3">
        <v>0</v>
      </c>
      <c r="BS1369" s="3">
        <v>0</v>
      </c>
      <c r="BT1369" s="3">
        <v>0</v>
      </c>
      <c r="BU1369" s="3">
        <v>0</v>
      </c>
    </row>
    <row r="1370" spans="1:73" x14ac:dyDescent="0.25">
      <c r="A1370" s="2" t="s">
        <v>151</v>
      </c>
      <c r="B1370" s="4">
        <v>79</v>
      </c>
      <c r="C1370" s="4">
        <v>1</v>
      </c>
      <c r="D1370" s="4">
        <v>1</v>
      </c>
      <c r="E1370" s="4">
        <v>1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1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3">
        <v>1</v>
      </c>
      <c r="AF1370" s="3">
        <v>0</v>
      </c>
      <c r="AG1370" s="3">
        <v>0</v>
      </c>
      <c r="AH1370" s="3">
        <v>0</v>
      </c>
      <c r="AI1370" s="3">
        <v>0</v>
      </c>
      <c r="AJ1370" s="3">
        <v>1</v>
      </c>
      <c r="AK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  <c r="AV1370" s="3">
        <v>0</v>
      </c>
      <c r="AW1370" s="3">
        <v>0</v>
      </c>
      <c r="AX1370" s="3">
        <v>0</v>
      </c>
      <c r="AY1370" s="3">
        <v>0</v>
      </c>
      <c r="AZ1370" s="3">
        <v>0</v>
      </c>
      <c r="BA1370" s="3">
        <v>0</v>
      </c>
      <c r="BB1370" s="3">
        <v>0</v>
      </c>
      <c r="BC1370" s="3">
        <v>0</v>
      </c>
      <c r="BD1370" s="3">
        <v>0</v>
      </c>
      <c r="BE1370" s="3">
        <v>0</v>
      </c>
      <c r="BF1370" s="3">
        <v>0</v>
      </c>
      <c r="BG1370" s="3">
        <v>0</v>
      </c>
      <c r="BH1370" s="3">
        <v>0</v>
      </c>
      <c r="BI1370" s="3">
        <v>0</v>
      </c>
      <c r="BJ1370" s="3">
        <v>0</v>
      </c>
      <c r="BK1370" s="3">
        <v>0</v>
      </c>
      <c r="BL1370" s="3">
        <v>0</v>
      </c>
      <c r="BM1370" s="3">
        <v>0</v>
      </c>
      <c r="BN1370" s="3">
        <v>0</v>
      </c>
      <c r="BO1370" s="3">
        <v>0</v>
      </c>
      <c r="BP1370" s="3">
        <v>0</v>
      </c>
      <c r="BQ1370" s="3">
        <v>0</v>
      </c>
      <c r="BR1370" s="3">
        <v>0</v>
      </c>
      <c r="BS1370" s="3">
        <v>0</v>
      </c>
      <c r="BT1370" s="3">
        <v>1</v>
      </c>
      <c r="BU1370" s="3">
        <v>0</v>
      </c>
    </row>
    <row r="1371" spans="1:73" x14ac:dyDescent="0.25">
      <c r="A1371" s="2" t="s">
        <v>151</v>
      </c>
      <c r="B1371" s="4">
        <v>79</v>
      </c>
      <c r="C1371" s="4">
        <v>1</v>
      </c>
      <c r="D1371" s="4">
        <v>1</v>
      </c>
      <c r="E1371" s="4">
        <v>2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  <c r="AJ1371" s="3">
        <v>1</v>
      </c>
      <c r="AK1371" s="3">
        <v>0</v>
      </c>
      <c r="AL1371" s="3">
        <v>0</v>
      </c>
      <c r="AM1371" s="3">
        <v>0</v>
      </c>
      <c r="AN1371" s="3">
        <v>0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  <c r="AT1371" s="3">
        <v>0</v>
      </c>
      <c r="AU1371" s="3">
        <v>0</v>
      </c>
      <c r="AV1371" s="3">
        <v>0</v>
      </c>
      <c r="AW1371" s="3">
        <v>0</v>
      </c>
      <c r="AX1371" s="3">
        <v>0</v>
      </c>
      <c r="AY1371" s="3">
        <v>0</v>
      </c>
      <c r="AZ1371" s="3">
        <v>0</v>
      </c>
      <c r="BA1371" s="3">
        <v>0</v>
      </c>
      <c r="BB1371" s="3">
        <v>0</v>
      </c>
      <c r="BC1371" s="3">
        <v>0</v>
      </c>
      <c r="BD1371" s="3">
        <v>0</v>
      </c>
      <c r="BE1371" s="3">
        <v>0</v>
      </c>
      <c r="BF1371" s="3">
        <v>0</v>
      </c>
      <c r="BG1371" s="3">
        <v>0</v>
      </c>
      <c r="BH1371" s="3">
        <v>0</v>
      </c>
      <c r="BI1371" s="3">
        <v>0</v>
      </c>
      <c r="BJ1371" s="3">
        <v>0</v>
      </c>
      <c r="BK1371" s="3">
        <v>0</v>
      </c>
      <c r="BL1371" s="3">
        <v>0</v>
      </c>
      <c r="BM1371" s="3">
        <v>0</v>
      </c>
      <c r="BN1371" s="3">
        <v>0</v>
      </c>
      <c r="BO1371" s="3">
        <v>0</v>
      </c>
      <c r="BP1371" s="3">
        <v>0</v>
      </c>
      <c r="BQ1371" s="3">
        <v>0</v>
      </c>
      <c r="BR1371" s="3">
        <v>0</v>
      </c>
      <c r="BS1371" s="3">
        <v>0</v>
      </c>
      <c r="BT1371" s="3">
        <v>2</v>
      </c>
      <c r="BU1371" s="3">
        <v>0</v>
      </c>
    </row>
    <row r="1372" spans="1:73" x14ac:dyDescent="0.25">
      <c r="A1372" s="2" t="s">
        <v>151</v>
      </c>
      <c r="B1372" s="4">
        <v>79</v>
      </c>
      <c r="C1372" s="4">
        <v>1</v>
      </c>
      <c r="D1372" s="4">
        <v>1</v>
      </c>
      <c r="E1372" s="4">
        <v>3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1</v>
      </c>
      <c r="AA1372" s="3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1</v>
      </c>
      <c r="AK1372" s="3">
        <v>0</v>
      </c>
      <c r="AL1372" s="3">
        <v>0</v>
      </c>
      <c r="AM1372" s="3">
        <v>0</v>
      </c>
      <c r="AN1372" s="3">
        <v>0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  <c r="AT1372" s="3">
        <v>0</v>
      </c>
      <c r="AU1372" s="3">
        <v>0</v>
      </c>
      <c r="AV1372" s="3">
        <v>0</v>
      </c>
      <c r="AW1372" s="3">
        <v>0</v>
      </c>
      <c r="AX1372" s="3">
        <v>0</v>
      </c>
      <c r="AY1372" s="3">
        <v>0</v>
      </c>
      <c r="AZ1372" s="3">
        <v>0</v>
      </c>
      <c r="BA1372" s="3">
        <v>0</v>
      </c>
      <c r="BB1372" s="3">
        <v>0</v>
      </c>
      <c r="BC1372" s="3">
        <v>0</v>
      </c>
      <c r="BD1372" s="3">
        <v>0</v>
      </c>
      <c r="BE1372" s="3">
        <v>0</v>
      </c>
      <c r="BF1372" s="3">
        <v>0</v>
      </c>
      <c r="BG1372" s="3">
        <v>0</v>
      </c>
      <c r="BH1372" s="3">
        <v>0</v>
      </c>
      <c r="BI1372" s="3">
        <v>0</v>
      </c>
      <c r="BJ1372" s="3">
        <v>0</v>
      </c>
      <c r="BK1372" s="3">
        <v>0</v>
      </c>
      <c r="BL1372" s="3">
        <v>0</v>
      </c>
      <c r="BM1372" s="3">
        <v>0</v>
      </c>
      <c r="BN1372" s="3">
        <v>0</v>
      </c>
      <c r="BO1372" s="3">
        <v>0</v>
      </c>
      <c r="BP1372" s="3">
        <v>0</v>
      </c>
      <c r="BQ1372" s="3">
        <v>0</v>
      </c>
      <c r="BR1372" s="3">
        <v>0</v>
      </c>
      <c r="BS1372" s="3">
        <v>0</v>
      </c>
      <c r="BT1372" s="3">
        <v>0</v>
      </c>
      <c r="BU1372" s="3">
        <v>0</v>
      </c>
    </row>
    <row r="1373" spans="1:73" x14ac:dyDescent="0.25">
      <c r="A1373" s="2" t="s">
        <v>151</v>
      </c>
      <c r="B1373" s="4">
        <v>79</v>
      </c>
      <c r="C1373" s="4">
        <v>1</v>
      </c>
      <c r="D1373" s="4">
        <v>2</v>
      </c>
      <c r="E1373" s="4">
        <v>1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  <c r="AJ1373" s="3">
        <v>0</v>
      </c>
      <c r="AK1373" s="3">
        <v>0</v>
      </c>
      <c r="AL1373" s="3">
        <v>0</v>
      </c>
      <c r="AM1373" s="3">
        <v>0</v>
      </c>
      <c r="AN1373" s="3">
        <v>0</v>
      </c>
      <c r="AO1373" s="3">
        <v>0</v>
      </c>
      <c r="AP1373" s="3">
        <v>0</v>
      </c>
      <c r="AQ1373" s="3">
        <v>0</v>
      </c>
      <c r="AR1373" s="3">
        <v>0</v>
      </c>
      <c r="AS1373" s="3">
        <v>0</v>
      </c>
      <c r="AT1373" s="3">
        <v>0</v>
      </c>
      <c r="AU1373" s="3">
        <v>0</v>
      </c>
      <c r="AV1373" s="3">
        <v>0</v>
      </c>
      <c r="AW1373" s="3">
        <v>0</v>
      </c>
      <c r="AX1373" s="3">
        <v>0</v>
      </c>
      <c r="AY1373" s="3">
        <v>0</v>
      </c>
      <c r="AZ1373" s="3">
        <v>0</v>
      </c>
      <c r="BA1373" s="3">
        <v>0</v>
      </c>
      <c r="BB1373" s="3">
        <v>0</v>
      </c>
      <c r="BC1373" s="3">
        <v>0</v>
      </c>
      <c r="BD1373" s="3">
        <v>0</v>
      </c>
      <c r="BE1373" s="3">
        <v>0</v>
      </c>
      <c r="BF1373" s="3">
        <v>0</v>
      </c>
      <c r="BG1373" s="3">
        <v>0</v>
      </c>
      <c r="BH1373" s="3">
        <v>0</v>
      </c>
      <c r="BI1373" s="3">
        <v>0</v>
      </c>
      <c r="BJ1373" s="3">
        <v>0</v>
      </c>
      <c r="BK1373" s="3">
        <v>0</v>
      </c>
      <c r="BL1373" s="3">
        <v>0</v>
      </c>
      <c r="BM1373" s="3">
        <v>0</v>
      </c>
      <c r="BN1373" s="3">
        <v>0</v>
      </c>
      <c r="BO1373" s="3">
        <v>0</v>
      </c>
      <c r="BP1373" s="3">
        <v>0</v>
      </c>
      <c r="BQ1373" s="3">
        <v>0</v>
      </c>
      <c r="BR1373" s="3">
        <v>0</v>
      </c>
      <c r="BS1373" s="3">
        <v>0</v>
      </c>
      <c r="BT1373" s="3">
        <v>0</v>
      </c>
      <c r="BU1373" s="3">
        <v>0</v>
      </c>
    </row>
    <row r="1374" spans="1:73" x14ac:dyDescent="0.25">
      <c r="A1374" s="2" t="s">
        <v>151</v>
      </c>
      <c r="B1374" s="4">
        <v>79</v>
      </c>
      <c r="C1374" s="4">
        <v>1</v>
      </c>
      <c r="D1374" s="4">
        <v>2</v>
      </c>
      <c r="E1374" s="4">
        <v>2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0</v>
      </c>
      <c r="AW1374" s="3">
        <v>0</v>
      </c>
      <c r="AX1374" s="3">
        <v>0</v>
      </c>
      <c r="AY1374" s="3">
        <v>0</v>
      </c>
      <c r="AZ1374" s="3">
        <v>0</v>
      </c>
      <c r="BA1374" s="3">
        <v>0</v>
      </c>
      <c r="BB1374" s="3">
        <v>0</v>
      </c>
      <c r="BC1374" s="3">
        <v>0</v>
      </c>
      <c r="BD1374" s="3">
        <v>0</v>
      </c>
      <c r="BE1374" s="3">
        <v>0</v>
      </c>
      <c r="BF1374" s="3">
        <v>0</v>
      </c>
      <c r="BG1374" s="3">
        <v>0</v>
      </c>
      <c r="BH1374" s="3">
        <v>0</v>
      </c>
      <c r="BI1374" s="3">
        <v>0</v>
      </c>
      <c r="BJ1374" s="3">
        <v>0</v>
      </c>
      <c r="BK1374" s="3">
        <v>0</v>
      </c>
      <c r="BL1374" s="3">
        <v>0</v>
      </c>
      <c r="BM1374" s="3">
        <v>0</v>
      </c>
      <c r="BN1374" s="3">
        <v>0</v>
      </c>
      <c r="BO1374" s="3">
        <v>0</v>
      </c>
      <c r="BP1374" s="3">
        <v>0</v>
      </c>
      <c r="BQ1374" s="3">
        <v>0</v>
      </c>
      <c r="BR1374" s="3">
        <v>0</v>
      </c>
      <c r="BS1374" s="3">
        <v>0</v>
      </c>
      <c r="BT1374" s="3">
        <v>0</v>
      </c>
      <c r="BU1374" s="3">
        <v>0</v>
      </c>
    </row>
    <row r="1375" spans="1:73" x14ac:dyDescent="0.25">
      <c r="A1375" s="2" t="s">
        <v>151</v>
      </c>
      <c r="B1375" s="4">
        <v>79</v>
      </c>
      <c r="C1375" s="4">
        <v>1</v>
      </c>
      <c r="D1375" s="4">
        <v>2</v>
      </c>
      <c r="E1375" s="4">
        <v>3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0</v>
      </c>
      <c r="AX1375" s="3">
        <v>0</v>
      </c>
      <c r="AY1375" s="3">
        <v>0</v>
      </c>
      <c r="AZ1375" s="3">
        <v>0</v>
      </c>
      <c r="BA1375" s="3">
        <v>0</v>
      </c>
      <c r="BB1375" s="3">
        <v>0</v>
      </c>
      <c r="BC1375" s="3">
        <v>0</v>
      </c>
      <c r="BD1375" s="3">
        <v>0</v>
      </c>
      <c r="BE1375" s="3">
        <v>0</v>
      </c>
      <c r="BF1375" s="3">
        <v>0</v>
      </c>
      <c r="BG1375" s="3">
        <v>0</v>
      </c>
      <c r="BH1375" s="3">
        <v>0</v>
      </c>
      <c r="BI1375" s="3">
        <v>0</v>
      </c>
      <c r="BJ1375" s="3">
        <v>0</v>
      </c>
      <c r="BK1375" s="3">
        <v>0</v>
      </c>
      <c r="BL1375" s="3">
        <v>1</v>
      </c>
      <c r="BM1375" s="3">
        <v>0</v>
      </c>
      <c r="BN1375" s="3">
        <v>0</v>
      </c>
      <c r="BO1375" s="3">
        <v>0</v>
      </c>
      <c r="BP1375" s="3">
        <v>0</v>
      </c>
      <c r="BQ1375" s="3">
        <v>0</v>
      </c>
      <c r="BR1375" s="3">
        <v>0</v>
      </c>
      <c r="BS1375" s="3">
        <v>0</v>
      </c>
      <c r="BT1375" s="3">
        <v>0</v>
      </c>
      <c r="BU1375" s="3">
        <v>0</v>
      </c>
    </row>
    <row r="1376" spans="1:73" x14ac:dyDescent="0.25">
      <c r="A1376" s="2" t="s">
        <v>151</v>
      </c>
      <c r="B1376" s="4">
        <v>79</v>
      </c>
      <c r="C1376" s="4">
        <v>1</v>
      </c>
      <c r="D1376" s="4">
        <v>3</v>
      </c>
      <c r="E1376" s="4">
        <v>1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1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1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3">
        <v>0</v>
      </c>
      <c r="AQ1376" s="3">
        <v>0</v>
      </c>
      <c r="AR1376" s="3">
        <v>0</v>
      </c>
      <c r="AS1376" s="3">
        <v>0</v>
      </c>
      <c r="AT1376" s="3">
        <v>0</v>
      </c>
      <c r="AU1376" s="3">
        <v>0</v>
      </c>
      <c r="AV1376" s="3">
        <v>0</v>
      </c>
      <c r="AW1376" s="3">
        <v>0</v>
      </c>
      <c r="AX1376" s="3">
        <v>0</v>
      </c>
      <c r="AY1376" s="3">
        <v>0</v>
      </c>
      <c r="AZ1376" s="3">
        <v>0</v>
      </c>
      <c r="BA1376" s="3">
        <v>1</v>
      </c>
      <c r="BB1376" s="3">
        <v>0</v>
      </c>
      <c r="BC1376" s="3">
        <v>0</v>
      </c>
      <c r="BD1376" s="3">
        <v>0</v>
      </c>
      <c r="BE1376" s="3">
        <v>0</v>
      </c>
      <c r="BF1376" s="3">
        <v>0</v>
      </c>
      <c r="BG1376" s="3">
        <v>0</v>
      </c>
      <c r="BH1376" s="3">
        <v>0</v>
      </c>
      <c r="BI1376" s="3">
        <v>0</v>
      </c>
      <c r="BJ1376" s="3">
        <v>0</v>
      </c>
      <c r="BK1376" s="3">
        <v>0</v>
      </c>
      <c r="BL1376" s="3">
        <v>0</v>
      </c>
      <c r="BM1376" s="3">
        <v>0</v>
      </c>
      <c r="BN1376" s="3">
        <v>0</v>
      </c>
      <c r="BO1376" s="3">
        <v>0</v>
      </c>
      <c r="BP1376" s="3">
        <v>0</v>
      </c>
      <c r="BQ1376" s="3">
        <v>0</v>
      </c>
      <c r="BR1376" s="3">
        <v>0</v>
      </c>
      <c r="BS1376" s="3">
        <v>0</v>
      </c>
      <c r="BT1376" s="3">
        <v>0</v>
      </c>
      <c r="BU1376" s="3">
        <v>0</v>
      </c>
    </row>
    <row r="1377" spans="1:73" x14ac:dyDescent="0.25">
      <c r="A1377" s="2" t="s">
        <v>151</v>
      </c>
      <c r="B1377" s="4">
        <v>79</v>
      </c>
      <c r="C1377" s="4">
        <v>1</v>
      </c>
      <c r="D1377" s="4">
        <v>3</v>
      </c>
      <c r="E1377" s="4">
        <v>2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2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  <c r="AJ1377" s="3">
        <v>0</v>
      </c>
      <c r="AK1377" s="3">
        <v>0</v>
      </c>
      <c r="AL1377" s="3">
        <v>0</v>
      </c>
      <c r="AM1377" s="3">
        <v>0</v>
      </c>
      <c r="AN1377" s="3">
        <v>0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3">
        <v>0</v>
      </c>
      <c r="AV1377" s="3">
        <v>0</v>
      </c>
      <c r="AW1377" s="3">
        <v>0</v>
      </c>
      <c r="AX1377" s="3">
        <v>0</v>
      </c>
      <c r="AY1377" s="3">
        <v>0</v>
      </c>
      <c r="AZ1377" s="3">
        <v>0</v>
      </c>
      <c r="BA1377" s="3">
        <v>0</v>
      </c>
      <c r="BB1377" s="3">
        <v>0</v>
      </c>
      <c r="BC1377" s="3">
        <v>0</v>
      </c>
      <c r="BD1377" s="3">
        <v>0</v>
      </c>
      <c r="BE1377" s="3">
        <v>0</v>
      </c>
      <c r="BF1377" s="3">
        <v>0</v>
      </c>
      <c r="BG1377" s="3">
        <v>0</v>
      </c>
      <c r="BH1377" s="3">
        <v>0</v>
      </c>
      <c r="BI1377" s="3">
        <v>0</v>
      </c>
      <c r="BJ1377" s="3">
        <v>0</v>
      </c>
      <c r="BK1377" s="3">
        <v>1</v>
      </c>
      <c r="BL1377" s="3">
        <v>0</v>
      </c>
      <c r="BM1377" s="3">
        <v>0</v>
      </c>
      <c r="BN1377" s="3">
        <v>0</v>
      </c>
      <c r="BO1377" s="3">
        <v>0</v>
      </c>
      <c r="BP1377" s="3">
        <v>0</v>
      </c>
      <c r="BQ1377" s="3">
        <v>0</v>
      </c>
      <c r="BR1377" s="3">
        <v>0</v>
      </c>
      <c r="BS1377" s="3">
        <v>0</v>
      </c>
      <c r="BT1377" s="3">
        <v>0</v>
      </c>
      <c r="BU1377" s="3">
        <v>0</v>
      </c>
    </row>
    <row r="1378" spans="1:73" x14ac:dyDescent="0.25">
      <c r="A1378" s="2" t="s">
        <v>151</v>
      </c>
      <c r="B1378" s="4">
        <v>79</v>
      </c>
      <c r="C1378" s="4">
        <v>1</v>
      </c>
      <c r="D1378" s="4">
        <v>3</v>
      </c>
      <c r="E1378" s="4">
        <v>3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3">
        <v>0</v>
      </c>
      <c r="AQ1378" s="3">
        <v>0</v>
      </c>
      <c r="AR1378" s="3">
        <v>0</v>
      </c>
      <c r="AS1378" s="3">
        <v>0</v>
      </c>
      <c r="AT1378" s="3">
        <v>0</v>
      </c>
      <c r="AU1378" s="3">
        <v>0</v>
      </c>
      <c r="AV1378" s="3">
        <v>0</v>
      </c>
      <c r="AW1378" s="3">
        <v>0</v>
      </c>
      <c r="AX1378" s="3">
        <v>0</v>
      </c>
      <c r="AY1378" s="3">
        <v>0</v>
      </c>
      <c r="AZ1378" s="3">
        <v>0</v>
      </c>
      <c r="BA1378" s="3">
        <v>0</v>
      </c>
      <c r="BB1378" s="3">
        <v>0</v>
      </c>
      <c r="BC1378" s="3">
        <v>0</v>
      </c>
      <c r="BD1378" s="3">
        <v>0</v>
      </c>
      <c r="BE1378" s="3">
        <v>0</v>
      </c>
      <c r="BF1378" s="3">
        <v>0</v>
      </c>
      <c r="BG1378" s="3">
        <v>0</v>
      </c>
      <c r="BH1378" s="3">
        <v>0</v>
      </c>
      <c r="BI1378" s="3">
        <v>0</v>
      </c>
      <c r="BJ1378" s="3">
        <v>0</v>
      </c>
      <c r="BK1378" s="3">
        <v>0</v>
      </c>
      <c r="BL1378" s="3">
        <v>0</v>
      </c>
      <c r="BM1378" s="3">
        <v>0</v>
      </c>
      <c r="BN1378" s="3">
        <v>0</v>
      </c>
      <c r="BO1378" s="3">
        <v>0</v>
      </c>
      <c r="BP1378" s="3">
        <v>0</v>
      </c>
      <c r="BQ1378" s="3">
        <v>0</v>
      </c>
      <c r="BR1378" s="3">
        <v>0</v>
      </c>
      <c r="BS1378" s="3">
        <v>0</v>
      </c>
      <c r="BT1378" s="3">
        <v>0</v>
      </c>
      <c r="BU1378" s="3">
        <v>0</v>
      </c>
    </row>
    <row r="1379" spans="1:73" x14ac:dyDescent="0.25">
      <c r="A1379" s="2" t="s">
        <v>151</v>
      </c>
      <c r="B1379" s="4">
        <v>79</v>
      </c>
      <c r="C1379" s="4">
        <v>2</v>
      </c>
      <c r="D1379" s="4">
        <v>1</v>
      </c>
      <c r="E1379" s="4">
        <v>1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1</v>
      </c>
      <c r="W1379" s="3">
        <v>0</v>
      </c>
      <c r="X1379" s="3">
        <v>0</v>
      </c>
      <c r="Y1379" s="3">
        <v>0</v>
      </c>
      <c r="Z1379" s="3">
        <v>1</v>
      </c>
      <c r="AA1379" s="3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  <c r="AJ1379" s="3">
        <v>3</v>
      </c>
      <c r="AK1379" s="3">
        <v>0</v>
      </c>
      <c r="AL1379" s="3">
        <v>0</v>
      </c>
      <c r="AM1379" s="3">
        <v>0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3">
        <v>0</v>
      </c>
      <c r="AV1379" s="3">
        <v>0</v>
      </c>
      <c r="AW1379" s="3">
        <v>0</v>
      </c>
      <c r="AX1379" s="3">
        <v>0</v>
      </c>
      <c r="AY1379" s="3">
        <v>0</v>
      </c>
      <c r="AZ1379" s="3">
        <v>0</v>
      </c>
      <c r="BA1379" s="3">
        <v>0</v>
      </c>
      <c r="BB1379" s="3">
        <v>0</v>
      </c>
      <c r="BC1379" s="3">
        <v>0</v>
      </c>
      <c r="BD1379" s="3">
        <v>0</v>
      </c>
      <c r="BE1379" s="3">
        <v>0</v>
      </c>
      <c r="BF1379" s="3">
        <v>0</v>
      </c>
      <c r="BG1379" s="3">
        <v>0</v>
      </c>
      <c r="BH1379" s="3">
        <v>0</v>
      </c>
      <c r="BI1379" s="3">
        <v>0</v>
      </c>
      <c r="BJ1379" s="3">
        <v>0</v>
      </c>
      <c r="BK1379" s="3">
        <v>0</v>
      </c>
      <c r="BL1379" s="3">
        <v>0</v>
      </c>
      <c r="BM1379" s="3">
        <v>0</v>
      </c>
      <c r="BN1379" s="3">
        <v>0</v>
      </c>
      <c r="BO1379" s="3">
        <v>0</v>
      </c>
      <c r="BP1379" s="3">
        <v>0</v>
      </c>
      <c r="BQ1379" s="3">
        <v>0</v>
      </c>
      <c r="BR1379" s="3">
        <v>0</v>
      </c>
      <c r="BS1379" s="3">
        <v>0</v>
      </c>
      <c r="BT1379" s="3">
        <v>0</v>
      </c>
      <c r="BU1379" s="3">
        <v>0</v>
      </c>
    </row>
    <row r="1380" spans="1:73" x14ac:dyDescent="0.25">
      <c r="A1380" s="2" t="s">
        <v>151</v>
      </c>
      <c r="B1380" s="4">
        <v>79</v>
      </c>
      <c r="C1380" s="4">
        <v>2</v>
      </c>
      <c r="D1380" s="4">
        <v>1</v>
      </c>
      <c r="E1380" s="4">
        <v>2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  <c r="AV1380" s="3">
        <v>0</v>
      </c>
      <c r="AW1380" s="3">
        <v>0</v>
      </c>
      <c r="AX1380" s="3">
        <v>0</v>
      </c>
      <c r="AY1380" s="3">
        <v>0</v>
      </c>
      <c r="AZ1380" s="3">
        <v>0</v>
      </c>
      <c r="BA1380" s="3">
        <v>0</v>
      </c>
      <c r="BB1380" s="3">
        <v>0</v>
      </c>
      <c r="BC1380" s="3">
        <v>0</v>
      </c>
      <c r="BD1380" s="3">
        <v>0</v>
      </c>
      <c r="BE1380" s="3">
        <v>0</v>
      </c>
      <c r="BF1380" s="3">
        <v>0</v>
      </c>
      <c r="BG1380" s="3">
        <v>0</v>
      </c>
      <c r="BH1380" s="3">
        <v>0</v>
      </c>
      <c r="BI1380" s="3">
        <v>0</v>
      </c>
      <c r="BJ1380" s="3">
        <v>0</v>
      </c>
      <c r="BK1380" s="3">
        <v>0</v>
      </c>
      <c r="BL1380" s="3">
        <v>0</v>
      </c>
      <c r="BM1380" s="3">
        <v>0</v>
      </c>
      <c r="BN1380" s="3">
        <v>0</v>
      </c>
      <c r="BO1380" s="3">
        <v>0</v>
      </c>
      <c r="BP1380" s="3">
        <v>0</v>
      </c>
      <c r="BQ1380" s="3">
        <v>0</v>
      </c>
      <c r="BR1380" s="3">
        <v>0</v>
      </c>
      <c r="BS1380" s="3">
        <v>0</v>
      </c>
      <c r="BT1380" s="3">
        <v>0</v>
      </c>
      <c r="BU1380" s="3">
        <v>0</v>
      </c>
    </row>
    <row r="1381" spans="1:73" x14ac:dyDescent="0.25">
      <c r="A1381" s="2" t="s">
        <v>151</v>
      </c>
      <c r="B1381" s="4">
        <v>79</v>
      </c>
      <c r="C1381" s="4">
        <v>2</v>
      </c>
      <c r="D1381" s="4">
        <v>1</v>
      </c>
      <c r="E1381" s="4">
        <v>3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3">
        <v>0</v>
      </c>
      <c r="AL1381" s="3">
        <v>0</v>
      </c>
      <c r="AM1381" s="3">
        <v>0</v>
      </c>
      <c r="AN1381" s="3">
        <v>0</v>
      </c>
      <c r="AO1381" s="3">
        <v>0</v>
      </c>
      <c r="AP1381" s="3">
        <v>0</v>
      </c>
      <c r="AQ1381" s="3">
        <v>0</v>
      </c>
      <c r="AR1381" s="3">
        <v>0</v>
      </c>
      <c r="AS1381" s="3">
        <v>0</v>
      </c>
      <c r="AT1381" s="3">
        <v>0</v>
      </c>
      <c r="AU1381" s="3">
        <v>0</v>
      </c>
      <c r="AV1381" s="3">
        <v>0</v>
      </c>
      <c r="AW1381" s="3">
        <v>0</v>
      </c>
      <c r="AX1381" s="3">
        <v>0</v>
      </c>
      <c r="AY1381" s="3">
        <v>0</v>
      </c>
      <c r="AZ1381" s="3">
        <v>0</v>
      </c>
      <c r="BA1381" s="3">
        <v>0</v>
      </c>
      <c r="BB1381" s="3">
        <v>0</v>
      </c>
      <c r="BC1381" s="3">
        <v>0</v>
      </c>
      <c r="BD1381" s="3">
        <v>0</v>
      </c>
      <c r="BE1381" s="3">
        <v>0</v>
      </c>
      <c r="BF1381" s="3">
        <v>0</v>
      </c>
      <c r="BG1381" s="3">
        <v>0</v>
      </c>
      <c r="BH1381" s="3">
        <v>0</v>
      </c>
      <c r="BI1381" s="3">
        <v>0</v>
      </c>
      <c r="BJ1381" s="3">
        <v>0</v>
      </c>
      <c r="BK1381" s="3">
        <v>0</v>
      </c>
      <c r="BL1381" s="3">
        <v>0</v>
      </c>
      <c r="BM1381" s="3">
        <v>0</v>
      </c>
      <c r="BN1381" s="3">
        <v>0</v>
      </c>
      <c r="BO1381" s="3">
        <v>0</v>
      </c>
      <c r="BP1381" s="3">
        <v>0</v>
      </c>
      <c r="BQ1381" s="3">
        <v>0</v>
      </c>
      <c r="BR1381" s="3">
        <v>0</v>
      </c>
      <c r="BS1381" s="3">
        <v>0</v>
      </c>
      <c r="BT1381" s="3">
        <v>0</v>
      </c>
      <c r="BU1381" s="3">
        <v>0</v>
      </c>
    </row>
    <row r="1382" spans="1:73" x14ac:dyDescent="0.25">
      <c r="A1382" s="2" t="s">
        <v>151</v>
      </c>
      <c r="B1382" s="4">
        <v>79</v>
      </c>
      <c r="C1382" s="4">
        <v>2</v>
      </c>
      <c r="D1382" s="4">
        <v>2</v>
      </c>
      <c r="E1382" s="4">
        <v>1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  <c r="AJ1382" s="3">
        <v>1</v>
      </c>
      <c r="AK1382" s="3">
        <v>0</v>
      </c>
      <c r="AL1382" s="3">
        <v>0</v>
      </c>
      <c r="AM1382" s="3">
        <v>0</v>
      </c>
      <c r="AN1382" s="3">
        <v>0</v>
      </c>
      <c r="AO1382" s="3">
        <v>0</v>
      </c>
      <c r="AP1382" s="3">
        <v>0</v>
      </c>
      <c r="AQ1382" s="3">
        <v>0</v>
      </c>
      <c r="AR1382" s="3">
        <v>0</v>
      </c>
      <c r="AS1382" s="3">
        <v>0</v>
      </c>
      <c r="AT1382" s="3">
        <v>0</v>
      </c>
      <c r="AU1382" s="3">
        <v>0</v>
      </c>
      <c r="AV1382" s="3">
        <v>0</v>
      </c>
      <c r="AW1382" s="3">
        <v>0</v>
      </c>
      <c r="AX1382" s="3">
        <v>0</v>
      </c>
      <c r="AY1382" s="3">
        <v>0</v>
      </c>
      <c r="AZ1382" s="3">
        <v>0</v>
      </c>
      <c r="BA1382" s="3">
        <v>0</v>
      </c>
      <c r="BB1382" s="3">
        <v>0</v>
      </c>
      <c r="BC1382" s="3">
        <v>0</v>
      </c>
      <c r="BD1382" s="3">
        <v>0</v>
      </c>
      <c r="BE1382" s="3">
        <v>0</v>
      </c>
      <c r="BF1382" s="3">
        <v>0</v>
      </c>
      <c r="BG1382" s="3">
        <v>0</v>
      </c>
      <c r="BH1382" s="3">
        <v>0</v>
      </c>
      <c r="BI1382" s="3">
        <v>0</v>
      </c>
      <c r="BJ1382" s="3">
        <v>0</v>
      </c>
      <c r="BK1382" s="3">
        <v>0</v>
      </c>
      <c r="BL1382" s="3">
        <v>0</v>
      </c>
      <c r="BM1382" s="3">
        <v>0</v>
      </c>
      <c r="BN1382" s="3">
        <v>0</v>
      </c>
      <c r="BO1382" s="3">
        <v>0</v>
      </c>
      <c r="BP1382" s="3">
        <v>0</v>
      </c>
      <c r="BQ1382" s="3">
        <v>0</v>
      </c>
      <c r="BR1382" s="3">
        <v>0</v>
      </c>
      <c r="BS1382" s="3">
        <v>0</v>
      </c>
      <c r="BT1382" s="3">
        <v>0</v>
      </c>
      <c r="BU1382" s="3">
        <v>0</v>
      </c>
    </row>
    <row r="1383" spans="1:73" x14ac:dyDescent="0.25">
      <c r="A1383" s="2" t="s">
        <v>151</v>
      </c>
      <c r="B1383" s="4">
        <v>79</v>
      </c>
      <c r="C1383" s="4">
        <v>2</v>
      </c>
      <c r="D1383" s="4">
        <v>2</v>
      </c>
      <c r="E1383" s="4">
        <v>2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0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  <c r="AP1383" s="3">
        <v>0</v>
      </c>
      <c r="AQ1383" s="3">
        <v>0</v>
      </c>
      <c r="AR1383" s="3">
        <v>0</v>
      </c>
      <c r="AS1383" s="3">
        <v>0</v>
      </c>
      <c r="AT1383" s="3">
        <v>0</v>
      </c>
      <c r="AU1383" s="3">
        <v>0</v>
      </c>
      <c r="AV1383" s="3">
        <v>0</v>
      </c>
      <c r="AW1383" s="3">
        <v>0</v>
      </c>
      <c r="AX1383" s="3">
        <v>0</v>
      </c>
      <c r="AY1383" s="3">
        <v>0</v>
      </c>
      <c r="AZ1383" s="3">
        <v>0</v>
      </c>
      <c r="BA1383" s="3">
        <v>0</v>
      </c>
      <c r="BB1383" s="3">
        <v>0</v>
      </c>
      <c r="BC1383" s="3">
        <v>0</v>
      </c>
      <c r="BD1383" s="3">
        <v>0</v>
      </c>
      <c r="BE1383" s="3">
        <v>0</v>
      </c>
      <c r="BF1383" s="3">
        <v>0</v>
      </c>
      <c r="BG1383" s="3">
        <v>0</v>
      </c>
      <c r="BH1383" s="3">
        <v>0</v>
      </c>
      <c r="BI1383" s="3">
        <v>0</v>
      </c>
      <c r="BJ1383" s="3">
        <v>0</v>
      </c>
      <c r="BK1383" s="3">
        <v>0</v>
      </c>
      <c r="BL1383" s="3">
        <v>0</v>
      </c>
      <c r="BM1383" s="3">
        <v>0</v>
      </c>
      <c r="BN1383" s="3">
        <v>0</v>
      </c>
      <c r="BO1383" s="3">
        <v>0</v>
      </c>
      <c r="BP1383" s="3">
        <v>0</v>
      </c>
      <c r="BQ1383" s="3">
        <v>0</v>
      </c>
      <c r="BR1383" s="3">
        <v>0</v>
      </c>
      <c r="BS1383" s="3">
        <v>0</v>
      </c>
      <c r="BT1383" s="3">
        <v>0</v>
      </c>
      <c r="BU1383" s="3">
        <v>0</v>
      </c>
    </row>
    <row r="1384" spans="1:73" x14ac:dyDescent="0.25">
      <c r="A1384" s="2" t="s">
        <v>151</v>
      </c>
      <c r="B1384" s="4">
        <v>79</v>
      </c>
      <c r="C1384" s="4">
        <v>2</v>
      </c>
      <c r="D1384" s="4">
        <v>2</v>
      </c>
      <c r="E1384" s="4">
        <v>3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0</v>
      </c>
      <c r="AW1384" s="3">
        <v>0</v>
      </c>
      <c r="AX1384" s="3">
        <v>0</v>
      </c>
      <c r="AY1384" s="3">
        <v>0</v>
      </c>
      <c r="AZ1384" s="3">
        <v>0</v>
      </c>
      <c r="BA1384" s="3">
        <v>0</v>
      </c>
      <c r="BB1384" s="3">
        <v>0</v>
      </c>
      <c r="BC1384" s="3">
        <v>0</v>
      </c>
      <c r="BD1384" s="3">
        <v>0</v>
      </c>
      <c r="BE1384" s="3">
        <v>0</v>
      </c>
      <c r="BF1384" s="3">
        <v>0</v>
      </c>
      <c r="BG1384" s="3">
        <v>0</v>
      </c>
      <c r="BH1384" s="3">
        <v>0</v>
      </c>
      <c r="BI1384" s="3">
        <v>0</v>
      </c>
      <c r="BJ1384" s="3">
        <v>0</v>
      </c>
      <c r="BK1384" s="3">
        <v>0</v>
      </c>
      <c r="BL1384" s="3">
        <v>0</v>
      </c>
      <c r="BM1384" s="3">
        <v>0</v>
      </c>
      <c r="BN1384" s="3">
        <v>0</v>
      </c>
      <c r="BO1384" s="3">
        <v>0</v>
      </c>
      <c r="BP1384" s="3">
        <v>0</v>
      </c>
      <c r="BQ1384" s="3">
        <v>0</v>
      </c>
      <c r="BR1384" s="3">
        <v>0</v>
      </c>
      <c r="BS1384" s="3">
        <v>0</v>
      </c>
      <c r="BT1384" s="3">
        <v>0</v>
      </c>
      <c r="BU1384" s="3">
        <v>0</v>
      </c>
    </row>
    <row r="1385" spans="1:73" x14ac:dyDescent="0.25">
      <c r="A1385" s="2" t="s">
        <v>151</v>
      </c>
      <c r="B1385" s="4">
        <v>79</v>
      </c>
      <c r="C1385" s="4">
        <v>2</v>
      </c>
      <c r="D1385" s="4">
        <v>3</v>
      </c>
      <c r="E1385" s="4">
        <v>1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0</v>
      </c>
      <c r="AM1385" s="3">
        <v>0</v>
      </c>
      <c r="AN1385" s="3">
        <v>0</v>
      </c>
      <c r="AO1385" s="3">
        <v>0</v>
      </c>
      <c r="AP1385" s="3">
        <v>0</v>
      </c>
      <c r="AQ1385" s="3">
        <v>0</v>
      </c>
      <c r="AR1385" s="3">
        <v>0</v>
      </c>
      <c r="AS1385" s="3">
        <v>0</v>
      </c>
      <c r="AT1385" s="3">
        <v>0</v>
      </c>
      <c r="AU1385" s="3">
        <v>0</v>
      </c>
      <c r="AV1385" s="3">
        <v>0</v>
      </c>
      <c r="AW1385" s="3">
        <v>0</v>
      </c>
      <c r="AX1385" s="3">
        <v>0</v>
      </c>
      <c r="AY1385" s="3">
        <v>0</v>
      </c>
      <c r="AZ1385" s="3">
        <v>0</v>
      </c>
      <c r="BA1385" s="3">
        <v>0</v>
      </c>
      <c r="BB1385" s="3">
        <v>0</v>
      </c>
      <c r="BC1385" s="3">
        <v>0</v>
      </c>
      <c r="BD1385" s="3">
        <v>0</v>
      </c>
      <c r="BE1385" s="3">
        <v>0</v>
      </c>
      <c r="BF1385" s="3">
        <v>0</v>
      </c>
      <c r="BG1385" s="3">
        <v>0</v>
      </c>
      <c r="BH1385" s="3">
        <v>0</v>
      </c>
      <c r="BI1385" s="3">
        <v>0</v>
      </c>
      <c r="BJ1385" s="3">
        <v>0</v>
      </c>
      <c r="BK1385" s="3">
        <v>0</v>
      </c>
      <c r="BL1385" s="3">
        <v>0</v>
      </c>
      <c r="BM1385" s="3">
        <v>0</v>
      </c>
      <c r="BN1385" s="3">
        <v>0</v>
      </c>
      <c r="BO1385" s="3">
        <v>0</v>
      </c>
      <c r="BP1385" s="3">
        <v>0</v>
      </c>
      <c r="BQ1385" s="3">
        <v>0</v>
      </c>
      <c r="BR1385" s="3">
        <v>0</v>
      </c>
      <c r="BS1385" s="3">
        <v>0</v>
      </c>
      <c r="BT1385" s="3">
        <v>0</v>
      </c>
      <c r="BU1385" s="3">
        <v>0</v>
      </c>
    </row>
    <row r="1386" spans="1:73" x14ac:dyDescent="0.25">
      <c r="A1386" s="2" t="s">
        <v>151</v>
      </c>
      <c r="B1386" s="4">
        <v>79</v>
      </c>
      <c r="C1386" s="4">
        <v>2</v>
      </c>
      <c r="D1386" s="4">
        <v>3</v>
      </c>
      <c r="E1386" s="4">
        <v>2</v>
      </c>
      <c r="F1386" s="3">
        <v>0</v>
      </c>
      <c r="G1386" s="3">
        <v>1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  <c r="AM1386" s="3">
        <v>0</v>
      </c>
      <c r="AN1386" s="3">
        <v>0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  <c r="AT1386" s="3">
        <v>0</v>
      </c>
      <c r="AU1386" s="3">
        <v>1</v>
      </c>
      <c r="AV1386" s="3">
        <v>0</v>
      </c>
      <c r="AW1386" s="3">
        <v>0</v>
      </c>
      <c r="AX1386" s="3">
        <v>0</v>
      </c>
      <c r="AY1386" s="3">
        <v>0</v>
      </c>
      <c r="AZ1386" s="3">
        <v>0</v>
      </c>
      <c r="BA1386" s="3">
        <v>0</v>
      </c>
      <c r="BB1386" s="3">
        <v>0</v>
      </c>
      <c r="BC1386" s="3">
        <v>0</v>
      </c>
      <c r="BD1386" s="3">
        <v>0</v>
      </c>
      <c r="BE1386" s="3">
        <v>0</v>
      </c>
      <c r="BF1386" s="3">
        <v>0</v>
      </c>
      <c r="BG1386" s="3">
        <v>0</v>
      </c>
      <c r="BH1386" s="3">
        <v>0</v>
      </c>
      <c r="BI1386" s="3">
        <v>0</v>
      </c>
      <c r="BJ1386" s="3">
        <v>0</v>
      </c>
      <c r="BK1386" s="3">
        <v>0</v>
      </c>
      <c r="BL1386" s="3">
        <v>1</v>
      </c>
      <c r="BM1386" s="3">
        <v>0</v>
      </c>
      <c r="BN1386" s="3">
        <v>0</v>
      </c>
      <c r="BO1386" s="3">
        <v>0</v>
      </c>
      <c r="BP1386" s="3">
        <v>0</v>
      </c>
      <c r="BQ1386" s="3">
        <v>0</v>
      </c>
      <c r="BR1386" s="3">
        <v>0</v>
      </c>
      <c r="BS1386" s="3">
        <v>0</v>
      </c>
      <c r="BT1386" s="3">
        <v>0</v>
      </c>
      <c r="BU1386" s="3">
        <v>0</v>
      </c>
    </row>
    <row r="1387" spans="1:73" x14ac:dyDescent="0.25">
      <c r="A1387" s="2" t="s">
        <v>151</v>
      </c>
      <c r="B1387" s="4">
        <v>79</v>
      </c>
      <c r="C1387" s="4">
        <v>2</v>
      </c>
      <c r="D1387" s="4">
        <v>3</v>
      </c>
      <c r="E1387" s="4">
        <v>3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3">
        <v>0</v>
      </c>
      <c r="AQ1387" s="3">
        <v>0</v>
      </c>
      <c r="AR1387" s="3">
        <v>0</v>
      </c>
      <c r="AS1387" s="3">
        <v>0</v>
      </c>
      <c r="AT1387" s="3">
        <v>0</v>
      </c>
      <c r="AU1387" s="3">
        <v>0</v>
      </c>
      <c r="AV1387" s="3">
        <v>0</v>
      </c>
      <c r="AW1387" s="3">
        <v>0</v>
      </c>
      <c r="AX1387" s="3">
        <v>0</v>
      </c>
      <c r="AY1387" s="3">
        <v>0</v>
      </c>
      <c r="AZ1387" s="3">
        <v>0</v>
      </c>
      <c r="BA1387" s="3">
        <v>0</v>
      </c>
      <c r="BB1387" s="3">
        <v>0</v>
      </c>
      <c r="BC1387" s="3">
        <v>0</v>
      </c>
      <c r="BD1387" s="3">
        <v>0</v>
      </c>
      <c r="BE1387" s="3">
        <v>0</v>
      </c>
      <c r="BF1387" s="3">
        <v>0</v>
      </c>
      <c r="BG1387" s="3">
        <v>0</v>
      </c>
      <c r="BH1387" s="3">
        <v>0</v>
      </c>
      <c r="BI1387" s="3">
        <v>0</v>
      </c>
      <c r="BJ1387" s="3">
        <v>0</v>
      </c>
      <c r="BK1387" s="3">
        <v>0</v>
      </c>
      <c r="BL1387" s="3">
        <v>0</v>
      </c>
      <c r="BM1387" s="3">
        <v>0</v>
      </c>
      <c r="BN1387" s="3">
        <v>0</v>
      </c>
      <c r="BO1387" s="3">
        <v>0</v>
      </c>
      <c r="BP1387" s="3">
        <v>0</v>
      </c>
      <c r="BQ1387" s="3">
        <v>0</v>
      </c>
      <c r="BR1387" s="3">
        <v>0</v>
      </c>
      <c r="BS1387" s="3">
        <v>0</v>
      </c>
      <c r="BT1387" s="3">
        <v>0</v>
      </c>
      <c r="BU138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0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6384" width="9" style="1"/>
  </cols>
  <sheetData>
    <row r="1" spans="1:65" s="5" customFormat="1" x14ac:dyDescent="0.25">
      <c r="A1" s="5" t="s">
        <v>0</v>
      </c>
      <c r="B1" s="5" t="s">
        <v>1</v>
      </c>
      <c r="C1" s="5" t="s">
        <v>2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155</v>
      </c>
      <c r="U1" s="5" t="s">
        <v>23</v>
      </c>
      <c r="V1" s="5" t="s">
        <v>24</v>
      </c>
      <c r="W1" s="5" t="s">
        <v>156</v>
      </c>
      <c r="X1" s="5" t="s">
        <v>25</v>
      </c>
      <c r="Y1" s="5" t="s">
        <v>27</v>
      </c>
      <c r="Z1" s="5" t="s">
        <v>29</v>
      </c>
      <c r="AA1" s="5" t="s">
        <v>30</v>
      </c>
      <c r="AB1" s="5" t="s">
        <v>32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157</v>
      </c>
      <c r="AK1" s="5" t="s">
        <v>43</v>
      </c>
      <c r="AL1" s="5" t="s">
        <v>44</v>
      </c>
      <c r="AM1" s="5" t="s">
        <v>45</v>
      </c>
      <c r="AN1" s="5" t="s">
        <v>47</v>
      </c>
      <c r="AO1" s="5" t="s">
        <v>48</v>
      </c>
      <c r="AP1" s="5" t="s">
        <v>158</v>
      </c>
      <c r="AQ1" s="5" t="s">
        <v>49</v>
      </c>
      <c r="AR1" s="5" t="s">
        <v>50</v>
      </c>
      <c r="AS1" s="5" t="s">
        <v>159</v>
      </c>
      <c r="AT1" s="5" t="s">
        <v>52</v>
      </c>
      <c r="AU1" s="5" t="s">
        <v>53</v>
      </c>
      <c r="AV1" s="5" t="s">
        <v>54</v>
      </c>
      <c r="AW1" s="5" t="s">
        <v>55</v>
      </c>
      <c r="AX1" s="5" t="s">
        <v>57</v>
      </c>
      <c r="AY1" s="5" t="s">
        <v>58</v>
      </c>
      <c r="AZ1" s="5" t="s">
        <v>59</v>
      </c>
      <c r="BA1" s="5" t="s">
        <v>61</v>
      </c>
      <c r="BB1" s="5" t="s">
        <v>62</v>
      </c>
      <c r="BC1" s="5" t="s">
        <v>63</v>
      </c>
      <c r="BD1" s="5" t="s">
        <v>64</v>
      </c>
      <c r="BE1" s="5" t="s">
        <v>65</v>
      </c>
      <c r="BF1" s="5" t="s">
        <v>66</v>
      </c>
      <c r="BG1" s="5" t="s">
        <v>67</v>
      </c>
      <c r="BH1" s="5" t="s">
        <v>69</v>
      </c>
      <c r="BI1" s="5" t="s">
        <v>160</v>
      </c>
      <c r="BJ1" s="5" t="s">
        <v>71</v>
      </c>
      <c r="BK1" s="5" t="s">
        <v>72</v>
      </c>
      <c r="BL1" s="5" t="s">
        <v>73</v>
      </c>
      <c r="BM1" s="5" t="s">
        <v>74</v>
      </c>
    </row>
    <row r="2" spans="1:65" x14ac:dyDescent="0.25">
      <c r="A2" s="2" t="s">
        <v>75</v>
      </c>
      <c r="B2" s="4">
        <v>1</v>
      </c>
      <c r="C2" s="4">
        <v>1</v>
      </c>
      <c r="D2" s="4">
        <v>1</v>
      </c>
      <c r="E2" s="4">
        <v>1</v>
      </c>
      <c r="F2" s="4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1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2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1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4</v>
      </c>
      <c r="BM2" s="3">
        <v>0</v>
      </c>
    </row>
    <row r="3" spans="1:65" x14ac:dyDescent="0.25">
      <c r="A3" s="2" t="s">
        <v>75</v>
      </c>
      <c r="B3" s="4">
        <v>1</v>
      </c>
      <c r="C3" s="4">
        <v>1</v>
      </c>
      <c r="D3" s="4">
        <v>1</v>
      </c>
      <c r="E3" s="4">
        <v>2</v>
      </c>
      <c r="F3" s="4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1</v>
      </c>
      <c r="Z3" s="3">
        <v>0</v>
      </c>
      <c r="AA3" s="3">
        <v>0</v>
      </c>
      <c r="AB3" s="3">
        <v>1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1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1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5">
      <c r="A4" s="2" t="s">
        <v>75</v>
      </c>
      <c r="B4" s="4">
        <v>1</v>
      </c>
      <c r="C4" s="4">
        <v>1</v>
      </c>
      <c r="D4" s="4">
        <v>1</v>
      </c>
      <c r="E4" s="4">
        <v>3</v>
      </c>
      <c r="F4" s="4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5">
      <c r="A5" s="2" t="s">
        <v>75</v>
      </c>
      <c r="B5" s="4">
        <v>1</v>
      </c>
      <c r="C5" s="4">
        <v>1</v>
      </c>
      <c r="D5" s="4">
        <v>2</v>
      </c>
      <c r="E5" s="4">
        <v>1</v>
      </c>
      <c r="F5" s="4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1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5">
      <c r="A6" s="2" t="s">
        <v>75</v>
      </c>
      <c r="B6" s="4">
        <v>1</v>
      </c>
      <c r="C6" s="4">
        <v>1</v>
      </c>
      <c r="D6" s="4">
        <v>2</v>
      </c>
      <c r="E6" s="4">
        <v>2</v>
      </c>
      <c r="F6" s="4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1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5">
      <c r="A7" s="2" t="s">
        <v>75</v>
      </c>
      <c r="B7" s="4">
        <v>1</v>
      </c>
      <c r="C7" s="4">
        <v>1</v>
      </c>
      <c r="D7" s="4">
        <v>2</v>
      </c>
      <c r="E7" s="4">
        <v>3</v>
      </c>
      <c r="F7" s="4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5">
      <c r="A8" s="2" t="s">
        <v>75</v>
      </c>
      <c r="B8" s="4">
        <v>1</v>
      </c>
      <c r="C8" s="4">
        <v>1</v>
      </c>
      <c r="D8" s="4">
        <v>3</v>
      </c>
      <c r="E8" s="4">
        <v>1</v>
      </c>
      <c r="F8" s="4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1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5">
      <c r="A9" s="2" t="s">
        <v>75</v>
      </c>
      <c r="B9" s="4">
        <v>1</v>
      </c>
      <c r="C9" s="4">
        <v>1</v>
      </c>
      <c r="D9" s="4">
        <v>3</v>
      </c>
      <c r="E9" s="4">
        <v>2</v>
      </c>
      <c r="F9" s="4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1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5">
      <c r="A10" s="2" t="s">
        <v>75</v>
      </c>
      <c r="B10" s="4">
        <v>1</v>
      </c>
      <c r="C10" s="4">
        <v>1</v>
      </c>
      <c r="D10" s="4">
        <v>3</v>
      </c>
      <c r="E10" s="4">
        <v>3</v>
      </c>
      <c r="F10" s="4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5">
      <c r="A11" s="2" t="s">
        <v>75</v>
      </c>
      <c r="B11" s="4">
        <v>1</v>
      </c>
      <c r="C11" s="4">
        <v>2</v>
      </c>
      <c r="D11" s="4">
        <v>1</v>
      </c>
      <c r="E11" s="4">
        <v>1</v>
      </c>
      <c r="F11" s="6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1</v>
      </c>
      <c r="BA11" s="3">
        <v>0</v>
      </c>
      <c r="BB11" s="3">
        <v>1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5">
      <c r="A12" s="2" t="s">
        <v>75</v>
      </c>
      <c r="B12" s="4">
        <v>1</v>
      </c>
      <c r="C12" s="4">
        <v>2</v>
      </c>
      <c r="D12" s="4">
        <v>1</v>
      </c>
      <c r="E12" s="4">
        <v>2</v>
      </c>
      <c r="F12" s="6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</v>
      </c>
      <c r="Z12" s="3">
        <v>0</v>
      </c>
      <c r="AA12" s="3">
        <v>0</v>
      </c>
      <c r="AB12" s="3">
        <v>1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5">
      <c r="A13" s="2" t="s">
        <v>75</v>
      </c>
      <c r="B13" s="4">
        <v>1</v>
      </c>
      <c r="C13" s="4">
        <v>2</v>
      </c>
      <c r="D13" s="4">
        <v>1</v>
      </c>
      <c r="E13" s="4">
        <v>3</v>
      </c>
      <c r="F13" s="6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5">
      <c r="A14" s="2" t="s">
        <v>75</v>
      </c>
      <c r="B14" s="4">
        <v>1</v>
      </c>
      <c r="C14" s="4">
        <v>2</v>
      </c>
      <c r="D14" s="4">
        <v>2</v>
      </c>
      <c r="E14" s="4">
        <v>1</v>
      </c>
      <c r="F14" s="6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1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5">
      <c r="A15" s="2" t="s">
        <v>75</v>
      </c>
      <c r="B15" s="4">
        <v>1</v>
      </c>
      <c r="C15" s="4">
        <v>2</v>
      </c>
      <c r="D15" s="4">
        <v>2</v>
      </c>
      <c r="E15" s="4">
        <v>2</v>
      </c>
      <c r="F15" s="6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1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1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1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5">
      <c r="A16" s="2" t="s">
        <v>75</v>
      </c>
      <c r="B16" s="4">
        <v>1</v>
      </c>
      <c r="C16" s="4">
        <v>2</v>
      </c>
      <c r="D16" s="4">
        <v>2</v>
      </c>
      <c r="E16" s="4">
        <v>3</v>
      </c>
      <c r="F16" s="6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5">
      <c r="A17" s="2" t="s">
        <v>75</v>
      </c>
      <c r="B17" s="4">
        <v>1</v>
      </c>
      <c r="C17" s="4">
        <v>2</v>
      </c>
      <c r="D17" s="4">
        <v>3</v>
      </c>
      <c r="E17" s="4">
        <v>1</v>
      </c>
      <c r="F17" s="6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1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5">
      <c r="A18" s="2" t="s">
        <v>75</v>
      </c>
      <c r="B18" s="4">
        <v>1</v>
      </c>
      <c r="C18" s="4">
        <v>2</v>
      </c>
      <c r="D18" s="4">
        <v>3</v>
      </c>
      <c r="E18" s="4">
        <v>2</v>
      </c>
      <c r="F18" s="6">
        <v>0</v>
      </c>
      <c r="G18" s="3">
        <v>1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2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1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1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5">
      <c r="A19" s="2" t="s">
        <v>75</v>
      </c>
      <c r="B19" s="4">
        <v>1</v>
      </c>
      <c r="C19" s="4">
        <v>2</v>
      </c>
      <c r="D19" s="4">
        <v>3</v>
      </c>
      <c r="E19" s="4">
        <v>3</v>
      </c>
      <c r="F19" s="6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5">
      <c r="A20" s="2" t="s">
        <v>76</v>
      </c>
      <c r="B20" s="4">
        <v>2</v>
      </c>
      <c r="C20" s="4">
        <v>1</v>
      </c>
      <c r="D20" s="4">
        <v>1</v>
      </c>
      <c r="E20" s="4">
        <v>1</v>
      </c>
      <c r="F20" s="4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3</v>
      </c>
      <c r="BA20" s="3">
        <v>0</v>
      </c>
      <c r="BB20" s="3">
        <v>0</v>
      </c>
      <c r="BC20" s="3">
        <v>5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5">
      <c r="A21" s="2" t="s">
        <v>76</v>
      </c>
      <c r="B21" s="4">
        <v>2</v>
      </c>
      <c r="C21" s="4">
        <v>1</v>
      </c>
      <c r="D21" s="4">
        <v>1</v>
      </c>
      <c r="E21" s="4">
        <v>2</v>
      </c>
      <c r="F21" s="4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5">
      <c r="A22" s="2" t="s">
        <v>76</v>
      </c>
      <c r="B22" s="4">
        <v>2</v>
      </c>
      <c r="C22" s="4">
        <v>1</v>
      </c>
      <c r="D22" s="4">
        <v>1</v>
      </c>
      <c r="E22" s="4">
        <v>3</v>
      </c>
      <c r="F22" s="4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5">
      <c r="A23" s="2" t="s">
        <v>76</v>
      </c>
      <c r="B23" s="4">
        <v>2</v>
      </c>
      <c r="C23" s="4">
        <v>1</v>
      </c>
      <c r="D23" s="4">
        <v>2</v>
      </c>
      <c r="E23" s="4">
        <v>1</v>
      </c>
      <c r="F23" s="4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5">
      <c r="A24" s="2" t="s">
        <v>76</v>
      </c>
      <c r="B24" s="4">
        <v>2</v>
      </c>
      <c r="C24" s="4">
        <v>1</v>
      </c>
      <c r="D24" s="4">
        <v>2</v>
      </c>
      <c r="E24" s="4">
        <v>2</v>
      </c>
      <c r="F24" s="4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3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5">
      <c r="A25" s="2" t="s">
        <v>76</v>
      </c>
      <c r="B25" s="4">
        <v>2</v>
      </c>
      <c r="C25" s="4">
        <v>1</v>
      </c>
      <c r="D25" s="4">
        <v>2</v>
      </c>
      <c r="E25" s="4">
        <v>3</v>
      </c>
      <c r="F25" s="4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5">
      <c r="A26" s="2" t="s">
        <v>76</v>
      </c>
      <c r="B26" s="4">
        <v>2</v>
      </c>
      <c r="C26" s="4">
        <v>1</v>
      </c>
      <c r="D26" s="4">
        <v>3</v>
      </c>
      <c r="E26" s="4">
        <v>1</v>
      </c>
      <c r="F26" s="4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5">
      <c r="A27" s="2" t="s">
        <v>76</v>
      </c>
      <c r="B27" s="4">
        <v>2</v>
      </c>
      <c r="C27" s="4">
        <v>1</v>
      </c>
      <c r="D27" s="4">
        <v>3</v>
      </c>
      <c r="E27" s="4">
        <v>2</v>
      </c>
      <c r="F27" s="4">
        <v>0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1</v>
      </c>
      <c r="AA27" s="3">
        <v>0</v>
      </c>
      <c r="AB27" s="3">
        <v>0</v>
      </c>
      <c r="AC27" s="3">
        <v>2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5">
      <c r="A28" s="2" t="s">
        <v>76</v>
      </c>
      <c r="B28" s="4">
        <v>2</v>
      </c>
      <c r="C28" s="4">
        <v>1</v>
      </c>
      <c r="D28" s="4">
        <v>3</v>
      </c>
      <c r="E28" s="4">
        <v>3</v>
      </c>
      <c r="F28" s="4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5">
      <c r="A29" s="2" t="s">
        <v>76</v>
      </c>
      <c r="B29" s="4">
        <v>2</v>
      </c>
      <c r="C29" s="4">
        <v>2</v>
      </c>
      <c r="D29" s="4">
        <v>1</v>
      </c>
      <c r="E29" s="4">
        <v>1</v>
      </c>
      <c r="F29" s="6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1</v>
      </c>
      <c r="BA29" s="3">
        <v>0</v>
      </c>
      <c r="BB29" s="3">
        <v>0</v>
      </c>
      <c r="BC29" s="3">
        <v>1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5">
      <c r="A30" s="2" t="s">
        <v>76</v>
      </c>
      <c r="B30" s="4">
        <v>2</v>
      </c>
      <c r="C30" s="4">
        <v>2</v>
      </c>
      <c r="D30" s="4">
        <v>1</v>
      </c>
      <c r="E30" s="4">
        <v>2</v>
      </c>
      <c r="F30" s="6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1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2</v>
      </c>
      <c r="BA30" s="3">
        <v>0</v>
      </c>
      <c r="BB30" s="3">
        <v>1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5">
      <c r="A31" s="2" t="s">
        <v>76</v>
      </c>
      <c r="B31" s="4">
        <v>2</v>
      </c>
      <c r="C31" s="4">
        <v>2</v>
      </c>
      <c r="D31" s="4">
        <v>1</v>
      </c>
      <c r="E31" s="4">
        <v>3</v>
      </c>
      <c r="F31" s="6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5">
      <c r="A32" s="2" t="s">
        <v>76</v>
      </c>
      <c r="B32" s="4">
        <v>2</v>
      </c>
      <c r="C32" s="4">
        <v>2</v>
      </c>
      <c r="D32" s="4">
        <v>2</v>
      </c>
      <c r="E32" s="4">
        <v>1</v>
      </c>
      <c r="F32" s="6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5">
      <c r="A33" s="2" t="s">
        <v>76</v>
      </c>
      <c r="B33" s="4">
        <v>2</v>
      </c>
      <c r="C33" s="4">
        <v>2</v>
      </c>
      <c r="D33" s="4">
        <v>2</v>
      </c>
      <c r="E33" s="4">
        <v>2</v>
      </c>
      <c r="F33" s="6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5">
      <c r="A34" s="2" t="s">
        <v>76</v>
      </c>
      <c r="B34" s="4">
        <v>2</v>
      </c>
      <c r="C34" s="4">
        <v>2</v>
      </c>
      <c r="D34" s="4">
        <v>2</v>
      </c>
      <c r="E34" s="4">
        <v>3</v>
      </c>
      <c r="F34" s="6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1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5">
      <c r="A35" s="2" t="s">
        <v>76</v>
      </c>
      <c r="B35" s="4">
        <v>2</v>
      </c>
      <c r="C35" s="4">
        <v>2</v>
      </c>
      <c r="D35" s="4">
        <v>3</v>
      </c>
      <c r="E35" s="4">
        <v>1</v>
      </c>
      <c r="F35" s="6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1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5">
      <c r="A36" s="2" t="s">
        <v>76</v>
      </c>
      <c r="B36" s="4">
        <v>2</v>
      </c>
      <c r="C36" s="4">
        <v>2</v>
      </c>
      <c r="D36" s="4">
        <v>3</v>
      </c>
      <c r="E36" s="4">
        <v>2</v>
      </c>
      <c r="F36" s="6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5">
      <c r="A37" s="2" t="s">
        <v>76</v>
      </c>
      <c r="B37" s="4">
        <v>2</v>
      </c>
      <c r="C37" s="4">
        <v>2</v>
      </c>
      <c r="D37" s="4">
        <v>3</v>
      </c>
      <c r="E37" s="4">
        <v>3</v>
      </c>
      <c r="F37" s="6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5">
      <c r="A38" s="2" t="s">
        <v>77</v>
      </c>
      <c r="B38" s="4">
        <v>3</v>
      </c>
      <c r="C38" s="4">
        <v>1</v>
      </c>
      <c r="D38" s="4">
        <v>1</v>
      </c>
      <c r="E38" s="4">
        <v>1</v>
      </c>
      <c r="F38" s="4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4</v>
      </c>
      <c r="BA38" s="3">
        <v>1</v>
      </c>
      <c r="BB38" s="3">
        <v>1</v>
      </c>
      <c r="BC38" s="3">
        <v>0</v>
      </c>
      <c r="BD38" s="3">
        <v>0</v>
      </c>
      <c r="BE38" s="3">
        <v>0</v>
      </c>
      <c r="BF38" s="3">
        <v>1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5">
      <c r="A39" s="2" t="s">
        <v>77</v>
      </c>
      <c r="B39" s="4">
        <v>3</v>
      </c>
      <c r="C39" s="4">
        <v>1</v>
      </c>
      <c r="D39" s="4">
        <v>1</v>
      </c>
      <c r="E39" s="4">
        <v>2</v>
      </c>
      <c r="F39" s="4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5">
      <c r="A40" s="2" t="s">
        <v>77</v>
      </c>
      <c r="B40" s="4">
        <v>3</v>
      </c>
      <c r="C40" s="4">
        <v>1</v>
      </c>
      <c r="D40" s="4">
        <v>1</v>
      </c>
      <c r="E40" s="4">
        <v>3</v>
      </c>
      <c r="F40" s="4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1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1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1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5">
      <c r="A41" s="2" t="s">
        <v>77</v>
      </c>
      <c r="B41" s="4">
        <v>3</v>
      </c>
      <c r="C41" s="4">
        <v>1</v>
      </c>
      <c r="D41" s="4">
        <v>2</v>
      </c>
      <c r="E41" s="4">
        <v>1</v>
      </c>
      <c r="F41" s="4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1</v>
      </c>
      <c r="BA41" s="3">
        <v>0</v>
      </c>
      <c r="BB41" s="3">
        <v>0</v>
      </c>
      <c r="BC41" s="3">
        <v>1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5">
      <c r="A42" s="2" t="s">
        <v>77</v>
      </c>
      <c r="B42" s="4">
        <v>3</v>
      </c>
      <c r="C42" s="4">
        <v>1</v>
      </c>
      <c r="D42" s="4">
        <v>2</v>
      </c>
      <c r="E42" s="4">
        <v>2</v>
      </c>
      <c r="F42" s="4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5">
      <c r="A43" s="2" t="s">
        <v>77</v>
      </c>
      <c r="B43" s="4">
        <v>3</v>
      </c>
      <c r="C43" s="4">
        <v>1</v>
      </c>
      <c r="D43" s="4">
        <v>2</v>
      </c>
      <c r="E43" s="4">
        <v>3</v>
      </c>
      <c r="F43" s="4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5">
      <c r="A44" s="2" t="s">
        <v>77</v>
      </c>
      <c r="B44" s="4">
        <v>3</v>
      </c>
      <c r="C44" s="4">
        <v>1</v>
      </c>
      <c r="D44" s="4">
        <v>3</v>
      </c>
      <c r="E44" s="4">
        <v>1</v>
      </c>
      <c r="F44" s="4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5">
      <c r="A45" s="2" t="s">
        <v>77</v>
      </c>
      <c r="B45" s="4">
        <v>3</v>
      </c>
      <c r="C45" s="4">
        <v>1</v>
      </c>
      <c r="D45" s="4">
        <v>3</v>
      </c>
      <c r="E45" s="4">
        <v>2</v>
      </c>
      <c r="F45" s="4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5">
      <c r="A46" s="2" t="s">
        <v>77</v>
      </c>
      <c r="B46" s="4">
        <v>3</v>
      </c>
      <c r="C46" s="4">
        <v>1</v>
      </c>
      <c r="D46" s="4">
        <v>3</v>
      </c>
      <c r="E46" s="4">
        <v>3</v>
      </c>
      <c r="F46" s="4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5">
      <c r="A47" s="2" t="s">
        <v>77</v>
      </c>
      <c r="B47" s="4">
        <v>3</v>
      </c>
      <c r="C47" s="4">
        <v>2</v>
      </c>
      <c r="D47" s="4">
        <v>1</v>
      </c>
      <c r="E47" s="4">
        <v>1</v>
      </c>
      <c r="F47" s="6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3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1</v>
      </c>
      <c r="BA47" s="3">
        <v>0</v>
      </c>
      <c r="BB47" s="3">
        <v>1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5">
      <c r="A48" s="2" t="s">
        <v>77</v>
      </c>
      <c r="B48" s="4">
        <v>3</v>
      </c>
      <c r="C48" s="4">
        <v>2</v>
      </c>
      <c r="D48" s="4">
        <v>1</v>
      </c>
      <c r="E48" s="4">
        <v>2</v>
      </c>
      <c r="F48" s="6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1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1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1</v>
      </c>
      <c r="BA48" s="3">
        <v>0</v>
      </c>
      <c r="BB48" s="3">
        <v>1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5">
      <c r="A49" s="2" t="s">
        <v>77</v>
      </c>
      <c r="B49" s="4">
        <v>3</v>
      </c>
      <c r="C49" s="4">
        <v>2</v>
      </c>
      <c r="D49" s="4">
        <v>1</v>
      </c>
      <c r="E49" s="4">
        <v>3</v>
      </c>
      <c r="F49" s="6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5">
      <c r="A50" s="2" t="s">
        <v>77</v>
      </c>
      <c r="B50" s="4">
        <v>3</v>
      </c>
      <c r="C50" s="4">
        <v>2</v>
      </c>
      <c r="D50" s="4">
        <v>2</v>
      </c>
      <c r="E50" s="4">
        <v>1</v>
      </c>
      <c r="F50" s="6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5">
      <c r="A51" s="2" t="s">
        <v>77</v>
      </c>
      <c r="B51" s="4">
        <v>3</v>
      </c>
      <c r="C51" s="4">
        <v>2</v>
      </c>
      <c r="D51" s="4">
        <v>2</v>
      </c>
      <c r="E51" s="4">
        <v>2</v>
      </c>
      <c r="F51" s="6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1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5">
      <c r="A52" s="2" t="s">
        <v>77</v>
      </c>
      <c r="B52" s="4">
        <v>3</v>
      </c>
      <c r="C52" s="4">
        <v>2</v>
      </c>
      <c r="D52" s="4">
        <v>2</v>
      </c>
      <c r="E52" s="4">
        <v>3</v>
      </c>
      <c r="F52" s="6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5">
      <c r="A53" s="2" t="s">
        <v>77</v>
      </c>
      <c r="B53" s="4">
        <v>3</v>
      </c>
      <c r="C53" s="4">
        <v>2</v>
      </c>
      <c r="D53" s="4">
        <v>3</v>
      </c>
      <c r="E53" s="4">
        <v>1</v>
      </c>
      <c r="F53" s="6">
        <v>0</v>
      </c>
      <c r="G53" s="3">
        <v>0</v>
      </c>
      <c r="H53" s="3">
        <v>0</v>
      </c>
      <c r="I53" s="3">
        <v>1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1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1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5">
      <c r="A54" s="2" t="s">
        <v>77</v>
      </c>
      <c r="B54" s="4">
        <v>3</v>
      </c>
      <c r="C54" s="4">
        <v>2</v>
      </c>
      <c r="D54" s="4">
        <v>3</v>
      </c>
      <c r="E54" s="4">
        <v>2</v>
      </c>
      <c r="F54" s="6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1</v>
      </c>
      <c r="BM54" s="3">
        <v>0</v>
      </c>
    </row>
    <row r="55" spans="1:65" x14ac:dyDescent="0.25">
      <c r="A55" s="2" t="s">
        <v>77</v>
      </c>
      <c r="B55" s="4">
        <v>3</v>
      </c>
      <c r="C55" s="4">
        <v>2</v>
      </c>
      <c r="D55" s="4">
        <v>3</v>
      </c>
      <c r="E55" s="4">
        <v>3</v>
      </c>
      <c r="F55" s="6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5">
      <c r="A56" s="2" t="s">
        <v>78</v>
      </c>
      <c r="B56" s="4">
        <v>4</v>
      </c>
      <c r="C56" s="4">
        <v>1</v>
      </c>
      <c r="D56" s="4">
        <v>1</v>
      </c>
      <c r="E56" s="4">
        <v>1</v>
      </c>
      <c r="F56" s="4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1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2</v>
      </c>
      <c r="BA56" s="3">
        <v>0</v>
      </c>
      <c r="BB56" s="3">
        <v>1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1</v>
      </c>
      <c r="BM56" s="3">
        <v>1</v>
      </c>
    </row>
    <row r="57" spans="1:65" x14ac:dyDescent="0.25">
      <c r="A57" s="2" t="s">
        <v>78</v>
      </c>
      <c r="B57" s="4">
        <v>4</v>
      </c>
      <c r="C57" s="4">
        <v>1</v>
      </c>
      <c r="D57" s="4">
        <v>1</v>
      </c>
      <c r="E57" s="4">
        <v>2</v>
      </c>
      <c r="F57" s="4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5">
      <c r="A58" s="2" t="s">
        <v>78</v>
      </c>
      <c r="B58" s="4">
        <v>4</v>
      </c>
      <c r="C58" s="4">
        <v>1</v>
      </c>
      <c r="D58" s="4">
        <v>1</v>
      </c>
      <c r="E58" s="4">
        <v>3</v>
      </c>
      <c r="F58" s="4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</v>
      </c>
      <c r="Z58" s="3">
        <v>0</v>
      </c>
      <c r="AA58" s="3">
        <v>0</v>
      </c>
      <c r="AB58" s="3">
        <v>1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5">
      <c r="A59" s="2" t="s">
        <v>78</v>
      </c>
      <c r="B59" s="4">
        <v>4</v>
      </c>
      <c r="C59" s="4">
        <v>1</v>
      </c>
      <c r="D59" s="4">
        <v>2</v>
      </c>
      <c r="E59" s="4">
        <v>1</v>
      </c>
      <c r="F59" s="4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5">
      <c r="A60" s="2" t="s">
        <v>78</v>
      </c>
      <c r="B60" s="4">
        <v>4</v>
      </c>
      <c r="C60" s="4">
        <v>1</v>
      </c>
      <c r="D60" s="4">
        <v>2</v>
      </c>
      <c r="E60" s="4">
        <v>2</v>
      </c>
      <c r="F60" s="4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1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1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5">
      <c r="A61" s="2" t="s">
        <v>78</v>
      </c>
      <c r="B61" s="4">
        <v>4</v>
      </c>
      <c r="C61" s="4">
        <v>1</v>
      </c>
      <c r="D61" s="4">
        <v>2</v>
      </c>
      <c r="E61" s="4">
        <v>3</v>
      </c>
      <c r="F61" s="4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5">
      <c r="A62" s="2" t="s">
        <v>78</v>
      </c>
      <c r="B62" s="4">
        <v>4</v>
      </c>
      <c r="C62" s="4">
        <v>1</v>
      </c>
      <c r="D62" s="4">
        <v>3</v>
      </c>
      <c r="E62" s="4">
        <v>1</v>
      </c>
      <c r="F62" s="4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5">
      <c r="A63" s="2" t="s">
        <v>78</v>
      </c>
      <c r="B63" s="4">
        <v>4</v>
      </c>
      <c r="C63" s="4">
        <v>1</v>
      </c>
      <c r="D63" s="4">
        <v>3</v>
      </c>
      <c r="E63" s="4">
        <v>2</v>
      </c>
      <c r="F63" s="4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1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5">
      <c r="A64" s="2" t="s">
        <v>78</v>
      </c>
      <c r="B64" s="4">
        <v>4</v>
      </c>
      <c r="C64" s="4">
        <v>1</v>
      </c>
      <c r="D64" s="4">
        <v>3</v>
      </c>
      <c r="E64" s="4">
        <v>3</v>
      </c>
      <c r="F64" s="4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5">
      <c r="A65" s="2" t="s">
        <v>78</v>
      </c>
      <c r="B65" s="4">
        <v>4</v>
      </c>
      <c r="C65" s="4">
        <v>2</v>
      </c>
      <c r="D65" s="4">
        <v>1</v>
      </c>
      <c r="E65" s="4">
        <v>1</v>
      </c>
      <c r="F65" s="6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1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5">
      <c r="A66" s="2" t="s">
        <v>78</v>
      </c>
      <c r="B66" s="4">
        <v>4</v>
      </c>
      <c r="C66" s="4">
        <v>2</v>
      </c>
      <c r="D66" s="4">
        <v>1</v>
      </c>
      <c r="E66" s="4">
        <v>2</v>
      </c>
      <c r="F66" s="6">
        <v>0</v>
      </c>
      <c r="G66" s="3">
        <v>0</v>
      </c>
      <c r="H66" s="3">
        <v>0</v>
      </c>
      <c r="I66" s="3">
        <v>1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1</v>
      </c>
      <c r="AC66" s="3">
        <v>0</v>
      </c>
      <c r="AD66" s="3">
        <v>0</v>
      </c>
      <c r="AE66" s="3">
        <v>0</v>
      </c>
      <c r="AF66" s="3">
        <v>1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5">
      <c r="A67" s="2" t="s">
        <v>78</v>
      </c>
      <c r="B67" s="4">
        <v>4</v>
      </c>
      <c r="C67" s="4">
        <v>2</v>
      </c>
      <c r="D67" s="4">
        <v>1</v>
      </c>
      <c r="E67" s="4">
        <v>3</v>
      </c>
      <c r="F67" s="6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5">
      <c r="A68" s="2" t="s">
        <v>78</v>
      </c>
      <c r="B68" s="4">
        <v>4</v>
      </c>
      <c r="C68" s="4">
        <v>2</v>
      </c>
      <c r="D68" s="4">
        <v>2</v>
      </c>
      <c r="E68" s="4">
        <v>1</v>
      </c>
      <c r="F68" s="6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3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5">
      <c r="A69" s="2" t="s">
        <v>78</v>
      </c>
      <c r="B69" s="4">
        <v>4</v>
      </c>
      <c r="C69" s="4">
        <v>2</v>
      </c>
      <c r="D69" s="4">
        <v>2</v>
      </c>
      <c r="E69" s="4">
        <v>2</v>
      </c>
      <c r="F69" s="6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5">
      <c r="A70" s="2" t="s">
        <v>78</v>
      </c>
      <c r="B70" s="4">
        <v>4</v>
      </c>
      <c r="C70" s="4">
        <v>2</v>
      </c>
      <c r="D70" s="4">
        <v>2</v>
      </c>
      <c r="E70" s="4">
        <v>3</v>
      </c>
      <c r="F70" s="6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5">
      <c r="A71" s="2" t="s">
        <v>78</v>
      </c>
      <c r="B71" s="4">
        <v>4</v>
      </c>
      <c r="C71" s="4">
        <v>2</v>
      </c>
      <c r="D71" s="4">
        <v>3</v>
      </c>
      <c r="E71" s="4">
        <v>1</v>
      </c>
      <c r="F71" s="6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1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1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1</v>
      </c>
      <c r="BM71" s="3">
        <v>0</v>
      </c>
    </row>
    <row r="72" spans="1:65" x14ac:dyDescent="0.25">
      <c r="A72" s="2" t="s">
        <v>78</v>
      </c>
      <c r="B72" s="4">
        <v>4</v>
      </c>
      <c r="C72" s="4">
        <v>2</v>
      </c>
      <c r="D72" s="4">
        <v>3</v>
      </c>
      <c r="E72" s="4">
        <v>2</v>
      </c>
      <c r="F72" s="6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5">
      <c r="A73" s="2" t="s">
        <v>78</v>
      </c>
      <c r="B73" s="4">
        <v>4</v>
      </c>
      <c r="C73" s="4">
        <v>2</v>
      </c>
      <c r="D73" s="4">
        <v>3</v>
      </c>
      <c r="E73" s="4">
        <v>3</v>
      </c>
      <c r="F73" s="6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5">
      <c r="A74" s="2" t="s">
        <v>79</v>
      </c>
      <c r="B74" s="4">
        <v>5</v>
      </c>
      <c r="C74" s="4">
        <v>1</v>
      </c>
      <c r="D74" s="4">
        <v>1</v>
      </c>
      <c r="E74" s="4">
        <v>1</v>
      </c>
      <c r="F74" s="4">
        <v>0</v>
      </c>
      <c r="G74" s="3">
        <v>0</v>
      </c>
      <c r="H74" s="3">
        <v>0</v>
      </c>
      <c r="I74" s="3">
        <v>1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5">
      <c r="A75" s="2" t="s">
        <v>79</v>
      </c>
      <c r="B75" s="4">
        <v>5</v>
      </c>
      <c r="C75" s="4">
        <v>1</v>
      </c>
      <c r="D75" s="4">
        <v>1</v>
      </c>
      <c r="E75" s="4">
        <v>2</v>
      </c>
      <c r="F75" s="4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1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1</v>
      </c>
      <c r="BM75" s="3">
        <v>0</v>
      </c>
    </row>
    <row r="76" spans="1:65" x14ac:dyDescent="0.25">
      <c r="A76" s="2" t="s">
        <v>79</v>
      </c>
      <c r="B76" s="4">
        <v>5</v>
      </c>
      <c r="C76" s="4">
        <v>1</v>
      </c>
      <c r="D76" s="4">
        <v>1</v>
      </c>
      <c r="E76" s="4">
        <v>3</v>
      </c>
      <c r="F76" s="4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5">
      <c r="A77" s="2" t="s">
        <v>79</v>
      </c>
      <c r="B77" s="4">
        <v>5</v>
      </c>
      <c r="C77" s="4">
        <v>1</v>
      </c>
      <c r="D77" s="4">
        <v>2</v>
      </c>
      <c r="E77" s="4">
        <v>1</v>
      </c>
      <c r="F77" s="4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  <row r="78" spans="1:65" x14ac:dyDescent="0.25">
      <c r="A78" s="2" t="s">
        <v>79</v>
      </c>
      <c r="B78" s="4">
        <v>5</v>
      </c>
      <c r="C78" s="4">
        <v>1</v>
      </c>
      <c r="D78" s="4">
        <v>2</v>
      </c>
      <c r="E78" s="4">
        <v>2</v>
      </c>
      <c r="F78" s="4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1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</row>
    <row r="79" spans="1:65" x14ac:dyDescent="0.25">
      <c r="A79" s="2" t="s">
        <v>79</v>
      </c>
      <c r="B79" s="4">
        <v>5</v>
      </c>
      <c r="C79" s="4">
        <v>1</v>
      </c>
      <c r="D79" s="4">
        <v>2</v>
      </c>
      <c r="E79" s="4">
        <v>3</v>
      </c>
      <c r="F79" s="4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</row>
    <row r="80" spans="1:65" x14ac:dyDescent="0.25">
      <c r="A80" s="2" t="s">
        <v>79</v>
      </c>
      <c r="B80" s="4">
        <v>5</v>
      </c>
      <c r="C80" s="4">
        <v>1</v>
      </c>
      <c r="D80" s="4">
        <v>3</v>
      </c>
      <c r="E80" s="4">
        <v>1</v>
      </c>
      <c r="F80" s="4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</row>
    <row r="81" spans="1:65" x14ac:dyDescent="0.25">
      <c r="A81" s="2" t="s">
        <v>79</v>
      </c>
      <c r="B81" s="4">
        <v>5</v>
      </c>
      <c r="C81" s="4">
        <v>1</v>
      </c>
      <c r="D81" s="4">
        <v>3</v>
      </c>
      <c r="E81" s="4">
        <v>2</v>
      </c>
      <c r="F81" s="4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1</v>
      </c>
      <c r="AC81" s="3">
        <v>0</v>
      </c>
      <c r="AD81" s="3">
        <v>0</v>
      </c>
      <c r="AE81" s="3">
        <v>0</v>
      </c>
      <c r="AF81" s="3">
        <v>1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1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</row>
    <row r="82" spans="1:65" x14ac:dyDescent="0.25">
      <c r="A82" s="2" t="s">
        <v>79</v>
      </c>
      <c r="B82" s="4">
        <v>5</v>
      </c>
      <c r="C82" s="4">
        <v>1</v>
      </c>
      <c r="D82" s="4">
        <v>3</v>
      </c>
      <c r="E82" s="4">
        <v>3</v>
      </c>
      <c r="F82" s="4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</row>
    <row r="83" spans="1:65" x14ac:dyDescent="0.25">
      <c r="A83" s="2" t="s">
        <v>79</v>
      </c>
      <c r="B83" s="4">
        <v>5</v>
      </c>
      <c r="C83" s="4">
        <v>2</v>
      </c>
      <c r="D83" s="4">
        <v>1</v>
      </c>
      <c r="E83" s="4">
        <v>1</v>
      </c>
      <c r="F83" s="6">
        <v>0</v>
      </c>
      <c r="G83" s="3">
        <v>0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</row>
    <row r="84" spans="1:65" x14ac:dyDescent="0.25">
      <c r="A84" s="2" t="s">
        <v>79</v>
      </c>
      <c r="B84" s="4">
        <v>5</v>
      </c>
      <c r="C84" s="4">
        <v>2</v>
      </c>
      <c r="D84" s="4">
        <v>1</v>
      </c>
      <c r="E84" s="4">
        <v>2</v>
      </c>
      <c r="F84" s="6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</row>
    <row r="85" spans="1:65" x14ac:dyDescent="0.25">
      <c r="A85" s="2" t="s">
        <v>79</v>
      </c>
      <c r="B85" s="4">
        <v>5</v>
      </c>
      <c r="C85" s="4">
        <v>2</v>
      </c>
      <c r="D85" s="4">
        <v>1</v>
      </c>
      <c r="E85" s="4">
        <v>3</v>
      </c>
      <c r="F85" s="6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</row>
    <row r="86" spans="1:65" x14ac:dyDescent="0.25">
      <c r="A86" s="2" t="s">
        <v>79</v>
      </c>
      <c r="B86" s="4">
        <v>5</v>
      </c>
      <c r="C86" s="4">
        <v>2</v>
      </c>
      <c r="D86" s="4">
        <v>2</v>
      </c>
      <c r="E86" s="4">
        <v>1</v>
      </c>
      <c r="F86" s="6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1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</row>
    <row r="87" spans="1:65" x14ac:dyDescent="0.25">
      <c r="A87" s="2" t="s">
        <v>79</v>
      </c>
      <c r="B87" s="4">
        <v>5</v>
      </c>
      <c r="C87" s="4">
        <v>2</v>
      </c>
      <c r="D87" s="4">
        <v>2</v>
      </c>
      <c r="E87" s="4">
        <v>2</v>
      </c>
      <c r="F87" s="6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</row>
    <row r="88" spans="1:65" x14ac:dyDescent="0.25">
      <c r="A88" s="2" t="s">
        <v>79</v>
      </c>
      <c r="B88" s="4">
        <v>5</v>
      </c>
      <c r="C88" s="4">
        <v>2</v>
      </c>
      <c r="D88" s="4">
        <v>2</v>
      </c>
      <c r="E88" s="4">
        <v>3</v>
      </c>
      <c r="F88" s="6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</row>
    <row r="89" spans="1:65" x14ac:dyDescent="0.25">
      <c r="A89" s="2" t="s">
        <v>79</v>
      </c>
      <c r="B89" s="4">
        <v>5</v>
      </c>
      <c r="C89" s="4">
        <v>2</v>
      </c>
      <c r="D89" s="4">
        <v>3</v>
      </c>
      <c r="E89" s="4">
        <v>1</v>
      </c>
      <c r="F89" s="6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</row>
    <row r="90" spans="1:65" x14ac:dyDescent="0.25">
      <c r="A90" s="2" t="s">
        <v>79</v>
      </c>
      <c r="B90" s="4">
        <v>5</v>
      </c>
      <c r="C90" s="4">
        <v>2</v>
      </c>
      <c r="D90" s="4">
        <v>3</v>
      </c>
      <c r="E90" s="4">
        <v>2</v>
      </c>
      <c r="F90" s="6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1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1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</row>
    <row r="91" spans="1:65" x14ac:dyDescent="0.25">
      <c r="A91" s="2" t="s">
        <v>79</v>
      </c>
      <c r="B91" s="4">
        <v>5</v>
      </c>
      <c r="C91" s="4">
        <v>2</v>
      </c>
      <c r="D91" s="4">
        <v>3</v>
      </c>
      <c r="E91" s="4">
        <v>3</v>
      </c>
      <c r="F91" s="6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</row>
    <row r="92" spans="1:65" x14ac:dyDescent="0.25">
      <c r="A92" s="2" t="s">
        <v>80</v>
      </c>
      <c r="B92" s="4">
        <v>6</v>
      </c>
      <c r="C92" s="4">
        <v>1</v>
      </c>
      <c r="D92" s="4">
        <v>1</v>
      </c>
      <c r="E92" s="4">
        <v>1</v>
      </c>
      <c r="F92" s="4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2</v>
      </c>
      <c r="Z92" s="3">
        <v>0</v>
      </c>
      <c r="AA92" s="3">
        <v>0</v>
      </c>
      <c r="AB92" s="3">
        <v>1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1</v>
      </c>
      <c r="BA92" s="3">
        <v>1</v>
      </c>
      <c r="BB92" s="3">
        <v>0</v>
      </c>
      <c r="BC92" s="3">
        <v>0</v>
      </c>
      <c r="BD92" s="3">
        <v>0</v>
      </c>
      <c r="BE92" s="3">
        <v>0</v>
      </c>
      <c r="BF92" s="3">
        <v>1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</row>
    <row r="93" spans="1:65" x14ac:dyDescent="0.25">
      <c r="A93" s="2" t="s">
        <v>80</v>
      </c>
      <c r="B93" s="4">
        <v>6</v>
      </c>
      <c r="C93" s="4">
        <v>1</v>
      </c>
      <c r="D93" s="4">
        <v>1</v>
      </c>
      <c r="E93" s="4">
        <v>2</v>
      </c>
      <c r="F93" s="4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1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1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1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1</v>
      </c>
      <c r="BM93" s="3">
        <v>0</v>
      </c>
    </row>
    <row r="94" spans="1:65" x14ac:dyDescent="0.25">
      <c r="A94" s="2" t="s">
        <v>80</v>
      </c>
      <c r="B94" s="4">
        <v>6</v>
      </c>
      <c r="C94" s="4">
        <v>1</v>
      </c>
      <c r="D94" s="4">
        <v>1</v>
      </c>
      <c r="E94" s="4">
        <v>3</v>
      </c>
      <c r="F94" s="4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1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</row>
    <row r="95" spans="1:65" x14ac:dyDescent="0.25">
      <c r="A95" s="2" t="s">
        <v>80</v>
      </c>
      <c r="B95" s="4">
        <v>6</v>
      </c>
      <c r="C95" s="4">
        <v>1</v>
      </c>
      <c r="D95" s="4">
        <v>2</v>
      </c>
      <c r="E95" s="4">
        <v>1</v>
      </c>
      <c r="F95" s="4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2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</row>
    <row r="96" spans="1:65" x14ac:dyDescent="0.25">
      <c r="A96" s="2" t="s">
        <v>80</v>
      </c>
      <c r="B96" s="4">
        <v>6</v>
      </c>
      <c r="C96" s="4">
        <v>1</v>
      </c>
      <c r="D96" s="4">
        <v>2</v>
      </c>
      <c r="E96" s="4">
        <v>2</v>
      </c>
      <c r="F96" s="4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</row>
    <row r="97" spans="1:65" x14ac:dyDescent="0.25">
      <c r="A97" s="2" t="s">
        <v>80</v>
      </c>
      <c r="B97" s="4">
        <v>6</v>
      </c>
      <c r="C97" s="4">
        <v>1</v>
      </c>
      <c r="D97" s="4">
        <v>2</v>
      </c>
      <c r="E97" s="4">
        <v>3</v>
      </c>
      <c r="F97" s="4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</row>
    <row r="98" spans="1:65" x14ac:dyDescent="0.25">
      <c r="A98" s="2" t="s">
        <v>80</v>
      </c>
      <c r="B98" s="4">
        <v>6</v>
      </c>
      <c r="C98" s="4">
        <v>1</v>
      </c>
      <c r="D98" s="4">
        <v>3</v>
      </c>
      <c r="E98" s="4">
        <v>1</v>
      </c>
      <c r="F98" s="4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3</v>
      </c>
      <c r="P98" s="3">
        <v>0</v>
      </c>
      <c r="Q98" s="3">
        <v>0</v>
      </c>
      <c r="R98" s="3">
        <v>1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1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1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</row>
    <row r="99" spans="1:65" x14ac:dyDescent="0.25">
      <c r="A99" s="2" t="s">
        <v>80</v>
      </c>
      <c r="B99" s="4">
        <v>6</v>
      </c>
      <c r="C99" s="4">
        <v>1</v>
      </c>
      <c r="D99" s="4">
        <v>3</v>
      </c>
      <c r="E99" s="4">
        <v>2</v>
      </c>
      <c r="F99" s="4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</row>
    <row r="100" spans="1:65" x14ac:dyDescent="0.25">
      <c r="A100" s="2" t="s">
        <v>80</v>
      </c>
      <c r="B100" s="4">
        <v>6</v>
      </c>
      <c r="C100" s="4">
        <v>1</v>
      </c>
      <c r="D100" s="4">
        <v>3</v>
      </c>
      <c r="E100" s="4">
        <v>3</v>
      </c>
      <c r="F100" s="4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</row>
    <row r="101" spans="1:65" x14ac:dyDescent="0.25">
      <c r="A101" s="2" t="s">
        <v>80</v>
      </c>
      <c r="B101" s="4">
        <v>6</v>
      </c>
      <c r="C101" s="4">
        <v>2</v>
      </c>
      <c r="D101" s="4">
        <v>1</v>
      </c>
      <c r="E101" s="4">
        <v>1</v>
      </c>
      <c r="F101" s="6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1</v>
      </c>
      <c r="BA101" s="3">
        <v>0</v>
      </c>
      <c r="BB101" s="3">
        <v>1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</row>
    <row r="102" spans="1:65" x14ac:dyDescent="0.25">
      <c r="A102" s="2" t="s">
        <v>80</v>
      </c>
      <c r="B102" s="4">
        <v>6</v>
      </c>
      <c r="C102" s="4">
        <v>2</v>
      </c>
      <c r="D102" s="4">
        <v>1</v>
      </c>
      <c r="E102" s="4">
        <v>2</v>
      </c>
      <c r="F102" s="6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1</v>
      </c>
      <c r="Z102" s="3">
        <v>0</v>
      </c>
      <c r="AA102" s="3">
        <v>0</v>
      </c>
      <c r="AB102" s="3">
        <v>1</v>
      </c>
      <c r="AC102" s="3">
        <v>0</v>
      </c>
      <c r="AD102" s="3">
        <v>0</v>
      </c>
      <c r="AE102" s="3">
        <v>0</v>
      </c>
      <c r="AF102" s="3">
        <v>1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1</v>
      </c>
      <c r="BA102" s="3">
        <v>1</v>
      </c>
      <c r="BB102" s="3">
        <v>1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</row>
    <row r="103" spans="1:65" x14ac:dyDescent="0.25">
      <c r="A103" s="2" t="s">
        <v>80</v>
      </c>
      <c r="B103" s="4">
        <v>6</v>
      </c>
      <c r="C103" s="4">
        <v>2</v>
      </c>
      <c r="D103" s="4">
        <v>1</v>
      </c>
      <c r="E103" s="4">
        <v>3</v>
      </c>
      <c r="F103" s="6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</row>
    <row r="104" spans="1:65" x14ac:dyDescent="0.25">
      <c r="A104" s="2" t="s">
        <v>80</v>
      </c>
      <c r="B104" s="4">
        <v>6</v>
      </c>
      <c r="C104" s="4">
        <v>2</v>
      </c>
      <c r="D104" s="4">
        <v>2</v>
      </c>
      <c r="E104" s="4">
        <v>1</v>
      </c>
      <c r="F104" s="6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1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</row>
    <row r="105" spans="1:65" x14ac:dyDescent="0.25">
      <c r="A105" s="2" t="s">
        <v>80</v>
      </c>
      <c r="B105" s="4">
        <v>6</v>
      </c>
      <c r="C105" s="4">
        <v>2</v>
      </c>
      <c r="D105" s="4">
        <v>2</v>
      </c>
      <c r="E105" s="4">
        <v>2</v>
      </c>
      <c r="F105" s="6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1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</row>
    <row r="106" spans="1:65" x14ac:dyDescent="0.25">
      <c r="A106" s="2" t="s">
        <v>80</v>
      </c>
      <c r="B106" s="4">
        <v>6</v>
      </c>
      <c r="C106" s="4">
        <v>2</v>
      </c>
      <c r="D106" s="4">
        <v>2</v>
      </c>
      <c r="E106" s="4">
        <v>3</v>
      </c>
      <c r="F106" s="6">
        <v>0</v>
      </c>
      <c r="G106" s="3">
        <v>0</v>
      </c>
      <c r="H106" s="3">
        <v>0</v>
      </c>
      <c r="I106" s="3">
        <v>1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1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</row>
    <row r="107" spans="1:65" x14ac:dyDescent="0.25">
      <c r="A107" s="2" t="s">
        <v>80</v>
      </c>
      <c r="B107" s="4">
        <v>6</v>
      </c>
      <c r="C107" s="4">
        <v>2</v>
      </c>
      <c r="D107" s="4">
        <v>3</v>
      </c>
      <c r="E107" s="4">
        <v>1</v>
      </c>
      <c r="F107" s="6">
        <v>0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1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</row>
    <row r="108" spans="1:65" x14ac:dyDescent="0.25">
      <c r="A108" s="2" t="s">
        <v>80</v>
      </c>
      <c r="B108" s="4">
        <v>6</v>
      </c>
      <c r="C108" s="4">
        <v>2</v>
      </c>
      <c r="D108" s="4">
        <v>3</v>
      </c>
      <c r="E108" s="4">
        <v>2</v>
      </c>
      <c r="F108" s="6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</row>
    <row r="109" spans="1:65" x14ac:dyDescent="0.25">
      <c r="A109" s="2" t="s">
        <v>80</v>
      </c>
      <c r="B109" s="4">
        <v>6</v>
      </c>
      <c r="C109" s="4">
        <v>2</v>
      </c>
      <c r="D109" s="4">
        <v>3</v>
      </c>
      <c r="E109" s="4">
        <v>3</v>
      </c>
      <c r="F109" s="6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2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</row>
    <row r="110" spans="1:65" x14ac:dyDescent="0.25">
      <c r="A110" s="2" t="s">
        <v>81</v>
      </c>
      <c r="B110" s="4">
        <v>7</v>
      </c>
      <c r="C110" s="4">
        <v>1</v>
      </c>
      <c r="D110" s="4">
        <v>1</v>
      </c>
      <c r="E110" s="4">
        <v>1</v>
      </c>
      <c r="F110" s="4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2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1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2</v>
      </c>
      <c r="BM110" s="3">
        <v>0</v>
      </c>
    </row>
    <row r="111" spans="1:65" x14ac:dyDescent="0.25">
      <c r="A111" s="2" t="s">
        <v>81</v>
      </c>
      <c r="B111" s="4">
        <v>7</v>
      </c>
      <c r="C111" s="4">
        <v>1</v>
      </c>
      <c r="D111" s="4">
        <v>1</v>
      </c>
      <c r="E111" s="4">
        <v>2</v>
      </c>
      <c r="F111" s="4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1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1</v>
      </c>
      <c r="BA111" s="3">
        <v>1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1</v>
      </c>
      <c r="BI111" s="3">
        <v>0</v>
      </c>
      <c r="BJ111" s="3">
        <v>0</v>
      </c>
      <c r="BK111" s="3">
        <v>0</v>
      </c>
      <c r="BL111" s="3">
        <v>1</v>
      </c>
      <c r="BM111" s="3">
        <v>0</v>
      </c>
    </row>
    <row r="112" spans="1:65" x14ac:dyDescent="0.25">
      <c r="A112" s="2" t="s">
        <v>81</v>
      </c>
      <c r="B112" s="4">
        <v>7</v>
      </c>
      <c r="C112" s="4">
        <v>1</v>
      </c>
      <c r="D112" s="4">
        <v>1</v>
      </c>
      <c r="E112" s="4">
        <v>3</v>
      </c>
      <c r="F112" s="4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1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</row>
    <row r="113" spans="1:65" x14ac:dyDescent="0.25">
      <c r="A113" s="2" t="s">
        <v>81</v>
      </c>
      <c r="B113" s="4">
        <v>7</v>
      </c>
      <c r="C113" s="4">
        <v>1</v>
      </c>
      <c r="D113" s="4">
        <v>2</v>
      </c>
      <c r="E113" s="4">
        <v>1</v>
      </c>
      <c r="F113" s="4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2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1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</row>
    <row r="114" spans="1:65" x14ac:dyDescent="0.25">
      <c r="A114" s="2" t="s">
        <v>81</v>
      </c>
      <c r="B114" s="4">
        <v>7</v>
      </c>
      <c r="C114" s="4">
        <v>1</v>
      </c>
      <c r="D114" s="4">
        <v>2</v>
      </c>
      <c r="E114" s="4">
        <v>2</v>
      </c>
      <c r="F114" s="4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</row>
    <row r="115" spans="1:65" x14ac:dyDescent="0.25">
      <c r="A115" s="2" t="s">
        <v>81</v>
      </c>
      <c r="B115" s="4">
        <v>7</v>
      </c>
      <c r="C115" s="4">
        <v>1</v>
      </c>
      <c r="D115" s="4">
        <v>2</v>
      </c>
      <c r="E115" s="4">
        <v>3</v>
      </c>
      <c r="F115" s="4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</row>
    <row r="116" spans="1:65" x14ac:dyDescent="0.25">
      <c r="A116" s="2" t="s">
        <v>81</v>
      </c>
      <c r="B116" s="4">
        <v>7</v>
      </c>
      <c r="C116" s="4">
        <v>1</v>
      </c>
      <c r="D116" s="4">
        <v>3</v>
      </c>
      <c r="E116" s="4">
        <v>1</v>
      </c>
      <c r="F116" s="4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1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1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</row>
    <row r="117" spans="1:65" x14ac:dyDescent="0.25">
      <c r="A117" s="2" t="s">
        <v>81</v>
      </c>
      <c r="B117" s="4">
        <v>7</v>
      </c>
      <c r="C117" s="4">
        <v>1</v>
      </c>
      <c r="D117" s="4">
        <v>3</v>
      </c>
      <c r="E117" s="4">
        <v>2</v>
      </c>
      <c r="F117" s="4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</row>
    <row r="118" spans="1:65" x14ac:dyDescent="0.25">
      <c r="A118" s="2" t="s">
        <v>81</v>
      </c>
      <c r="B118" s="4">
        <v>7</v>
      </c>
      <c r="C118" s="4">
        <v>1</v>
      </c>
      <c r="D118" s="4">
        <v>3</v>
      </c>
      <c r="E118" s="4">
        <v>3</v>
      </c>
      <c r="F118" s="4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</row>
    <row r="119" spans="1:65" x14ac:dyDescent="0.25">
      <c r="A119" s="2" t="s">
        <v>81</v>
      </c>
      <c r="B119" s="4">
        <v>7</v>
      </c>
      <c r="C119" s="4">
        <v>2</v>
      </c>
      <c r="D119" s="4">
        <v>1</v>
      </c>
      <c r="E119" s="4">
        <v>1</v>
      </c>
      <c r="F119" s="6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1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1</v>
      </c>
      <c r="BB119" s="3">
        <v>1</v>
      </c>
      <c r="BC119" s="3">
        <v>1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</row>
    <row r="120" spans="1:65" x14ac:dyDescent="0.25">
      <c r="A120" s="2" t="s">
        <v>81</v>
      </c>
      <c r="B120" s="4">
        <v>7</v>
      </c>
      <c r="C120" s="4">
        <v>2</v>
      </c>
      <c r="D120" s="4">
        <v>1</v>
      </c>
      <c r="E120" s="4">
        <v>2</v>
      </c>
      <c r="F120" s="6">
        <v>0</v>
      </c>
      <c r="G120" s="3">
        <v>0</v>
      </c>
      <c r="H120" s="3">
        <v>0</v>
      </c>
      <c r="I120" s="3">
        <v>1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3</v>
      </c>
      <c r="Y120" s="3">
        <v>1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1</v>
      </c>
      <c r="BB120" s="3">
        <v>0</v>
      </c>
      <c r="BC120" s="3">
        <v>2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</row>
    <row r="121" spans="1:65" x14ac:dyDescent="0.25">
      <c r="A121" s="2" t="s">
        <v>81</v>
      </c>
      <c r="B121" s="4">
        <v>7</v>
      </c>
      <c r="C121" s="4">
        <v>2</v>
      </c>
      <c r="D121" s="4">
        <v>1</v>
      </c>
      <c r="E121" s="4">
        <v>3</v>
      </c>
      <c r="F121" s="6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</row>
    <row r="122" spans="1:65" x14ac:dyDescent="0.25">
      <c r="A122" s="2" t="s">
        <v>81</v>
      </c>
      <c r="B122" s="4">
        <v>7</v>
      </c>
      <c r="C122" s="4">
        <v>2</v>
      </c>
      <c r="D122" s="4">
        <v>2</v>
      </c>
      <c r="E122" s="4">
        <v>1</v>
      </c>
      <c r="F122" s="6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</row>
    <row r="123" spans="1:65" x14ac:dyDescent="0.25">
      <c r="A123" s="2" t="s">
        <v>81</v>
      </c>
      <c r="B123" s="4">
        <v>7</v>
      </c>
      <c r="C123" s="4">
        <v>2</v>
      </c>
      <c r="D123" s="4">
        <v>2</v>
      </c>
      <c r="E123" s="4">
        <v>2</v>
      </c>
      <c r="F123" s="6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1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1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</row>
    <row r="124" spans="1:65" x14ac:dyDescent="0.25">
      <c r="A124" s="2" t="s">
        <v>81</v>
      </c>
      <c r="B124" s="4">
        <v>7</v>
      </c>
      <c r="C124" s="4">
        <v>2</v>
      </c>
      <c r="D124" s="4">
        <v>2</v>
      </c>
      <c r="E124" s="4">
        <v>3</v>
      </c>
      <c r="F124" s="6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</row>
    <row r="125" spans="1:65" x14ac:dyDescent="0.25">
      <c r="A125" s="2" t="s">
        <v>81</v>
      </c>
      <c r="B125" s="4">
        <v>7</v>
      </c>
      <c r="C125" s="4">
        <v>2</v>
      </c>
      <c r="D125" s="4">
        <v>3</v>
      </c>
      <c r="E125" s="4">
        <v>1</v>
      </c>
      <c r="F125" s="6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2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3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</row>
    <row r="126" spans="1:65" x14ac:dyDescent="0.25">
      <c r="A126" s="2" t="s">
        <v>81</v>
      </c>
      <c r="B126" s="4">
        <v>7</v>
      </c>
      <c r="C126" s="4">
        <v>2</v>
      </c>
      <c r="D126" s="4">
        <v>3</v>
      </c>
      <c r="E126" s="4">
        <v>2</v>
      </c>
      <c r="F126" s="6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</row>
    <row r="127" spans="1:65" x14ac:dyDescent="0.25">
      <c r="A127" s="2" t="s">
        <v>81</v>
      </c>
      <c r="B127" s="4">
        <v>7</v>
      </c>
      <c r="C127" s="4">
        <v>2</v>
      </c>
      <c r="D127" s="4">
        <v>3</v>
      </c>
      <c r="E127" s="4">
        <v>3</v>
      </c>
      <c r="F127" s="6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1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</row>
    <row r="128" spans="1:65" x14ac:dyDescent="0.25">
      <c r="A128" s="2" t="s">
        <v>82</v>
      </c>
      <c r="B128" s="4">
        <v>8</v>
      </c>
      <c r="C128" s="4">
        <v>1</v>
      </c>
      <c r="D128" s="4">
        <v>1</v>
      </c>
      <c r="E128" s="4">
        <v>1</v>
      </c>
      <c r="F128" s="4">
        <v>0</v>
      </c>
      <c r="G128" s="3">
        <v>0</v>
      </c>
      <c r="H128" s="3">
        <v>0</v>
      </c>
      <c r="I128" s="3">
        <v>0</v>
      </c>
      <c r="J128" s="3">
        <v>0</v>
      </c>
      <c r="K128" s="3">
        <v>1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1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9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1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</row>
    <row r="129" spans="1:65" x14ac:dyDescent="0.25">
      <c r="A129" s="2" t="s">
        <v>82</v>
      </c>
      <c r="B129" s="4">
        <v>8</v>
      </c>
      <c r="C129" s="4">
        <v>1</v>
      </c>
      <c r="D129" s="4">
        <v>1</v>
      </c>
      <c r="E129" s="4">
        <v>2</v>
      </c>
      <c r="F129" s="4">
        <v>0</v>
      </c>
      <c r="G129" s="3">
        <v>0</v>
      </c>
      <c r="H129" s="3">
        <v>0</v>
      </c>
      <c r="I129" s="3">
        <v>0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1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2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</row>
    <row r="130" spans="1:65" x14ac:dyDescent="0.25">
      <c r="A130" s="2" t="s">
        <v>82</v>
      </c>
      <c r="B130" s="4">
        <v>8</v>
      </c>
      <c r="C130" s="4">
        <v>1</v>
      </c>
      <c r="D130" s="4">
        <v>1</v>
      </c>
      <c r="E130" s="4">
        <v>3</v>
      </c>
      <c r="F130" s="4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1</v>
      </c>
      <c r="BM130" s="3">
        <v>0</v>
      </c>
    </row>
    <row r="131" spans="1:65" x14ac:dyDescent="0.25">
      <c r="A131" s="2" t="s">
        <v>82</v>
      </c>
      <c r="B131" s="4">
        <v>8</v>
      </c>
      <c r="C131" s="4">
        <v>1</v>
      </c>
      <c r="D131" s="4">
        <v>2</v>
      </c>
      <c r="E131" s="4">
        <v>1</v>
      </c>
      <c r="F131" s="4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1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</row>
    <row r="132" spans="1:65" x14ac:dyDescent="0.25">
      <c r="A132" s="2" t="s">
        <v>82</v>
      </c>
      <c r="B132" s="4">
        <v>8</v>
      </c>
      <c r="C132" s="4">
        <v>1</v>
      </c>
      <c r="D132" s="4">
        <v>2</v>
      </c>
      <c r="E132" s="4">
        <v>2</v>
      </c>
      <c r="F132" s="4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</row>
    <row r="133" spans="1:65" x14ac:dyDescent="0.25">
      <c r="A133" s="2" t="s">
        <v>82</v>
      </c>
      <c r="B133" s="4">
        <v>8</v>
      </c>
      <c r="C133" s="4">
        <v>1</v>
      </c>
      <c r="D133" s="4">
        <v>2</v>
      </c>
      <c r="E133" s="4">
        <v>3</v>
      </c>
      <c r="F133" s="4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</row>
    <row r="134" spans="1:65" x14ac:dyDescent="0.25">
      <c r="A134" s="2" t="s">
        <v>82</v>
      </c>
      <c r="B134" s="4">
        <v>8</v>
      </c>
      <c r="C134" s="4">
        <v>1</v>
      </c>
      <c r="D134" s="4">
        <v>3</v>
      </c>
      <c r="E134" s="4">
        <v>1</v>
      </c>
      <c r="F134" s="4">
        <v>0</v>
      </c>
      <c r="G134" s="3">
        <v>2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1</v>
      </c>
      <c r="AE134" s="3">
        <v>0</v>
      </c>
      <c r="AF134" s="3">
        <v>1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</row>
    <row r="135" spans="1:65" x14ac:dyDescent="0.25">
      <c r="A135" s="2" t="s">
        <v>82</v>
      </c>
      <c r="B135" s="4">
        <v>8</v>
      </c>
      <c r="C135" s="4">
        <v>1</v>
      </c>
      <c r="D135" s="4">
        <v>3</v>
      </c>
      <c r="E135" s="4">
        <v>2</v>
      </c>
      <c r="F135" s="4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</row>
    <row r="136" spans="1:65" x14ac:dyDescent="0.25">
      <c r="A136" s="2" t="s">
        <v>82</v>
      </c>
      <c r="B136" s="4">
        <v>8</v>
      </c>
      <c r="C136" s="4">
        <v>1</v>
      </c>
      <c r="D136" s="4">
        <v>3</v>
      </c>
      <c r="E136" s="4">
        <v>3</v>
      </c>
      <c r="F136" s="4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</row>
    <row r="137" spans="1:65" x14ac:dyDescent="0.25">
      <c r="A137" s="2" t="s">
        <v>82</v>
      </c>
      <c r="B137" s="4">
        <v>8</v>
      </c>
      <c r="C137" s="4">
        <v>2</v>
      </c>
      <c r="D137" s="4">
        <v>1</v>
      </c>
      <c r="E137" s="4">
        <v>1</v>
      </c>
      <c r="F137" s="6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4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</row>
    <row r="138" spans="1:65" x14ac:dyDescent="0.25">
      <c r="A138" s="2" t="s">
        <v>82</v>
      </c>
      <c r="B138" s="4">
        <v>8</v>
      </c>
      <c r="C138" s="4">
        <v>2</v>
      </c>
      <c r="D138" s="4">
        <v>1</v>
      </c>
      <c r="E138" s="4">
        <v>2</v>
      </c>
      <c r="F138" s="6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1</v>
      </c>
      <c r="BM138" s="3">
        <v>0</v>
      </c>
    </row>
    <row r="139" spans="1:65" x14ac:dyDescent="0.25">
      <c r="A139" s="2" t="s">
        <v>82</v>
      </c>
      <c r="B139" s="4">
        <v>8</v>
      </c>
      <c r="C139" s="4">
        <v>2</v>
      </c>
      <c r="D139" s="4">
        <v>1</v>
      </c>
      <c r="E139" s="4">
        <v>3</v>
      </c>
      <c r="F139" s="6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1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</row>
    <row r="140" spans="1:65" x14ac:dyDescent="0.25">
      <c r="A140" s="2" t="s">
        <v>82</v>
      </c>
      <c r="B140" s="4">
        <v>8</v>
      </c>
      <c r="C140" s="4">
        <v>2</v>
      </c>
      <c r="D140" s="4">
        <v>2</v>
      </c>
      <c r="E140" s="4">
        <v>1</v>
      </c>
      <c r="F140" s="6">
        <v>0</v>
      </c>
      <c r="G140" s="3">
        <v>2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</row>
    <row r="141" spans="1:65" x14ac:dyDescent="0.25">
      <c r="A141" s="2" t="s">
        <v>82</v>
      </c>
      <c r="B141" s="4">
        <v>8</v>
      </c>
      <c r="C141" s="4">
        <v>2</v>
      </c>
      <c r="D141" s="4">
        <v>2</v>
      </c>
      <c r="E141" s="4">
        <v>2</v>
      </c>
      <c r="F141" s="6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</row>
    <row r="142" spans="1:65" x14ac:dyDescent="0.25">
      <c r="A142" s="2" t="s">
        <v>82</v>
      </c>
      <c r="B142" s="4">
        <v>8</v>
      </c>
      <c r="C142" s="4">
        <v>2</v>
      </c>
      <c r="D142" s="4">
        <v>2</v>
      </c>
      <c r="E142" s="4">
        <v>3</v>
      </c>
      <c r="F142" s="6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</row>
    <row r="143" spans="1:65" x14ac:dyDescent="0.25">
      <c r="A143" s="2" t="s">
        <v>82</v>
      </c>
      <c r="B143" s="4">
        <v>8</v>
      </c>
      <c r="C143" s="4">
        <v>2</v>
      </c>
      <c r="D143" s="4">
        <v>3</v>
      </c>
      <c r="E143" s="4">
        <v>1</v>
      </c>
      <c r="F143" s="6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</row>
    <row r="144" spans="1:65" x14ac:dyDescent="0.25">
      <c r="A144" s="2" t="s">
        <v>82</v>
      </c>
      <c r="B144" s="4">
        <v>8</v>
      </c>
      <c r="C144" s="4">
        <v>2</v>
      </c>
      <c r="D144" s="4">
        <v>3</v>
      </c>
      <c r="E144" s="4">
        <v>2</v>
      </c>
      <c r="F144" s="6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1</v>
      </c>
      <c r="AW144" s="3">
        <v>0</v>
      </c>
      <c r="AX144" s="3">
        <v>0</v>
      </c>
      <c r="AY144" s="3">
        <v>0</v>
      </c>
      <c r="AZ144" s="3">
        <v>0</v>
      </c>
      <c r="BA144" s="3">
        <v>1</v>
      </c>
      <c r="BB144" s="3">
        <v>0</v>
      </c>
      <c r="BC144" s="3">
        <v>1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</row>
    <row r="145" spans="1:65" x14ac:dyDescent="0.25">
      <c r="A145" s="2" t="s">
        <v>82</v>
      </c>
      <c r="B145" s="4">
        <v>8</v>
      </c>
      <c r="C145" s="4">
        <v>2</v>
      </c>
      <c r="D145" s="4">
        <v>3</v>
      </c>
      <c r="E145" s="4">
        <v>3</v>
      </c>
      <c r="F145" s="6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</row>
    <row r="146" spans="1:65" x14ac:dyDescent="0.25">
      <c r="A146" s="2" t="s">
        <v>83</v>
      </c>
      <c r="B146" s="4">
        <v>9</v>
      </c>
      <c r="C146" s="4">
        <v>1</v>
      </c>
      <c r="D146" s="4">
        <v>1</v>
      </c>
      <c r="E146" s="4">
        <v>1</v>
      </c>
      <c r="F146" s="4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1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</row>
    <row r="147" spans="1:65" x14ac:dyDescent="0.25">
      <c r="A147" s="2" t="s">
        <v>83</v>
      </c>
      <c r="B147" s="4">
        <v>9</v>
      </c>
      <c r="C147" s="4">
        <v>1</v>
      </c>
      <c r="D147" s="4">
        <v>1</v>
      </c>
      <c r="E147" s="4">
        <v>2</v>
      </c>
      <c r="F147" s="4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1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</row>
    <row r="148" spans="1:65" x14ac:dyDescent="0.25">
      <c r="A148" s="2" t="s">
        <v>83</v>
      </c>
      <c r="B148" s="4">
        <v>9</v>
      </c>
      <c r="C148" s="4">
        <v>1</v>
      </c>
      <c r="D148" s="4">
        <v>1</v>
      </c>
      <c r="E148" s="4">
        <v>3</v>
      </c>
      <c r="F148" s="4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1</v>
      </c>
      <c r="BA148" s="3">
        <v>1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1</v>
      </c>
      <c r="BI148" s="3">
        <v>0</v>
      </c>
      <c r="BJ148" s="3">
        <v>0</v>
      </c>
      <c r="BK148" s="3">
        <v>0</v>
      </c>
      <c r="BL148" s="3">
        <v>1</v>
      </c>
      <c r="BM148" s="3">
        <v>0</v>
      </c>
    </row>
    <row r="149" spans="1:65" x14ac:dyDescent="0.25">
      <c r="A149" s="2" t="s">
        <v>83</v>
      </c>
      <c r="B149" s="4">
        <v>9</v>
      </c>
      <c r="C149" s="4">
        <v>1</v>
      </c>
      <c r="D149" s="4">
        <v>2</v>
      </c>
      <c r="E149" s="4">
        <v>1</v>
      </c>
      <c r="F149" s="4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</row>
    <row r="150" spans="1:65" x14ac:dyDescent="0.25">
      <c r="A150" s="2" t="s">
        <v>83</v>
      </c>
      <c r="B150" s="4">
        <v>9</v>
      </c>
      <c r="C150" s="4">
        <v>1</v>
      </c>
      <c r="D150" s="4">
        <v>2</v>
      </c>
      <c r="E150" s="4">
        <v>2</v>
      </c>
      <c r="F150" s="4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</row>
    <row r="151" spans="1:65" x14ac:dyDescent="0.25">
      <c r="A151" s="2" t="s">
        <v>83</v>
      </c>
      <c r="B151" s="4">
        <v>9</v>
      </c>
      <c r="C151" s="4">
        <v>1</v>
      </c>
      <c r="D151" s="4">
        <v>2</v>
      </c>
      <c r="E151" s="4">
        <v>3</v>
      </c>
      <c r="F151" s="4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1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</row>
    <row r="152" spans="1:65" x14ac:dyDescent="0.25">
      <c r="A152" s="2" t="s">
        <v>83</v>
      </c>
      <c r="B152" s="4">
        <v>9</v>
      </c>
      <c r="C152" s="4">
        <v>1</v>
      </c>
      <c r="D152" s="4">
        <v>3</v>
      </c>
      <c r="E152" s="4">
        <v>1</v>
      </c>
      <c r="F152" s="4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1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1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</row>
    <row r="153" spans="1:65" x14ac:dyDescent="0.25">
      <c r="A153" s="2" t="s">
        <v>83</v>
      </c>
      <c r="B153" s="4">
        <v>9</v>
      </c>
      <c r="C153" s="4">
        <v>1</v>
      </c>
      <c r="D153" s="4">
        <v>3</v>
      </c>
      <c r="E153" s="4">
        <v>2</v>
      </c>
      <c r="F153" s="4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</row>
    <row r="154" spans="1:65" x14ac:dyDescent="0.25">
      <c r="A154" s="2" t="s">
        <v>83</v>
      </c>
      <c r="B154" s="4">
        <v>9</v>
      </c>
      <c r="C154" s="4">
        <v>1</v>
      </c>
      <c r="D154" s="4">
        <v>3</v>
      </c>
      <c r="E154" s="4">
        <v>3</v>
      </c>
      <c r="F154" s="4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</row>
    <row r="155" spans="1:65" x14ac:dyDescent="0.25">
      <c r="A155" s="2" t="s">
        <v>83</v>
      </c>
      <c r="B155" s="4">
        <v>9</v>
      </c>
      <c r="C155" s="4">
        <v>2</v>
      </c>
      <c r="D155" s="4">
        <v>1</v>
      </c>
      <c r="E155" s="4">
        <v>1</v>
      </c>
      <c r="F155" s="6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1</v>
      </c>
      <c r="BA155" s="3">
        <v>1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</row>
    <row r="156" spans="1:65" x14ac:dyDescent="0.25">
      <c r="A156" s="2" t="s">
        <v>83</v>
      </c>
      <c r="B156" s="4">
        <v>9</v>
      </c>
      <c r="C156" s="4">
        <v>2</v>
      </c>
      <c r="D156" s="4">
        <v>1</v>
      </c>
      <c r="E156" s="4">
        <v>2</v>
      </c>
      <c r="F156" s="6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1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1</v>
      </c>
      <c r="BA156" s="3">
        <v>1</v>
      </c>
      <c r="BB156" s="3">
        <v>1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2</v>
      </c>
      <c r="BI156" s="3">
        <v>0</v>
      </c>
      <c r="BJ156" s="3">
        <v>0</v>
      </c>
      <c r="BK156" s="3">
        <v>0</v>
      </c>
      <c r="BL156" s="3">
        <v>1</v>
      </c>
      <c r="BM156" s="3">
        <v>0</v>
      </c>
    </row>
    <row r="157" spans="1:65" x14ac:dyDescent="0.25">
      <c r="A157" s="2" t="s">
        <v>83</v>
      </c>
      <c r="B157" s="4">
        <v>9</v>
      </c>
      <c r="C157" s="4">
        <v>2</v>
      </c>
      <c r="D157" s="4">
        <v>1</v>
      </c>
      <c r="E157" s="4">
        <v>3</v>
      </c>
      <c r="F157" s="6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1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1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</row>
    <row r="158" spans="1:65" x14ac:dyDescent="0.25">
      <c r="A158" s="2" t="s">
        <v>83</v>
      </c>
      <c r="B158" s="4">
        <v>9</v>
      </c>
      <c r="C158" s="4">
        <v>2</v>
      </c>
      <c r="D158" s="4">
        <v>2</v>
      </c>
      <c r="E158" s="4">
        <v>1</v>
      </c>
      <c r="F158" s="6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1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1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</row>
    <row r="159" spans="1:65" x14ac:dyDescent="0.25">
      <c r="A159" s="2" t="s">
        <v>83</v>
      </c>
      <c r="B159" s="4">
        <v>9</v>
      </c>
      <c r="C159" s="4">
        <v>2</v>
      </c>
      <c r="D159" s="4">
        <v>2</v>
      </c>
      <c r="E159" s="4">
        <v>2</v>
      </c>
      <c r="F159" s="6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</row>
    <row r="160" spans="1:65" x14ac:dyDescent="0.25">
      <c r="A160" s="2" t="s">
        <v>83</v>
      </c>
      <c r="B160" s="4">
        <v>9</v>
      </c>
      <c r="C160" s="4">
        <v>2</v>
      </c>
      <c r="D160" s="4">
        <v>2</v>
      </c>
      <c r="E160" s="4">
        <v>3</v>
      </c>
      <c r="F160" s="6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</row>
    <row r="161" spans="1:65" x14ac:dyDescent="0.25">
      <c r="A161" s="2" t="s">
        <v>83</v>
      </c>
      <c r="B161" s="4">
        <v>9</v>
      </c>
      <c r="C161" s="4">
        <v>2</v>
      </c>
      <c r="D161" s="4">
        <v>3</v>
      </c>
      <c r="E161" s="4">
        <v>1</v>
      </c>
      <c r="F161" s="6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1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1</v>
      </c>
      <c r="BB161" s="3">
        <v>0</v>
      </c>
      <c r="BC161" s="3">
        <v>1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</row>
    <row r="162" spans="1:65" x14ac:dyDescent="0.25">
      <c r="A162" s="2" t="s">
        <v>83</v>
      </c>
      <c r="B162" s="4">
        <v>9</v>
      </c>
      <c r="C162" s="4">
        <v>2</v>
      </c>
      <c r="D162" s="4">
        <v>3</v>
      </c>
      <c r="E162" s="4">
        <v>2</v>
      </c>
      <c r="F162" s="6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</row>
    <row r="163" spans="1:65" x14ac:dyDescent="0.25">
      <c r="A163" s="2" t="s">
        <v>83</v>
      </c>
      <c r="B163" s="4">
        <v>9</v>
      </c>
      <c r="C163" s="4">
        <v>2</v>
      </c>
      <c r="D163" s="4">
        <v>3</v>
      </c>
      <c r="E163" s="4">
        <v>3</v>
      </c>
      <c r="F163" s="6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</row>
    <row r="164" spans="1:65" x14ac:dyDescent="0.25">
      <c r="A164" s="2" t="s">
        <v>84</v>
      </c>
      <c r="B164" s="4">
        <v>10</v>
      </c>
      <c r="C164" s="4">
        <v>1</v>
      </c>
      <c r="D164" s="4">
        <v>1</v>
      </c>
      <c r="E164" s="4">
        <v>1</v>
      </c>
      <c r="F164" s="4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</row>
    <row r="165" spans="1:65" x14ac:dyDescent="0.25">
      <c r="A165" s="2" t="s">
        <v>84</v>
      </c>
      <c r="B165" s="4">
        <v>10</v>
      </c>
      <c r="C165" s="4">
        <v>1</v>
      </c>
      <c r="D165" s="4">
        <v>1</v>
      </c>
      <c r="E165" s="4">
        <v>2</v>
      </c>
      <c r="F165" s="4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1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1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1</v>
      </c>
      <c r="BA165" s="3">
        <v>1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1</v>
      </c>
      <c r="BM165" s="3">
        <v>0</v>
      </c>
    </row>
    <row r="166" spans="1:65" x14ac:dyDescent="0.25">
      <c r="A166" s="2" t="s">
        <v>84</v>
      </c>
      <c r="B166" s="4">
        <v>10</v>
      </c>
      <c r="C166" s="4">
        <v>1</v>
      </c>
      <c r="D166" s="4">
        <v>1</v>
      </c>
      <c r="E166" s="4">
        <v>3</v>
      </c>
      <c r="F166" s="4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1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</row>
    <row r="167" spans="1:65" x14ac:dyDescent="0.25">
      <c r="A167" s="2" t="s">
        <v>84</v>
      </c>
      <c r="B167" s="4">
        <v>10</v>
      </c>
      <c r="C167" s="4">
        <v>1</v>
      </c>
      <c r="D167" s="4">
        <v>2</v>
      </c>
      <c r="E167" s="4">
        <v>1</v>
      </c>
      <c r="F167" s="4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1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</row>
    <row r="168" spans="1:65" x14ac:dyDescent="0.25">
      <c r="A168" s="2" t="s">
        <v>84</v>
      </c>
      <c r="B168" s="4">
        <v>10</v>
      </c>
      <c r="C168" s="4">
        <v>1</v>
      </c>
      <c r="D168" s="4">
        <v>2</v>
      </c>
      <c r="E168" s="4">
        <v>2</v>
      </c>
      <c r="F168" s="4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1</v>
      </c>
      <c r="BM168" s="3">
        <v>0</v>
      </c>
    </row>
    <row r="169" spans="1:65" x14ac:dyDescent="0.25">
      <c r="A169" s="2" t="s">
        <v>84</v>
      </c>
      <c r="B169" s="4">
        <v>10</v>
      </c>
      <c r="C169" s="4">
        <v>1</v>
      </c>
      <c r="D169" s="4">
        <v>2</v>
      </c>
      <c r="E169" s="4">
        <v>3</v>
      </c>
      <c r="F169" s="4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1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</row>
    <row r="170" spans="1:65" x14ac:dyDescent="0.25">
      <c r="A170" s="2" t="s">
        <v>84</v>
      </c>
      <c r="B170" s="4">
        <v>10</v>
      </c>
      <c r="C170" s="4">
        <v>1</v>
      </c>
      <c r="D170" s="4">
        <v>3</v>
      </c>
      <c r="E170" s="4">
        <v>1</v>
      </c>
      <c r="F170" s="4">
        <v>0</v>
      </c>
      <c r="G170" s="3">
        <v>0</v>
      </c>
      <c r="H170" s="3">
        <v>0</v>
      </c>
      <c r="I170" s="3">
        <v>0</v>
      </c>
      <c r="J170" s="3">
        <v>1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1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1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</row>
    <row r="171" spans="1:65" x14ac:dyDescent="0.25">
      <c r="A171" s="2" t="s">
        <v>84</v>
      </c>
      <c r="B171" s="4">
        <v>10</v>
      </c>
      <c r="C171" s="4">
        <v>1</v>
      </c>
      <c r="D171" s="4">
        <v>3</v>
      </c>
      <c r="E171" s="4">
        <v>2</v>
      </c>
      <c r="F171" s="4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1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</row>
    <row r="172" spans="1:65" x14ac:dyDescent="0.25">
      <c r="A172" s="2" t="s">
        <v>84</v>
      </c>
      <c r="B172" s="4">
        <v>10</v>
      </c>
      <c r="C172" s="4">
        <v>1</v>
      </c>
      <c r="D172" s="4">
        <v>3</v>
      </c>
      <c r="E172" s="4">
        <v>3</v>
      </c>
      <c r="F172" s="4">
        <v>0</v>
      </c>
      <c r="G172" s="3">
        <v>0</v>
      </c>
      <c r="H172" s="3">
        <v>0</v>
      </c>
      <c r="I172" s="3">
        <v>1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</row>
    <row r="173" spans="1:65" x14ac:dyDescent="0.25">
      <c r="A173" s="2" t="s">
        <v>84</v>
      </c>
      <c r="B173" s="4">
        <v>10</v>
      </c>
      <c r="C173" s="4">
        <v>2</v>
      </c>
      <c r="D173" s="4">
        <v>1</v>
      </c>
      <c r="E173" s="4">
        <v>1</v>
      </c>
      <c r="F173" s="6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1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1</v>
      </c>
      <c r="BA173" s="3">
        <v>1</v>
      </c>
      <c r="BB173" s="3">
        <v>0</v>
      </c>
      <c r="BC173" s="3">
        <v>4</v>
      </c>
      <c r="BD173" s="3">
        <v>0</v>
      </c>
      <c r="BE173" s="3">
        <v>0</v>
      </c>
      <c r="BF173" s="3">
        <v>0</v>
      </c>
      <c r="BG173" s="3">
        <v>0</v>
      </c>
      <c r="BH173" s="3">
        <v>1</v>
      </c>
      <c r="BI173" s="3">
        <v>0</v>
      </c>
      <c r="BJ173" s="3">
        <v>0</v>
      </c>
      <c r="BK173" s="3">
        <v>0</v>
      </c>
      <c r="BL173" s="3">
        <v>1</v>
      </c>
      <c r="BM173" s="3">
        <v>0</v>
      </c>
    </row>
    <row r="174" spans="1:65" x14ac:dyDescent="0.25">
      <c r="A174" s="2" t="s">
        <v>84</v>
      </c>
      <c r="B174" s="4">
        <v>10</v>
      </c>
      <c r="C174" s="4">
        <v>2</v>
      </c>
      <c r="D174" s="4">
        <v>1</v>
      </c>
      <c r="E174" s="4">
        <v>2</v>
      </c>
      <c r="F174" s="6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1</v>
      </c>
      <c r="BM174" s="3">
        <v>0</v>
      </c>
    </row>
    <row r="175" spans="1:65" x14ac:dyDescent="0.25">
      <c r="A175" s="2" t="s">
        <v>84</v>
      </c>
      <c r="B175" s="4">
        <v>10</v>
      </c>
      <c r="C175" s="4">
        <v>2</v>
      </c>
      <c r="D175" s="4">
        <v>1</v>
      </c>
      <c r="E175" s="4">
        <v>3</v>
      </c>
      <c r="F175" s="6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</row>
    <row r="176" spans="1:65" x14ac:dyDescent="0.25">
      <c r="A176" s="2" t="s">
        <v>84</v>
      </c>
      <c r="B176" s="4">
        <v>10</v>
      </c>
      <c r="C176" s="4">
        <v>2</v>
      </c>
      <c r="D176" s="4">
        <v>2</v>
      </c>
      <c r="E176" s="4">
        <v>1</v>
      </c>
      <c r="F176" s="6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1</v>
      </c>
      <c r="AC176" s="3">
        <v>0</v>
      </c>
      <c r="AD176" s="3">
        <v>0</v>
      </c>
      <c r="AE176" s="3">
        <v>0</v>
      </c>
      <c r="AF176" s="3">
        <v>1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1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</row>
    <row r="177" spans="1:65" x14ac:dyDescent="0.25">
      <c r="A177" s="2" t="s">
        <v>84</v>
      </c>
      <c r="B177" s="4">
        <v>10</v>
      </c>
      <c r="C177" s="4">
        <v>2</v>
      </c>
      <c r="D177" s="4">
        <v>2</v>
      </c>
      <c r="E177" s="4">
        <v>2</v>
      </c>
      <c r="F177" s="6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1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</row>
    <row r="178" spans="1:65" x14ac:dyDescent="0.25">
      <c r="A178" s="2" t="s">
        <v>84</v>
      </c>
      <c r="B178" s="4">
        <v>10</v>
      </c>
      <c r="C178" s="4">
        <v>2</v>
      </c>
      <c r="D178" s="4">
        <v>2</v>
      </c>
      <c r="E178" s="4">
        <v>3</v>
      </c>
      <c r="F178" s="6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</row>
    <row r="179" spans="1:65" x14ac:dyDescent="0.25">
      <c r="A179" s="2" t="s">
        <v>84</v>
      </c>
      <c r="B179" s="4">
        <v>10</v>
      </c>
      <c r="C179" s="4">
        <v>2</v>
      </c>
      <c r="D179" s="4">
        <v>3</v>
      </c>
      <c r="E179" s="4">
        <v>1</v>
      </c>
      <c r="F179" s="6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1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</row>
    <row r="180" spans="1:65" x14ac:dyDescent="0.25">
      <c r="A180" s="2" t="s">
        <v>84</v>
      </c>
      <c r="B180" s="4">
        <v>10</v>
      </c>
      <c r="C180" s="4">
        <v>2</v>
      </c>
      <c r="D180" s="4">
        <v>3</v>
      </c>
      <c r="E180" s="4">
        <v>2</v>
      </c>
      <c r="F180" s="6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1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</row>
    <row r="181" spans="1:65" x14ac:dyDescent="0.25">
      <c r="A181" s="2" t="s">
        <v>84</v>
      </c>
      <c r="B181" s="4">
        <v>10</v>
      </c>
      <c r="C181" s="4">
        <v>2</v>
      </c>
      <c r="D181" s="4">
        <v>3</v>
      </c>
      <c r="E181" s="4">
        <v>3</v>
      </c>
      <c r="F181" s="6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</row>
    <row r="182" spans="1:65" x14ac:dyDescent="0.25">
      <c r="A182" s="2" t="s">
        <v>85</v>
      </c>
      <c r="B182" s="4">
        <v>11</v>
      </c>
      <c r="C182" s="4">
        <v>1</v>
      </c>
      <c r="D182" s="4">
        <v>1</v>
      </c>
      <c r="E182" s="4">
        <v>1</v>
      </c>
      <c r="F182" s="4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1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1</v>
      </c>
      <c r="BM182" s="3">
        <v>0</v>
      </c>
    </row>
    <row r="183" spans="1:65" x14ac:dyDescent="0.25">
      <c r="A183" s="2" t="s">
        <v>85</v>
      </c>
      <c r="B183" s="4">
        <v>11</v>
      </c>
      <c r="C183" s="4">
        <v>1</v>
      </c>
      <c r="D183" s="4">
        <v>1</v>
      </c>
      <c r="E183" s="4">
        <v>2</v>
      </c>
      <c r="F183" s="4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1</v>
      </c>
      <c r="BA183" s="3">
        <v>1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2</v>
      </c>
      <c r="BM183" s="3">
        <v>0</v>
      </c>
    </row>
    <row r="184" spans="1:65" x14ac:dyDescent="0.25">
      <c r="A184" s="2" t="s">
        <v>85</v>
      </c>
      <c r="B184" s="4">
        <v>11</v>
      </c>
      <c r="C184" s="4">
        <v>1</v>
      </c>
      <c r="D184" s="4">
        <v>1</v>
      </c>
      <c r="E184" s="4">
        <v>3</v>
      </c>
      <c r="F184" s="4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2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</row>
    <row r="185" spans="1:65" x14ac:dyDescent="0.25">
      <c r="A185" s="2" t="s">
        <v>85</v>
      </c>
      <c r="B185" s="4">
        <v>11</v>
      </c>
      <c r="C185" s="4">
        <v>1</v>
      </c>
      <c r="D185" s="4">
        <v>2</v>
      </c>
      <c r="E185" s="4">
        <v>1</v>
      </c>
      <c r="F185" s="4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1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</row>
    <row r="186" spans="1:65" x14ac:dyDescent="0.25">
      <c r="A186" s="2" t="s">
        <v>85</v>
      </c>
      <c r="B186" s="4">
        <v>11</v>
      </c>
      <c r="C186" s="4">
        <v>1</v>
      </c>
      <c r="D186" s="4">
        <v>2</v>
      </c>
      <c r="E186" s="4">
        <v>2</v>
      </c>
      <c r="F186" s="4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1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</row>
    <row r="187" spans="1:65" x14ac:dyDescent="0.25">
      <c r="A187" s="2" t="s">
        <v>85</v>
      </c>
      <c r="B187" s="4">
        <v>11</v>
      </c>
      <c r="C187" s="4">
        <v>1</v>
      </c>
      <c r="D187" s="4">
        <v>2</v>
      </c>
      <c r="E187" s="4">
        <v>3</v>
      </c>
      <c r="F187" s="4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1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</row>
    <row r="188" spans="1:65" x14ac:dyDescent="0.25">
      <c r="A188" s="2" t="s">
        <v>85</v>
      </c>
      <c r="B188" s="4">
        <v>11</v>
      </c>
      <c r="C188" s="4">
        <v>1</v>
      </c>
      <c r="D188" s="4">
        <v>3</v>
      </c>
      <c r="E188" s="4">
        <v>1</v>
      </c>
      <c r="F188" s="4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1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</row>
    <row r="189" spans="1:65" x14ac:dyDescent="0.25">
      <c r="A189" s="2" t="s">
        <v>85</v>
      </c>
      <c r="B189" s="4">
        <v>11</v>
      </c>
      <c r="C189" s="4">
        <v>1</v>
      </c>
      <c r="D189" s="4">
        <v>3</v>
      </c>
      <c r="E189" s="4">
        <v>2</v>
      </c>
      <c r="F189" s="4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1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</row>
    <row r="190" spans="1:65" x14ac:dyDescent="0.25">
      <c r="A190" s="2" t="s">
        <v>85</v>
      </c>
      <c r="B190" s="4">
        <v>11</v>
      </c>
      <c r="C190" s="4">
        <v>1</v>
      </c>
      <c r="D190" s="4">
        <v>3</v>
      </c>
      <c r="E190" s="4">
        <v>3</v>
      </c>
      <c r="F190" s="4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</row>
    <row r="191" spans="1:65" x14ac:dyDescent="0.25">
      <c r="A191" s="2" t="s">
        <v>85</v>
      </c>
      <c r="B191" s="4">
        <v>11</v>
      </c>
      <c r="C191" s="4">
        <v>2</v>
      </c>
      <c r="D191" s="4">
        <v>1</v>
      </c>
      <c r="E191" s="4">
        <v>1</v>
      </c>
      <c r="F191" s="6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1</v>
      </c>
      <c r="BB191" s="3">
        <v>1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1</v>
      </c>
      <c r="BM191" s="3">
        <v>0</v>
      </c>
    </row>
    <row r="192" spans="1:65" x14ac:dyDescent="0.25">
      <c r="A192" s="2" t="s">
        <v>85</v>
      </c>
      <c r="B192" s="4">
        <v>11</v>
      </c>
      <c r="C192" s="4">
        <v>2</v>
      </c>
      <c r="D192" s="4">
        <v>1</v>
      </c>
      <c r="E192" s="4">
        <v>2</v>
      </c>
      <c r="F192" s="6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1</v>
      </c>
      <c r="BM192" s="3">
        <v>0</v>
      </c>
    </row>
    <row r="193" spans="1:65" x14ac:dyDescent="0.25">
      <c r="A193" s="2" t="s">
        <v>85</v>
      </c>
      <c r="B193" s="4">
        <v>11</v>
      </c>
      <c r="C193" s="4">
        <v>2</v>
      </c>
      <c r="D193" s="4">
        <v>1</v>
      </c>
      <c r="E193" s="4">
        <v>3</v>
      </c>
      <c r="F193" s="6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</row>
    <row r="194" spans="1:65" x14ac:dyDescent="0.25">
      <c r="A194" s="2" t="s">
        <v>85</v>
      </c>
      <c r="B194" s="4">
        <v>11</v>
      </c>
      <c r="C194" s="4">
        <v>2</v>
      </c>
      <c r="D194" s="4">
        <v>2</v>
      </c>
      <c r="E194" s="4">
        <v>1</v>
      </c>
      <c r="F194" s="6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</row>
    <row r="195" spans="1:65" x14ac:dyDescent="0.25">
      <c r="A195" s="2" t="s">
        <v>85</v>
      </c>
      <c r="B195" s="4">
        <v>11</v>
      </c>
      <c r="C195" s="4">
        <v>2</v>
      </c>
      <c r="D195" s="4">
        <v>2</v>
      </c>
      <c r="E195" s="4">
        <v>2</v>
      </c>
      <c r="F195" s="6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1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</row>
    <row r="196" spans="1:65" x14ac:dyDescent="0.25">
      <c r="A196" s="2" t="s">
        <v>85</v>
      </c>
      <c r="B196" s="4">
        <v>11</v>
      </c>
      <c r="C196" s="4">
        <v>2</v>
      </c>
      <c r="D196" s="4">
        <v>2</v>
      </c>
      <c r="E196" s="4">
        <v>3</v>
      </c>
      <c r="F196" s="6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</row>
    <row r="197" spans="1:65" x14ac:dyDescent="0.25">
      <c r="A197" s="2" t="s">
        <v>85</v>
      </c>
      <c r="B197" s="4">
        <v>11</v>
      </c>
      <c r="C197" s="4">
        <v>2</v>
      </c>
      <c r="D197" s="4">
        <v>3</v>
      </c>
      <c r="E197" s="4">
        <v>1</v>
      </c>
      <c r="F197" s="6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1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</row>
    <row r="198" spans="1:65" x14ac:dyDescent="0.25">
      <c r="A198" s="2" t="s">
        <v>85</v>
      </c>
      <c r="B198" s="4">
        <v>11</v>
      </c>
      <c r="C198" s="4">
        <v>2</v>
      </c>
      <c r="D198" s="4">
        <v>3</v>
      </c>
      <c r="E198" s="4">
        <v>2</v>
      </c>
      <c r="F198" s="6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1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</row>
    <row r="199" spans="1:65" x14ac:dyDescent="0.25">
      <c r="A199" s="2" t="s">
        <v>85</v>
      </c>
      <c r="B199" s="4">
        <v>11</v>
      </c>
      <c r="C199" s="4">
        <v>2</v>
      </c>
      <c r="D199" s="4">
        <v>3</v>
      </c>
      <c r="E199" s="4">
        <v>3</v>
      </c>
      <c r="F199" s="6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</row>
    <row r="200" spans="1:65" x14ac:dyDescent="0.25">
      <c r="A200" s="2" t="s">
        <v>86</v>
      </c>
      <c r="B200" s="4">
        <v>12</v>
      </c>
      <c r="C200" s="4">
        <v>1</v>
      </c>
      <c r="D200" s="4">
        <v>1</v>
      </c>
      <c r="E200" s="4">
        <v>1</v>
      </c>
      <c r="F200" s="4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1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2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2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1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</row>
    <row r="201" spans="1:65" x14ac:dyDescent="0.25">
      <c r="A201" s="2" t="s">
        <v>86</v>
      </c>
      <c r="B201" s="4">
        <v>12</v>
      </c>
      <c r="C201" s="4">
        <v>1</v>
      </c>
      <c r="D201" s="4">
        <v>1</v>
      </c>
      <c r="E201" s="4">
        <v>2</v>
      </c>
      <c r="F201" s="4">
        <v>0</v>
      </c>
      <c r="G201" s="3">
        <v>0</v>
      </c>
      <c r="H201" s="3">
        <v>0</v>
      </c>
      <c r="I201" s="3">
        <v>2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1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1</v>
      </c>
      <c r="BM201" s="3">
        <v>0</v>
      </c>
    </row>
    <row r="202" spans="1:65" x14ac:dyDescent="0.25">
      <c r="A202" s="2" t="s">
        <v>86</v>
      </c>
      <c r="B202" s="4">
        <v>12</v>
      </c>
      <c r="C202" s="4">
        <v>1</v>
      </c>
      <c r="D202" s="4">
        <v>1</v>
      </c>
      <c r="E202" s="4">
        <v>3</v>
      </c>
      <c r="F202" s="4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</row>
    <row r="203" spans="1:65" x14ac:dyDescent="0.25">
      <c r="A203" s="2" t="s">
        <v>86</v>
      </c>
      <c r="B203" s="4">
        <v>12</v>
      </c>
      <c r="C203" s="4">
        <v>1</v>
      </c>
      <c r="D203" s="4">
        <v>2</v>
      </c>
      <c r="E203" s="4">
        <v>1</v>
      </c>
      <c r="F203" s="4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</row>
    <row r="204" spans="1:65" x14ac:dyDescent="0.25">
      <c r="A204" s="2" t="s">
        <v>86</v>
      </c>
      <c r="B204" s="4">
        <v>12</v>
      </c>
      <c r="C204" s="4">
        <v>1</v>
      </c>
      <c r="D204" s="4">
        <v>2</v>
      </c>
      <c r="E204" s="4">
        <v>2</v>
      </c>
      <c r="F204" s="4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</row>
    <row r="205" spans="1:65" x14ac:dyDescent="0.25">
      <c r="A205" s="2" t="s">
        <v>86</v>
      </c>
      <c r="B205" s="4">
        <v>12</v>
      </c>
      <c r="C205" s="4">
        <v>1</v>
      </c>
      <c r="D205" s="4">
        <v>2</v>
      </c>
      <c r="E205" s="4">
        <v>3</v>
      </c>
      <c r="F205" s="4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</row>
    <row r="206" spans="1:65" x14ac:dyDescent="0.25">
      <c r="A206" s="2" t="s">
        <v>86</v>
      </c>
      <c r="B206" s="4">
        <v>12</v>
      </c>
      <c r="C206" s="4">
        <v>1</v>
      </c>
      <c r="D206" s="4">
        <v>3</v>
      </c>
      <c r="E206" s="4">
        <v>1</v>
      </c>
      <c r="F206" s="4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</row>
    <row r="207" spans="1:65" x14ac:dyDescent="0.25">
      <c r="A207" s="2" t="s">
        <v>86</v>
      </c>
      <c r="B207" s="4">
        <v>12</v>
      </c>
      <c r="C207" s="4">
        <v>1</v>
      </c>
      <c r="D207" s="4">
        <v>3</v>
      </c>
      <c r="E207" s="4">
        <v>2</v>
      </c>
      <c r="F207" s="4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1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</row>
    <row r="208" spans="1:65" x14ac:dyDescent="0.25">
      <c r="A208" s="2" t="s">
        <v>86</v>
      </c>
      <c r="B208" s="4">
        <v>12</v>
      </c>
      <c r="C208" s="4">
        <v>1</v>
      </c>
      <c r="D208" s="4">
        <v>3</v>
      </c>
      <c r="E208" s="4">
        <v>3</v>
      </c>
      <c r="F208" s="4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</row>
    <row r="209" spans="1:65" x14ac:dyDescent="0.25">
      <c r="A209" s="2" t="s">
        <v>86</v>
      </c>
      <c r="B209" s="4">
        <v>12</v>
      </c>
      <c r="C209" s="4">
        <v>2</v>
      </c>
      <c r="D209" s="4">
        <v>1</v>
      </c>
      <c r="E209" s="4">
        <v>1</v>
      </c>
      <c r="F209" s="6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1</v>
      </c>
      <c r="AC209" s="3">
        <v>0</v>
      </c>
      <c r="AD209" s="3">
        <v>0</v>
      </c>
      <c r="AE209" s="3">
        <v>0</v>
      </c>
      <c r="AF209" s="3">
        <v>1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1</v>
      </c>
      <c r="BM209" s="3">
        <v>0</v>
      </c>
    </row>
    <row r="210" spans="1:65" x14ac:dyDescent="0.25">
      <c r="A210" s="2" t="s">
        <v>86</v>
      </c>
      <c r="B210" s="4">
        <v>12</v>
      </c>
      <c r="C210" s="4">
        <v>2</v>
      </c>
      <c r="D210" s="4">
        <v>1</v>
      </c>
      <c r="E210" s="4">
        <v>2</v>
      </c>
      <c r="F210" s="6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1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</row>
    <row r="211" spans="1:65" x14ac:dyDescent="0.25">
      <c r="A211" s="2" t="s">
        <v>86</v>
      </c>
      <c r="B211" s="4">
        <v>12</v>
      </c>
      <c r="C211" s="4">
        <v>2</v>
      </c>
      <c r="D211" s="4">
        <v>1</v>
      </c>
      <c r="E211" s="4">
        <v>3</v>
      </c>
      <c r="F211" s="6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1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</row>
    <row r="212" spans="1:65" x14ac:dyDescent="0.25">
      <c r="A212" s="2" t="s">
        <v>86</v>
      </c>
      <c r="B212" s="4">
        <v>12</v>
      </c>
      <c r="C212" s="4">
        <v>2</v>
      </c>
      <c r="D212" s="4">
        <v>2</v>
      </c>
      <c r="E212" s="4">
        <v>1</v>
      </c>
      <c r="F212" s="6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1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</row>
    <row r="213" spans="1:65" x14ac:dyDescent="0.25">
      <c r="A213" s="2" t="s">
        <v>86</v>
      </c>
      <c r="B213" s="4">
        <v>12</v>
      </c>
      <c r="C213" s="4">
        <v>2</v>
      </c>
      <c r="D213" s="4">
        <v>2</v>
      </c>
      <c r="E213" s="4">
        <v>2</v>
      </c>
      <c r="F213" s="6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</row>
    <row r="214" spans="1:65" x14ac:dyDescent="0.25">
      <c r="A214" s="2" t="s">
        <v>86</v>
      </c>
      <c r="B214" s="4">
        <v>12</v>
      </c>
      <c r="C214" s="4">
        <v>2</v>
      </c>
      <c r="D214" s="4">
        <v>2</v>
      </c>
      <c r="E214" s="4">
        <v>3</v>
      </c>
      <c r="F214" s="6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</row>
    <row r="215" spans="1:65" x14ac:dyDescent="0.25">
      <c r="A215" s="2" t="s">
        <v>86</v>
      </c>
      <c r="B215" s="4">
        <v>12</v>
      </c>
      <c r="C215" s="4">
        <v>2</v>
      </c>
      <c r="D215" s="4">
        <v>3</v>
      </c>
      <c r="E215" s="4">
        <v>1</v>
      </c>
      <c r="F215" s="6">
        <v>1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1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</row>
    <row r="216" spans="1:65" x14ac:dyDescent="0.25">
      <c r="A216" s="2" t="s">
        <v>86</v>
      </c>
      <c r="B216" s="4">
        <v>12</v>
      </c>
      <c r="C216" s="4">
        <v>2</v>
      </c>
      <c r="D216" s="4">
        <v>3</v>
      </c>
      <c r="E216" s="4">
        <v>2</v>
      </c>
      <c r="F216" s="6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</row>
    <row r="217" spans="1:65" x14ac:dyDescent="0.25">
      <c r="A217" s="2" t="s">
        <v>86</v>
      </c>
      <c r="B217" s="4">
        <v>12</v>
      </c>
      <c r="C217" s="4">
        <v>2</v>
      </c>
      <c r="D217" s="4">
        <v>3</v>
      </c>
      <c r="E217" s="4">
        <v>3</v>
      </c>
      <c r="F217" s="6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</row>
    <row r="218" spans="1:65" x14ac:dyDescent="0.25">
      <c r="A218" s="2" t="s">
        <v>87</v>
      </c>
      <c r="B218" s="4">
        <v>13</v>
      </c>
      <c r="C218" s="4">
        <v>1</v>
      </c>
      <c r="D218" s="4">
        <v>1</v>
      </c>
      <c r="E218" s="4">
        <v>1</v>
      </c>
      <c r="F218" s="4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1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1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</row>
    <row r="219" spans="1:65" x14ac:dyDescent="0.25">
      <c r="A219" s="2" t="s">
        <v>87</v>
      </c>
      <c r="B219" s="4">
        <v>13</v>
      </c>
      <c r="C219" s="4">
        <v>1</v>
      </c>
      <c r="D219" s="4">
        <v>1</v>
      </c>
      <c r="E219" s="4">
        <v>2</v>
      </c>
      <c r="F219" s="4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1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1</v>
      </c>
      <c r="BM219" s="3">
        <v>0</v>
      </c>
    </row>
    <row r="220" spans="1:65" x14ac:dyDescent="0.25">
      <c r="A220" s="2" t="s">
        <v>87</v>
      </c>
      <c r="B220" s="4">
        <v>13</v>
      </c>
      <c r="C220" s="4">
        <v>1</v>
      </c>
      <c r="D220" s="4">
        <v>1</v>
      </c>
      <c r="E220" s="4">
        <v>3</v>
      </c>
      <c r="F220" s="4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2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</row>
    <row r="221" spans="1:65" x14ac:dyDescent="0.25">
      <c r="A221" s="2" t="s">
        <v>87</v>
      </c>
      <c r="B221" s="4">
        <v>13</v>
      </c>
      <c r="C221" s="4">
        <v>1</v>
      </c>
      <c r="D221" s="4">
        <v>2</v>
      </c>
      <c r="E221" s="4">
        <v>1</v>
      </c>
      <c r="F221" s="4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2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1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</row>
    <row r="222" spans="1:65" x14ac:dyDescent="0.25">
      <c r="A222" s="2" t="s">
        <v>87</v>
      </c>
      <c r="B222" s="4">
        <v>13</v>
      </c>
      <c r="C222" s="4">
        <v>1</v>
      </c>
      <c r="D222" s="4">
        <v>2</v>
      </c>
      <c r="E222" s="4">
        <v>2</v>
      </c>
      <c r="F222" s="4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</row>
    <row r="223" spans="1:65" x14ac:dyDescent="0.25">
      <c r="A223" s="2" t="s">
        <v>87</v>
      </c>
      <c r="B223" s="4">
        <v>13</v>
      </c>
      <c r="C223" s="4">
        <v>1</v>
      </c>
      <c r="D223" s="4">
        <v>2</v>
      </c>
      <c r="E223" s="4">
        <v>3</v>
      </c>
      <c r="F223" s="4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</row>
    <row r="224" spans="1:65" x14ac:dyDescent="0.25">
      <c r="A224" s="2" t="s">
        <v>87</v>
      </c>
      <c r="B224" s="4">
        <v>13</v>
      </c>
      <c r="C224" s="4">
        <v>1</v>
      </c>
      <c r="D224" s="4">
        <v>3</v>
      </c>
      <c r="E224" s="4">
        <v>1</v>
      </c>
      <c r="F224" s="4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1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</row>
    <row r="225" spans="1:65" x14ac:dyDescent="0.25">
      <c r="A225" s="2" t="s">
        <v>87</v>
      </c>
      <c r="B225" s="4">
        <v>13</v>
      </c>
      <c r="C225" s="4">
        <v>1</v>
      </c>
      <c r="D225" s="4">
        <v>3</v>
      </c>
      <c r="E225" s="4">
        <v>2</v>
      </c>
      <c r="F225" s="4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</row>
    <row r="226" spans="1:65" x14ac:dyDescent="0.25">
      <c r="A226" s="2" t="s">
        <v>87</v>
      </c>
      <c r="B226" s="4">
        <v>13</v>
      </c>
      <c r="C226" s="4">
        <v>1</v>
      </c>
      <c r="D226" s="4">
        <v>3</v>
      </c>
      <c r="E226" s="4">
        <v>3</v>
      </c>
      <c r="F226" s="4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</row>
    <row r="227" spans="1:65" x14ac:dyDescent="0.25">
      <c r="A227" s="2" t="s">
        <v>87</v>
      </c>
      <c r="B227" s="4">
        <v>13</v>
      </c>
      <c r="C227" s="4">
        <v>2</v>
      </c>
      <c r="D227" s="4">
        <v>1</v>
      </c>
      <c r="E227" s="4">
        <v>1</v>
      </c>
      <c r="F227" s="6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2</v>
      </c>
      <c r="AA227" s="3">
        <v>0</v>
      </c>
      <c r="AB227" s="3">
        <v>0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3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</row>
    <row r="228" spans="1:65" x14ac:dyDescent="0.25">
      <c r="A228" s="2" t="s">
        <v>87</v>
      </c>
      <c r="B228" s="4">
        <v>13</v>
      </c>
      <c r="C228" s="4">
        <v>2</v>
      </c>
      <c r="D228" s="4">
        <v>1</v>
      </c>
      <c r="E228" s="4">
        <v>2</v>
      </c>
      <c r="F228" s="6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1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1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1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</row>
    <row r="229" spans="1:65" x14ac:dyDescent="0.25">
      <c r="A229" s="2" t="s">
        <v>87</v>
      </c>
      <c r="B229" s="4">
        <v>13</v>
      </c>
      <c r="C229" s="4">
        <v>2</v>
      </c>
      <c r="D229" s="4">
        <v>1</v>
      </c>
      <c r="E229" s="4">
        <v>3</v>
      </c>
      <c r="F229" s="6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1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</row>
    <row r="230" spans="1:65" x14ac:dyDescent="0.25">
      <c r="A230" s="2" t="s">
        <v>87</v>
      </c>
      <c r="B230" s="4">
        <v>13</v>
      </c>
      <c r="C230" s="4">
        <v>2</v>
      </c>
      <c r="D230" s="4">
        <v>2</v>
      </c>
      <c r="E230" s="4">
        <v>1</v>
      </c>
      <c r="F230" s="6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1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</row>
    <row r="231" spans="1:65" x14ac:dyDescent="0.25">
      <c r="A231" s="2" t="s">
        <v>87</v>
      </c>
      <c r="B231" s="4">
        <v>13</v>
      </c>
      <c r="C231" s="4">
        <v>2</v>
      </c>
      <c r="D231" s="4">
        <v>2</v>
      </c>
      <c r="E231" s="4">
        <v>2</v>
      </c>
      <c r="F231" s="6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1</v>
      </c>
      <c r="BM231" s="3">
        <v>0</v>
      </c>
    </row>
    <row r="232" spans="1:65" x14ac:dyDescent="0.25">
      <c r="A232" s="2" t="s">
        <v>87</v>
      </c>
      <c r="B232" s="4">
        <v>13</v>
      </c>
      <c r="C232" s="4">
        <v>2</v>
      </c>
      <c r="D232" s="4">
        <v>2</v>
      </c>
      <c r="E232" s="4">
        <v>3</v>
      </c>
      <c r="F232" s="6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</row>
    <row r="233" spans="1:65" x14ac:dyDescent="0.25">
      <c r="A233" s="2" t="s">
        <v>87</v>
      </c>
      <c r="B233" s="4">
        <v>13</v>
      </c>
      <c r="C233" s="4">
        <v>2</v>
      </c>
      <c r="D233" s="4">
        <v>3</v>
      </c>
      <c r="E233" s="4">
        <v>1</v>
      </c>
      <c r="F233" s="6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1</v>
      </c>
      <c r="BM233" s="3">
        <v>0</v>
      </c>
    </row>
    <row r="234" spans="1:65" x14ac:dyDescent="0.25">
      <c r="A234" s="2" t="s">
        <v>87</v>
      </c>
      <c r="B234" s="4">
        <v>13</v>
      </c>
      <c r="C234" s="4">
        <v>2</v>
      </c>
      <c r="D234" s="4">
        <v>3</v>
      </c>
      <c r="E234" s="4">
        <v>2</v>
      </c>
      <c r="F234" s="6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1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</row>
    <row r="235" spans="1:65" x14ac:dyDescent="0.25">
      <c r="A235" s="2" t="s">
        <v>87</v>
      </c>
      <c r="B235" s="4">
        <v>13</v>
      </c>
      <c r="C235" s="4">
        <v>2</v>
      </c>
      <c r="D235" s="4">
        <v>3</v>
      </c>
      <c r="E235" s="4">
        <v>3</v>
      </c>
      <c r="F235" s="6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</row>
    <row r="236" spans="1:65" x14ac:dyDescent="0.25">
      <c r="A236" s="2" t="s">
        <v>88</v>
      </c>
      <c r="B236" s="4">
        <v>14</v>
      </c>
      <c r="C236" s="4">
        <v>1</v>
      </c>
      <c r="D236" s="4">
        <v>1</v>
      </c>
      <c r="E236" s="4">
        <v>1</v>
      </c>
      <c r="F236" s="4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1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1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</row>
    <row r="237" spans="1:65" x14ac:dyDescent="0.25">
      <c r="A237" s="2" t="s">
        <v>88</v>
      </c>
      <c r="B237" s="4">
        <v>14</v>
      </c>
      <c r="C237" s="4">
        <v>1</v>
      </c>
      <c r="D237" s="4">
        <v>1</v>
      </c>
      <c r="E237" s="4">
        <v>2</v>
      </c>
      <c r="F237" s="4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1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2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2</v>
      </c>
      <c r="BM237" s="3">
        <v>0</v>
      </c>
    </row>
    <row r="238" spans="1:65" x14ac:dyDescent="0.25">
      <c r="A238" s="2" t="s">
        <v>88</v>
      </c>
      <c r="B238" s="4">
        <v>14</v>
      </c>
      <c r="C238" s="4">
        <v>1</v>
      </c>
      <c r="D238" s="4">
        <v>1</v>
      </c>
      <c r="E238" s="4">
        <v>3</v>
      </c>
      <c r="F238" s="4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1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</row>
    <row r="239" spans="1:65" x14ac:dyDescent="0.25">
      <c r="A239" s="2" t="s">
        <v>88</v>
      </c>
      <c r="B239" s="4">
        <v>14</v>
      </c>
      <c r="C239" s="4">
        <v>1</v>
      </c>
      <c r="D239" s="4">
        <v>2</v>
      </c>
      <c r="E239" s="4">
        <v>1</v>
      </c>
      <c r="F239" s="4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1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1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1</v>
      </c>
      <c r="BM239" s="3">
        <v>0</v>
      </c>
    </row>
    <row r="240" spans="1:65" x14ac:dyDescent="0.25">
      <c r="A240" s="2" t="s">
        <v>88</v>
      </c>
      <c r="B240" s="4">
        <v>14</v>
      </c>
      <c r="C240" s="4">
        <v>1</v>
      </c>
      <c r="D240" s="4">
        <v>2</v>
      </c>
      <c r="E240" s="4">
        <v>2</v>
      </c>
      <c r="F240" s="4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</row>
    <row r="241" spans="1:65" x14ac:dyDescent="0.25">
      <c r="A241" s="2" t="s">
        <v>88</v>
      </c>
      <c r="B241" s="4">
        <v>14</v>
      </c>
      <c r="C241" s="4">
        <v>1</v>
      </c>
      <c r="D241" s="4">
        <v>2</v>
      </c>
      <c r="E241" s="4">
        <v>3</v>
      </c>
      <c r="F241" s="4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1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1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1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</row>
    <row r="242" spans="1:65" x14ac:dyDescent="0.25">
      <c r="A242" s="2" t="s">
        <v>88</v>
      </c>
      <c r="B242" s="4">
        <v>14</v>
      </c>
      <c r="C242" s="4">
        <v>1</v>
      </c>
      <c r="D242" s="4">
        <v>3</v>
      </c>
      <c r="E242" s="4">
        <v>1</v>
      </c>
      <c r="F242" s="4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</row>
    <row r="243" spans="1:65" x14ac:dyDescent="0.25">
      <c r="A243" s="2" t="s">
        <v>88</v>
      </c>
      <c r="B243" s="4">
        <v>14</v>
      </c>
      <c r="C243" s="4">
        <v>1</v>
      </c>
      <c r="D243" s="4">
        <v>3</v>
      </c>
      <c r="E243" s="4">
        <v>2</v>
      </c>
      <c r="F243" s="4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</row>
    <row r="244" spans="1:65" x14ac:dyDescent="0.25">
      <c r="A244" s="2" t="s">
        <v>88</v>
      </c>
      <c r="B244" s="4">
        <v>14</v>
      </c>
      <c r="C244" s="4">
        <v>1</v>
      </c>
      <c r="D244" s="4">
        <v>3</v>
      </c>
      <c r="E244" s="4">
        <v>3</v>
      </c>
      <c r="F244" s="4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</row>
    <row r="245" spans="1:65" x14ac:dyDescent="0.25">
      <c r="A245" s="2" t="s">
        <v>88</v>
      </c>
      <c r="B245" s="4">
        <v>14</v>
      </c>
      <c r="C245" s="4">
        <v>2</v>
      </c>
      <c r="D245" s="4">
        <v>1</v>
      </c>
      <c r="E245" s="4">
        <v>1</v>
      </c>
      <c r="F245" s="6">
        <v>0</v>
      </c>
      <c r="G245" s="3">
        <v>2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1</v>
      </c>
      <c r="O245" s="3">
        <v>0</v>
      </c>
      <c r="P245" s="3">
        <v>0</v>
      </c>
      <c r="Q245" s="3">
        <v>0</v>
      </c>
      <c r="R245" s="3">
        <v>1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1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1</v>
      </c>
      <c r="BA245" s="3">
        <v>1</v>
      </c>
      <c r="BB245" s="3">
        <v>1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1</v>
      </c>
      <c r="BM245" s="3">
        <v>0</v>
      </c>
    </row>
    <row r="246" spans="1:65" x14ac:dyDescent="0.25">
      <c r="A246" s="2" t="s">
        <v>88</v>
      </c>
      <c r="B246" s="4">
        <v>14</v>
      </c>
      <c r="C246" s="4">
        <v>2</v>
      </c>
      <c r="D246" s="4">
        <v>1</v>
      </c>
      <c r="E246" s="4">
        <v>2</v>
      </c>
      <c r="F246" s="6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1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1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1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</row>
    <row r="247" spans="1:65" x14ac:dyDescent="0.25">
      <c r="A247" s="2" t="s">
        <v>88</v>
      </c>
      <c r="B247" s="4">
        <v>14</v>
      </c>
      <c r="C247" s="4">
        <v>2</v>
      </c>
      <c r="D247" s="4">
        <v>1</v>
      </c>
      <c r="E247" s="4">
        <v>3</v>
      </c>
      <c r="F247" s="6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1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</row>
    <row r="248" spans="1:65" x14ac:dyDescent="0.25">
      <c r="A248" s="2" t="s">
        <v>88</v>
      </c>
      <c r="B248" s="4">
        <v>14</v>
      </c>
      <c r="C248" s="4">
        <v>2</v>
      </c>
      <c r="D248" s="4">
        <v>2</v>
      </c>
      <c r="E248" s="4">
        <v>1</v>
      </c>
      <c r="F248" s="6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1</v>
      </c>
      <c r="BA248" s="3">
        <v>0</v>
      </c>
      <c r="BB248" s="3">
        <v>1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</row>
    <row r="249" spans="1:65" x14ac:dyDescent="0.25">
      <c r="A249" s="2" t="s">
        <v>88</v>
      </c>
      <c r="B249" s="4">
        <v>14</v>
      </c>
      <c r="C249" s="4">
        <v>2</v>
      </c>
      <c r="D249" s="4">
        <v>2</v>
      </c>
      <c r="E249" s="4">
        <v>2</v>
      </c>
      <c r="F249" s="6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1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</row>
    <row r="250" spans="1:65" x14ac:dyDescent="0.25">
      <c r="A250" s="2" t="s">
        <v>88</v>
      </c>
      <c r="B250" s="4">
        <v>14</v>
      </c>
      <c r="C250" s="4">
        <v>2</v>
      </c>
      <c r="D250" s="4">
        <v>2</v>
      </c>
      <c r="E250" s="4">
        <v>3</v>
      </c>
      <c r="F250" s="6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</row>
    <row r="251" spans="1:65" x14ac:dyDescent="0.25">
      <c r="A251" s="2" t="s">
        <v>88</v>
      </c>
      <c r="B251" s="4">
        <v>14</v>
      </c>
      <c r="C251" s="4">
        <v>2</v>
      </c>
      <c r="D251" s="4">
        <v>3</v>
      </c>
      <c r="E251" s="4">
        <v>1</v>
      </c>
      <c r="F251" s="6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</row>
    <row r="252" spans="1:65" x14ac:dyDescent="0.25">
      <c r="A252" s="2" t="s">
        <v>88</v>
      </c>
      <c r="B252" s="4">
        <v>14</v>
      </c>
      <c r="C252" s="4">
        <v>2</v>
      </c>
      <c r="D252" s="4">
        <v>3</v>
      </c>
      <c r="E252" s="4">
        <v>2</v>
      </c>
      <c r="F252" s="6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1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</row>
    <row r="253" spans="1:65" x14ac:dyDescent="0.25">
      <c r="A253" s="2" t="s">
        <v>88</v>
      </c>
      <c r="B253" s="4">
        <v>14</v>
      </c>
      <c r="C253" s="4">
        <v>2</v>
      </c>
      <c r="D253" s="4">
        <v>3</v>
      </c>
      <c r="E253" s="4">
        <v>3</v>
      </c>
      <c r="F253" s="6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</row>
    <row r="254" spans="1:65" x14ac:dyDescent="0.25">
      <c r="A254" s="2" t="s">
        <v>89</v>
      </c>
      <c r="B254" s="4">
        <v>15</v>
      </c>
      <c r="C254" s="4">
        <v>1</v>
      </c>
      <c r="D254" s="4">
        <v>1</v>
      </c>
      <c r="E254" s="4">
        <v>1</v>
      </c>
      <c r="F254" s="4">
        <v>0</v>
      </c>
      <c r="G254" s="3">
        <v>1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1</v>
      </c>
      <c r="BA254" s="3">
        <v>2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1</v>
      </c>
      <c r="BI254" s="3">
        <v>0</v>
      </c>
      <c r="BJ254" s="3">
        <v>0</v>
      </c>
      <c r="BK254" s="3">
        <v>0</v>
      </c>
      <c r="BL254" s="3">
        <v>1</v>
      </c>
      <c r="BM254" s="3">
        <v>0</v>
      </c>
    </row>
    <row r="255" spans="1:65" x14ac:dyDescent="0.25">
      <c r="A255" s="2" t="s">
        <v>89</v>
      </c>
      <c r="B255" s="4">
        <v>15</v>
      </c>
      <c r="C255" s="4">
        <v>1</v>
      </c>
      <c r="D255" s="4">
        <v>1</v>
      </c>
      <c r="E255" s="4">
        <v>2</v>
      </c>
      <c r="F255" s="4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1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1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1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2</v>
      </c>
      <c r="BA255" s="3">
        <v>0</v>
      </c>
      <c r="BB255" s="3">
        <v>1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</row>
    <row r="256" spans="1:65" x14ac:dyDescent="0.25">
      <c r="A256" s="2" t="s">
        <v>89</v>
      </c>
      <c r="B256" s="4">
        <v>15</v>
      </c>
      <c r="C256" s="4">
        <v>1</v>
      </c>
      <c r="D256" s="4">
        <v>1</v>
      </c>
      <c r="E256" s="4">
        <v>3</v>
      </c>
      <c r="F256" s="4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</row>
    <row r="257" spans="1:65" x14ac:dyDescent="0.25">
      <c r="A257" s="2" t="s">
        <v>89</v>
      </c>
      <c r="B257" s="4">
        <v>15</v>
      </c>
      <c r="C257" s="4">
        <v>1</v>
      </c>
      <c r="D257" s="4">
        <v>2</v>
      </c>
      <c r="E257" s="4">
        <v>1</v>
      </c>
      <c r="F257" s="4">
        <v>0</v>
      </c>
      <c r="G257" s="3">
        <v>0</v>
      </c>
      <c r="H257" s="3">
        <v>0</v>
      </c>
      <c r="I257" s="3">
        <v>1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2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2</v>
      </c>
      <c r="BM257" s="3">
        <v>0</v>
      </c>
    </row>
    <row r="258" spans="1:65" x14ac:dyDescent="0.25">
      <c r="A258" s="2" t="s">
        <v>89</v>
      </c>
      <c r="B258" s="4">
        <v>15</v>
      </c>
      <c r="C258" s="4">
        <v>1</v>
      </c>
      <c r="D258" s="4">
        <v>2</v>
      </c>
      <c r="E258" s="4">
        <v>2</v>
      </c>
      <c r="F258" s="4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1</v>
      </c>
      <c r="BM258" s="3">
        <v>0</v>
      </c>
    </row>
    <row r="259" spans="1:65" x14ac:dyDescent="0.25">
      <c r="A259" s="2" t="s">
        <v>89</v>
      </c>
      <c r="B259" s="4">
        <v>15</v>
      </c>
      <c r="C259" s="4">
        <v>1</v>
      </c>
      <c r="D259" s="4">
        <v>2</v>
      </c>
      <c r="E259" s="4">
        <v>3</v>
      </c>
      <c r="F259" s="4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</row>
    <row r="260" spans="1:65" x14ac:dyDescent="0.25">
      <c r="A260" s="2" t="s">
        <v>89</v>
      </c>
      <c r="B260" s="4">
        <v>15</v>
      </c>
      <c r="C260" s="4">
        <v>1</v>
      </c>
      <c r="D260" s="4">
        <v>3</v>
      </c>
      <c r="E260" s="4">
        <v>1</v>
      </c>
      <c r="F260" s="4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1</v>
      </c>
      <c r="V260" s="3">
        <v>0</v>
      </c>
      <c r="W260" s="3">
        <v>0</v>
      </c>
      <c r="X260" s="3">
        <v>0</v>
      </c>
      <c r="Y260" s="3">
        <v>1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1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</row>
    <row r="261" spans="1:65" x14ac:dyDescent="0.25">
      <c r="A261" s="2" t="s">
        <v>89</v>
      </c>
      <c r="B261" s="4">
        <v>15</v>
      </c>
      <c r="C261" s="4">
        <v>1</v>
      </c>
      <c r="D261" s="4">
        <v>3</v>
      </c>
      <c r="E261" s="4">
        <v>2</v>
      </c>
      <c r="F261" s="4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1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</row>
    <row r="262" spans="1:65" x14ac:dyDescent="0.25">
      <c r="A262" s="2" t="s">
        <v>89</v>
      </c>
      <c r="B262" s="4">
        <v>15</v>
      </c>
      <c r="C262" s="4">
        <v>1</v>
      </c>
      <c r="D262" s="4">
        <v>3</v>
      </c>
      <c r="E262" s="4">
        <v>3</v>
      </c>
      <c r="F262" s="4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</row>
    <row r="263" spans="1:65" x14ac:dyDescent="0.25">
      <c r="A263" s="2" t="s">
        <v>89</v>
      </c>
      <c r="B263" s="4">
        <v>15</v>
      </c>
      <c r="C263" s="4">
        <v>2</v>
      </c>
      <c r="D263" s="4">
        <v>1</v>
      </c>
      <c r="E263" s="4">
        <v>1</v>
      </c>
      <c r="F263" s="6">
        <v>0</v>
      </c>
      <c r="G263" s="3">
        <v>2</v>
      </c>
      <c r="H263" s="3">
        <v>0</v>
      </c>
      <c r="I263" s="3">
        <v>1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1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1</v>
      </c>
      <c r="BA263" s="3">
        <v>1</v>
      </c>
      <c r="BB263" s="3">
        <v>2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3</v>
      </c>
      <c r="BI263" s="3">
        <v>0</v>
      </c>
      <c r="BJ263" s="3">
        <v>0</v>
      </c>
      <c r="BK263" s="3">
        <v>0</v>
      </c>
      <c r="BL263" s="3">
        <v>1</v>
      </c>
      <c r="BM263" s="3">
        <v>0</v>
      </c>
    </row>
    <row r="264" spans="1:65" x14ac:dyDescent="0.25">
      <c r="A264" s="2" t="s">
        <v>89</v>
      </c>
      <c r="B264" s="4">
        <v>15</v>
      </c>
      <c r="C264" s="4">
        <v>2</v>
      </c>
      <c r="D264" s="4">
        <v>1</v>
      </c>
      <c r="E264" s="4">
        <v>2</v>
      </c>
      <c r="F264" s="6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</row>
    <row r="265" spans="1:65" x14ac:dyDescent="0.25">
      <c r="A265" s="2" t="s">
        <v>89</v>
      </c>
      <c r="B265" s="4">
        <v>15</v>
      </c>
      <c r="C265" s="4">
        <v>2</v>
      </c>
      <c r="D265" s="4">
        <v>1</v>
      </c>
      <c r="E265" s="4">
        <v>3</v>
      </c>
      <c r="F265" s="6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</row>
    <row r="266" spans="1:65" x14ac:dyDescent="0.25">
      <c r="A266" s="2" t="s">
        <v>89</v>
      </c>
      <c r="B266" s="4">
        <v>15</v>
      </c>
      <c r="C266" s="4">
        <v>2</v>
      </c>
      <c r="D266" s="4">
        <v>2</v>
      </c>
      <c r="E266" s="4">
        <v>1</v>
      </c>
      <c r="F266" s="6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</row>
    <row r="267" spans="1:65" x14ac:dyDescent="0.25">
      <c r="A267" s="2" t="s">
        <v>89</v>
      </c>
      <c r="B267" s="4">
        <v>15</v>
      </c>
      <c r="C267" s="4">
        <v>2</v>
      </c>
      <c r="D267" s="4">
        <v>2</v>
      </c>
      <c r="E267" s="4">
        <v>2</v>
      </c>
      <c r="F267" s="6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1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1</v>
      </c>
      <c r="BM267" s="3">
        <v>0</v>
      </c>
    </row>
    <row r="268" spans="1:65" x14ac:dyDescent="0.25">
      <c r="A268" s="2" t="s">
        <v>89</v>
      </c>
      <c r="B268" s="4">
        <v>15</v>
      </c>
      <c r="C268" s="4">
        <v>2</v>
      </c>
      <c r="D268" s="4">
        <v>2</v>
      </c>
      <c r="E268" s="4">
        <v>3</v>
      </c>
      <c r="F268" s="6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</row>
    <row r="269" spans="1:65" x14ac:dyDescent="0.25">
      <c r="A269" s="2" t="s">
        <v>89</v>
      </c>
      <c r="B269" s="4">
        <v>15</v>
      </c>
      <c r="C269" s="4">
        <v>2</v>
      </c>
      <c r="D269" s="4">
        <v>3</v>
      </c>
      <c r="E269" s="4">
        <v>1</v>
      </c>
      <c r="F269" s="6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1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1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1</v>
      </c>
      <c r="BM269" s="3">
        <v>0</v>
      </c>
    </row>
    <row r="270" spans="1:65" x14ac:dyDescent="0.25">
      <c r="A270" s="2" t="s">
        <v>89</v>
      </c>
      <c r="B270" s="4">
        <v>15</v>
      </c>
      <c r="C270" s="4">
        <v>2</v>
      </c>
      <c r="D270" s="4">
        <v>3</v>
      </c>
      <c r="E270" s="4">
        <v>2</v>
      </c>
      <c r="F270" s="6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1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1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1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</row>
    <row r="271" spans="1:65" x14ac:dyDescent="0.25">
      <c r="A271" s="2" t="s">
        <v>89</v>
      </c>
      <c r="B271" s="4">
        <v>15</v>
      </c>
      <c r="C271" s="4">
        <v>2</v>
      </c>
      <c r="D271" s="4">
        <v>3</v>
      </c>
      <c r="E271" s="4">
        <v>3</v>
      </c>
      <c r="F271" s="6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</row>
    <row r="272" spans="1:65" x14ac:dyDescent="0.25">
      <c r="A272" s="2" t="s">
        <v>90</v>
      </c>
      <c r="B272" s="4">
        <v>16</v>
      </c>
      <c r="C272" s="4">
        <v>1</v>
      </c>
      <c r="D272" s="4">
        <v>1</v>
      </c>
      <c r="E272" s="4">
        <v>1</v>
      </c>
      <c r="F272" s="4">
        <v>0</v>
      </c>
      <c r="G272" s="3">
        <v>1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2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1</v>
      </c>
      <c r="BB272" s="3">
        <v>0</v>
      </c>
      <c r="BC272" s="3">
        <v>1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</row>
    <row r="273" spans="1:65" x14ac:dyDescent="0.25">
      <c r="A273" s="2" t="s">
        <v>90</v>
      </c>
      <c r="B273" s="4">
        <v>16</v>
      </c>
      <c r="C273" s="4">
        <v>1</v>
      </c>
      <c r="D273" s="4">
        <v>1</v>
      </c>
      <c r="E273" s="4">
        <v>2</v>
      </c>
      <c r="F273" s="4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1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1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2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</row>
    <row r="274" spans="1:65" x14ac:dyDescent="0.25">
      <c r="A274" s="2" t="s">
        <v>90</v>
      </c>
      <c r="B274" s="4">
        <v>16</v>
      </c>
      <c r="C274" s="4">
        <v>1</v>
      </c>
      <c r="D274" s="4">
        <v>1</v>
      </c>
      <c r="E274" s="4">
        <v>3</v>
      </c>
      <c r="F274" s="4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2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</row>
    <row r="275" spans="1:65" x14ac:dyDescent="0.25">
      <c r="A275" s="2" t="s">
        <v>90</v>
      </c>
      <c r="B275" s="4">
        <v>16</v>
      </c>
      <c r="C275" s="4">
        <v>1</v>
      </c>
      <c r="D275" s="4">
        <v>2</v>
      </c>
      <c r="E275" s="4">
        <v>1</v>
      </c>
      <c r="F275" s="4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1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</row>
    <row r="276" spans="1:65" x14ac:dyDescent="0.25">
      <c r="A276" s="2" t="s">
        <v>90</v>
      </c>
      <c r="B276" s="4">
        <v>16</v>
      </c>
      <c r="C276" s="4">
        <v>1</v>
      </c>
      <c r="D276" s="4">
        <v>2</v>
      </c>
      <c r="E276" s="4">
        <v>2</v>
      </c>
      <c r="F276" s="4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1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1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2</v>
      </c>
      <c r="BM276" s="3">
        <v>0</v>
      </c>
    </row>
    <row r="277" spans="1:65" x14ac:dyDescent="0.25">
      <c r="A277" s="2" t="s">
        <v>90</v>
      </c>
      <c r="B277" s="4">
        <v>16</v>
      </c>
      <c r="C277" s="4">
        <v>1</v>
      </c>
      <c r="D277" s="4">
        <v>2</v>
      </c>
      <c r="E277" s="4">
        <v>3</v>
      </c>
      <c r="F277" s="4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1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</row>
    <row r="278" spans="1:65" x14ac:dyDescent="0.25">
      <c r="A278" s="2" t="s">
        <v>90</v>
      </c>
      <c r="B278" s="4">
        <v>16</v>
      </c>
      <c r="C278" s="4">
        <v>1</v>
      </c>
      <c r="D278" s="4">
        <v>3</v>
      </c>
      <c r="E278" s="4">
        <v>1</v>
      </c>
      <c r="F278" s="4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1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1</v>
      </c>
      <c r="BA278" s="3">
        <v>0</v>
      </c>
      <c r="BB278" s="3">
        <v>1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</row>
    <row r="279" spans="1:65" x14ac:dyDescent="0.25">
      <c r="A279" s="2" t="s">
        <v>90</v>
      </c>
      <c r="B279" s="4">
        <v>16</v>
      </c>
      <c r="C279" s="4">
        <v>1</v>
      </c>
      <c r="D279" s="4">
        <v>3</v>
      </c>
      <c r="E279" s="4">
        <v>2</v>
      </c>
      <c r="F279" s="4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</row>
    <row r="280" spans="1:65" x14ac:dyDescent="0.25">
      <c r="A280" s="2" t="s">
        <v>90</v>
      </c>
      <c r="B280" s="4">
        <v>16</v>
      </c>
      <c r="C280" s="4">
        <v>1</v>
      </c>
      <c r="D280" s="4">
        <v>3</v>
      </c>
      <c r="E280" s="4">
        <v>3</v>
      </c>
      <c r="F280" s="4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</row>
    <row r="281" spans="1:65" x14ac:dyDescent="0.25">
      <c r="A281" s="2" t="s">
        <v>90</v>
      </c>
      <c r="B281" s="4">
        <v>16</v>
      </c>
      <c r="C281" s="4">
        <v>2</v>
      </c>
      <c r="D281" s="4">
        <v>1</v>
      </c>
      <c r="E281" s="4">
        <v>1</v>
      </c>
      <c r="F281" s="6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1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1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2</v>
      </c>
      <c r="BM281" s="3">
        <v>0</v>
      </c>
    </row>
    <row r="282" spans="1:65" x14ac:dyDescent="0.25">
      <c r="A282" s="2" t="s">
        <v>90</v>
      </c>
      <c r="B282" s="4">
        <v>16</v>
      </c>
      <c r="C282" s="4">
        <v>2</v>
      </c>
      <c r="D282" s="4">
        <v>1</v>
      </c>
      <c r="E282" s="4">
        <v>2</v>
      </c>
      <c r="F282" s="6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1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</row>
    <row r="283" spans="1:65" x14ac:dyDescent="0.25">
      <c r="A283" s="2" t="s">
        <v>90</v>
      </c>
      <c r="B283" s="4">
        <v>16</v>
      </c>
      <c r="C283" s="4">
        <v>2</v>
      </c>
      <c r="D283" s="4">
        <v>1</v>
      </c>
      <c r="E283" s="4">
        <v>3</v>
      </c>
      <c r="F283" s="6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</row>
    <row r="284" spans="1:65" x14ac:dyDescent="0.25">
      <c r="A284" s="2" t="s">
        <v>90</v>
      </c>
      <c r="B284" s="4">
        <v>16</v>
      </c>
      <c r="C284" s="4">
        <v>2</v>
      </c>
      <c r="D284" s="4">
        <v>2</v>
      </c>
      <c r="E284" s="4">
        <v>1</v>
      </c>
      <c r="F284" s="6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1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</row>
    <row r="285" spans="1:65" x14ac:dyDescent="0.25">
      <c r="A285" s="2" t="s">
        <v>90</v>
      </c>
      <c r="B285" s="4">
        <v>16</v>
      </c>
      <c r="C285" s="4">
        <v>2</v>
      </c>
      <c r="D285" s="4">
        <v>2</v>
      </c>
      <c r="E285" s="4">
        <v>2</v>
      </c>
      <c r="F285" s="6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1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1</v>
      </c>
      <c r="BA285" s="3">
        <v>0</v>
      </c>
      <c r="BB285" s="3">
        <v>1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</row>
    <row r="286" spans="1:65" x14ac:dyDescent="0.25">
      <c r="A286" s="2" t="s">
        <v>90</v>
      </c>
      <c r="B286" s="4">
        <v>16</v>
      </c>
      <c r="C286" s="4">
        <v>2</v>
      </c>
      <c r="D286" s="4">
        <v>2</v>
      </c>
      <c r="E286" s="4">
        <v>3</v>
      </c>
      <c r="F286" s="6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</row>
    <row r="287" spans="1:65" x14ac:dyDescent="0.25">
      <c r="A287" s="2" t="s">
        <v>90</v>
      </c>
      <c r="B287" s="4">
        <v>16</v>
      </c>
      <c r="C287" s="4">
        <v>2</v>
      </c>
      <c r="D287" s="4">
        <v>3</v>
      </c>
      <c r="E287" s="4">
        <v>1</v>
      </c>
      <c r="F287" s="6">
        <v>0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1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1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</row>
    <row r="288" spans="1:65" x14ac:dyDescent="0.25">
      <c r="A288" s="2" t="s">
        <v>90</v>
      </c>
      <c r="B288" s="4">
        <v>16</v>
      </c>
      <c r="C288" s="4">
        <v>2</v>
      </c>
      <c r="D288" s="4">
        <v>3</v>
      </c>
      <c r="E288" s="4">
        <v>2</v>
      </c>
      <c r="F288" s="6">
        <v>0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1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</row>
    <row r="289" spans="1:65" x14ac:dyDescent="0.25">
      <c r="A289" s="2" t="s">
        <v>90</v>
      </c>
      <c r="B289" s="4">
        <v>16</v>
      </c>
      <c r="C289" s="4">
        <v>2</v>
      </c>
      <c r="D289" s="4">
        <v>3</v>
      </c>
      <c r="E289" s="4">
        <v>3</v>
      </c>
      <c r="F289" s="6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</row>
    <row r="290" spans="1:65" x14ac:dyDescent="0.25">
      <c r="A290" s="2" t="s">
        <v>91</v>
      </c>
      <c r="B290" s="4">
        <v>17</v>
      </c>
      <c r="C290" s="4">
        <v>1</v>
      </c>
      <c r="D290" s="4">
        <v>1</v>
      </c>
      <c r="E290" s="4">
        <v>1</v>
      </c>
      <c r="F290" s="4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1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1</v>
      </c>
      <c r="BM290" s="3">
        <v>0</v>
      </c>
    </row>
    <row r="291" spans="1:65" x14ac:dyDescent="0.25">
      <c r="A291" s="2" t="s">
        <v>91</v>
      </c>
      <c r="B291" s="4">
        <v>17</v>
      </c>
      <c r="C291" s="4">
        <v>1</v>
      </c>
      <c r="D291" s="4">
        <v>1</v>
      </c>
      <c r="E291" s="4">
        <v>2</v>
      </c>
      <c r="F291" s="4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1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1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1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1</v>
      </c>
      <c r="BM291" s="3">
        <v>0</v>
      </c>
    </row>
    <row r="292" spans="1:65" x14ac:dyDescent="0.25">
      <c r="A292" s="2" t="s">
        <v>91</v>
      </c>
      <c r="B292" s="4">
        <v>17</v>
      </c>
      <c r="C292" s="4">
        <v>1</v>
      </c>
      <c r="D292" s="4">
        <v>1</v>
      </c>
      <c r="E292" s="4">
        <v>3</v>
      </c>
      <c r="F292" s="4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1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1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</row>
    <row r="293" spans="1:65" x14ac:dyDescent="0.25">
      <c r="A293" s="2" t="s">
        <v>91</v>
      </c>
      <c r="B293" s="4">
        <v>17</v>
      </c>
      <c r="C293" s="4">
        <v>1</v>
      </c>
      <c r="D293" s="4">
        <v>2</v>
      </c>
      <c r="E293" s="4">
        <v>1</v>
      </c>
      <c r="F293" s="4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</row>
    <row r="294" spans="1:65" x14ac:dyDescent="0.25">
      <c r="A294" s="2" t="s">
        <v>91</v>
      </c>
      <c r="B294" s="4">
        <v>17</v>
      </c>
      <c r="C294" s="4">
        <v>1</v>
      </c>
      <c r="D294" s="4">
        <v>2</v>
      </c>
      <c r="E294" s="4">
        <v>2</v>
      </c>
      <c r="F294" s="4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</row>
    <row r="295" spans="1:65" x14ac:dyDescent="0.25">
      <c r="A295" s="2" t="s">
        <v>91</v>
      </c>
      <c r="B295" s="4">
        <v>17</v>
      </c>
      <c r="C295" s="4">
        <v>1</v>
      </c>
      <c r="D295" s="4">
        <v>2</v>
      </c>
      <c r="E295" s="4">
        <v>3</v>
      </c>
      <c r="F295" s="4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1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</row>
    <row r="296" spans="1:65" x14ac:dyDescent="0.25">
      <c r="A296" s="2" t="s">
        <v>91</v>
      </c>
      <c r="B296" s="4">
        <v>17</v>
      </c>
      <c r="C296" s="4">
        <v>1</v>
      </c>
      <c r="D296" s="4">
        <v>3</v>
      </c>
      <c r="E296" s="4">
        <v>1</v>
      </c>
      <c r="F296" s="4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</row>
    <row r="297" spans="1:65" x14ac:dyDescent="0.25">
      <c r="A297" s="2" t="s">
        <v>91</v>
      </c>
      <c r="B297" s="4">
        <v>17</v>
      </c>
      <c r="C297" s="4">
        <v>1</v>
      </c>
      <c r="D297" s="4">
        <v>3</v>
      </c>
      <c r="E297" s="4">
        <v>2</v>
      </c>
      <c r="F297" s="4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</row>
    <row r="298" spans="1:65" x14ac:dyDescent="0.25">
      <c r="A298" s="2" t="s">
        <v>91</v>
      </c>
      <c r="B298" s="4">
        <v>17</v>
      </c>
      <c r="C298" s="4">
        <v>1</v>
      </c>
      <c r="D298" s="4">
        <v>3</v>
      </c>
      <c r="E298" s="4">
        <v>3</v>
      </c>
      <c r="F298" s="4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1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</row>
    <row r="299" spans="1:65" x14ac:dyDescent="0.25">
      <c r="A299" s="2" t="s">
        <v>91</v>
      </c>
      <c r="B299" s="4">
        <v>17</v>
      </c>
      <c r="C299" s="4">
        <v>2</v>
      </c>
      <c r="D299" s="4">
        <v>1</v>
      </c>
      <c r="E299" s="4">
        <v>1</v>
      </c>
      <c r="F299" s="6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</row>
    <row r="300" spans="1:65" x14ac:dyDescent="0.25">
      <c r="A300" s="2" t="s">
        <v>91</v>
      </c>
      <c r="B300" s="4">
        <v>17</v>
      </c>
      <c r="C300" s="4">
        <v>2</v>
      </c>
      <c r="D300" s="4">
        <v>1</v>
      </c>
      <c r="E300" s="4">
        <v>2</v>
      </c>
      <c r="F300" s="6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1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1</v>
      </c>
      <c r="Z300" s="3">
        <v>0</v>
      </c>
      <c r="AA300" s="3">
        <v>0</v>
      </c>
      <c r="AB300" s="3">
        <v>0</v>
      </c>
      <c r="AC300" s="3">
        <v>0</v>
      </c>
      <c r="AD300" s="3">
        <v>1</v>
      </c>
      <c r="AE300" s="3">
        <v>0</v>
      </c>
      <c r="AF300" s="3">
        <v>1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1</v>
      </c>
      <c r="BM300" s="3">
        <v>0</v>
      </c>
    </row>
    <row r="301" spans="1:65" x14ac:dyDescent="0.25">
      <c r="A301" s="2" t="s">
        <v>91</v>
      </c>
      <c r="B301" s="4">
        <v>17</v>
      </c>
      <c r="C301" s="4">
        <v>2</v>
      </c>
      <c r="D301" s="4">
        <v>1</v>
      </c>
      <c r="E301" s="4">
        <v>3</v>
      </c>
      <c r="F301" s="6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1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1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</row>
    <row r="302" spans="1:65" x14ac:dyDescent="0.25">
      <c r="A302" s="2" t="s">
        <v>91</v>
      </c>
      <c r="B302" s="4">
        <v>17</v>
      </c>
      <c r="C302" s="4">
        <v>2</v>
      </c>
      <c r="D302" s="4">
        <v>2</v>
      </c>
      <c r="E302" s="4">
        <v>1</v>
      </c>
      <c r="F302" s="6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1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1</v>
      </c>
      <c r="BM302" s="3">
        <v>0</v>
      </c>
    </row>
    <row r="303" spans="1:65" x14ac:dyDescent="0.25">
      <c r="A303" s="2" t="s">
        <v>91</v>
      </c>
      <c r="B303" s="4">
        <v>17</v>
      </c>
      <c r="C303" s="4">
        <v>2</v>
      </c>
      <c r="D303" s="4">
        <v>2</v>
      </c>
      <c r="E303" s="4">
        <v>2</v>
      </c>
      <c r="F303" s="6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1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1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</row>
    <row r="304" spans="1:65" x14ac:dyDescent="0.25">
      <c r="A304" s="2" t="s">
        <v>91</v>
      </c>
      <c r="B304" s="4">
        <v>17</v>
      </c>
      <c r="C304" s="4">
        <v>2</v>
      </c>
      <c r="D304" s="4">
        <v>2</v>
      </c>
      <c r="E304" s="4">
        <v>3</v>
      </c>
      <c r="F304" s="6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</row>
    <row r="305" spans="1:65" x14ac:dyDescent="0.25">
      <c r="A305" s="2" t="s">
        <v>91</v>
      </c>
      <c r="B305" s="4">
        <v>17</v>
      </c>
      <c r="C305" s="4">
        <v>2</v>
      </c>
      <c r="D305" s="4">
        <v>3</v>
      </c>
      <c r="E305" s="4">
        <v>1</v>
      </c>
      <c r="F305" s="6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</row>
    <row r="306" spans="1:65" x14ac:dyDescent="0.25">
      <c r="A306" s="2" t="s">
        <v>91</v>
      </c>
      <c r="B306" s="4">
        <v>17</v>
      </c>
      <c r="C306" s="4">
        <v>2</v>
      </c>
      <c r="D306" s="4">
        <v>3</v>
      </c>
      <c r="E306" s="4">
        <v>2</v>
      </c>
      <c r="F306" s="6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1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</row>
    <row r="307" spans="1:65" x14ac:dyDescent="0.25">
      <c r="A307" s="2" t="s">
        <v>91</v>
      </c>
      <c r="B307" s="4">
        <v>17</v>
      </c>
      <c r="C307" s="4">
        <v>2</v>
      </c>
      <c r="D307" s="4">
        <v>3</v>
      </c>
      <c r="E307" s="4">
        <v>3</v>
      </c>
      <c r="F307" s="6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1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</row>
    <row r="308" spans="1:65" x14ac:dyDescent="0.25">
      <c r="A308" s="2" t="s">
        <v>92</v>
      </c>
      <c r="B308" s="4">
        <v>18</v>
      </c>
      <c r="C308" s="4">
        <v>1</v>
      </c>
      <c r="D308" s="4">
        <v>1</v>
      </c>
      <c r="E308" s="4">
        <v>1</v>
      </c>
      <c r="F308" s="4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1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1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1</v>
      </c>
      <c r="BI308" s="3">
        <v>0</v>
      </c>
      <c r="BJ308" s="3">
        <v>0</v>
      </c>
      <c r="BK308" s="3">
        <v>0</v>
      </c>
      <c r="BL308" s="3">
        <v>1</v>
      </c>
      <c r="BM308" s="3">
        <v>0</v>
      </c>
    </row>
    <row r="309" spans="1:65" x14ac:dyDescent="0.25">
      <c r="A309" s="2" t="s">
        <v>92</v>
      </c>
      <c r="B309" s="4">
        <v>18</v>
      </c>
      <c r="C309" s="4">
        <v>1</v>
      </c>
      <c r="D309" s="4">
        <v>1</v>
      </c>
      <c r="E309" s="4">
        <v>2</v>
      </c>
      <c r="F309" s="4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1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1</v>
      </c>
      <c r="BA309" s="3">
        <v>1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</row>
    <row r="310" spans="1:65" x14ac:dyDescent="0.25">
      <c r="A310" s="2" t="s">
        <v>92</v>
      </c>
      <c r="B310" s="4">
        <v>18</v>
      </c>
      <c r="C310" s="4">
        <v>1</v>
      </c>
      <c r="D310" s="4">
        <v>1</v>
      </c>
      <c r="E310" s="4">
        <v>3</v>
      </c>
      <c r="F310" s="4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</row>
    <row r="311" spans="1:65" x14ac:dyDescent="0.25">
      <c r="A311" s="2" t="s">
        <v>92</v>
      </c>
      <c r="B311" s="4">
        <v>18</v>
      </c>
      <c r="C311" s="4">
        <v>1</v>
      </c>
      <c r="D311" s="4">
        <v>2</v>
      </c>
      <c r="E311" s="4">
        <v>1</v>
      </c>
      <c r="F311" s="4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</row>
    <row r="312" spans="1:65" x14ac:dyDescent="0.25">
      <c r="A312" s="2" t="s">
        <v>92</v>
      </c>
      <c r="B312" s="4">
        <v>18</v>
      </c>
      <c r="C312" s="4">
        <v>1</v>
      </c>
      <c r="D312" s="4">
        <v>2</v>
      </c>
      <c r="E312" s="4">
        <v>2</v>
      </c>
      <c r="F312" s="4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</row>
    <row r="313" spans="1:65" x14ac:dyDescent="0.25">
      <c r="A313" s="2" t="s">
        <v>92</v>
      </c>
      <c r="B313" s="4">
        <v>18</v>
      </c>
      <c r="C313" s="4">
        <v>1</v>
      </c>
      <c r="D313" s="4">
        <v>2</v>
      </c>
      <c r="E313" s="4">
        <v>3</v>
      </c>
      <c r="F313" s="4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</row>
    <row r="314" spans="1:65" x14ac:dyDescent="0.25">
      <c r="A314" s="2" t="s">
        <v>92</v>
      </c>
      <c r="B314" s="4">
        <v>18</v>
      </c>
      <c r="C314" s="4">
        <v>1</v>
      </c>
      <c r="D314" s="4">
        <v>3</v>
      </c>
      <c r="E314" s="4">
        <v>1</v>
      </c>
      <c r="F314" s="4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1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</row>
    <row r="315" spans="1:65" x14ac:dyDescent="0.25">
      <c r="A315" s="2" t="s">
        <v>92</v>
      </c>
      <c r="B315" s="4">
        <v>18</v>
      </c>
      <c r="C315" s="4">
        <v>1</v>
      </c>
      <c r="D315" s="4">
        <v>3</v>
      </c>
      <c r="E315" s="4">
        <v>2</v>
      </c>
      <c r="F315" s="4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1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</row>
    <row r="316" spans="1:65" x14ac:dyDescent="0.25">
      <c r="A316" s="2" t="s">
        <v>92</v>
      </c>
      <c r="B316" s="4">
        <v>18</v>
      </c>
      <c r="C316" s="4">
        <v>1</v>
      </c>
      <c r="D316" s="4">
        <v>3</v>
      </c>
      <c r="E316" s="4">
        <v>3</v>
      </c>
      <c r="F316" s="4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</row>
    <row r="317" spans="1:65" x14ac:dyDescent="0.25">
      <c r="A317" s="2" t="s">
        <v>92</v>
      </c>
      <c r="B317" s="4">
        <v>18</v>
      </c>
      <c r="C317" s="4">
        <v>2</v>
      </c>
      <c r="D317" s="4">
        <v>1</v>
      </c>
      <c r="E317" s="4">
        <v>1</v>
      </c>
      <c r="F317" s="6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1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1</v>
      </c>
      <c r="BI317" s="3">
        <v>0</v>
      </c>
      <c r="BJ317" s="3">
        <v>0</v>
      </c>
      <c r="BK317" s="3">
        <v>0</v>
      </c>
      <c r="BL317" s="3">
        <v>1</v>
      </c>
      <c r="BM317" s="3">
        <v>0</v>
      </c>
    </row>
    <row r="318" spans="1:65" x14ac:dyDescent="0.25">
      <c r="A318" s="2" t="s">
        <v>92</v>
      </c>
      <c r="B318" s="4">
        <v>18</v>
      </c>
      <c r="C318" s="4">
        <v>2</v>
      </c>
      <c r="D318" s="4">
        <v>1</v>
      </c>
      <c r="E318" s="4">
        <v>2</v>
      </c>
      <c r="F318" s="6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1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1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1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</row>
    <row r="319" spans="1:65" x14ac:dyDescent="0.25">
      <c r="A319" s="2" t="s">
        <v>92</v>
      </c>
      <c r="B319" s="4">
        <v>18</v>
      </c>
      <c r="C319" s="4">
        <v>2</v>
      </c>
      <c r="D319" s="4">
        <v>1</v>
      </c>
      <c r="E319" s="4">
        <v>3</v>
      </c>
      <c r="F319" s="6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</row>
    <row r="320" spans="1:65" x14ac:dyDescent="0.25">
      <c r="A320" s="2" t="s">
        <v>92</v>
      </c>
      <c r="B320" s="4">
        <v>18</v>
      </c>
      <c r="C320" s="4">
        <v>2</v>
      </c>
      <c r="D320" s="4">
        <v>2</v>
      </c>
      <c r="E320" s="4">
        <v>1</v>
      </c>
      <c r="F320" s="6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</row>
    <row r="321" spans="1:65" x14ac:dyDescent="0.25">
      <c r="A321" s="2" t="s">
        <v>92</v>
      </c>
      <c r="B321" s="4">
        <v>18</v>
      </c>
      <c r="C321" s="4">
        <v>2</v>
      </c>
      <c r="D321" s="4">
        <v>2</v>
      </c>
      <c r="E321" s="4">
        <v>2</v>
      </c>
      <c r="F321" s="6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</row>
    <row r="322" spans="1:65" x14ac:dyDescent="0.25">
      <c r="A322" s="2" t="s">
        <v>92</v>
      </c>
      <c r="B322" s="4">
        <v>18</v>
      </c>
      <c r="C322" s="4">
        <v>2</v>
      </c>
      <c r="D322" s="4">
        <v>2</v>
      </c>
      <c r="E322" s="4">
        <v>3</v>
      </c>
      <c r="F322" s="6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</row>
    <row r="323" spans="1:65" x14ac:dyDescent="0.25">
      <c r="A323" s="2" t="s">
        <v>92</v>
      </c>
      <c r="B323" s="4">
        <v>18</v>
      </c>
      <c r="C323" s="4">
        <v>2</v>
      </c>
      <c r="D323" s="4">
        <v>3</v>
      </c>
      <c r="E323" s="4">
        <v>1</v>
      </c>
      <c r="F323" s="6">
        <v>0</v>
      </c>
      <c r="G323" s="3">
        <v>1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1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</row>
    <row r="324" spans="1:65" x14ac:dyDescent="0.25">
      <c r="A324" s="2" t="s">
        <v>92</v>
      </c>
      <c r="B324" s="4">
        <v>18</v>
      </c>
      <c r="C324" s="4">
        <v>2</v>
      </c>
      <c r="D324" s="4">
        <v>3</v>
      </c>
      <c r="E324" s="4">
        <v>2</v>
      </c>
      <c r="F324" s="6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1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</row>
    <row r="325" spans="1:65" x14ac:dyDescent="0.25">
      <c r="A325" s="2" t="s">
        <v>92</v>
      </c>
      <c r="B325" s="4">
        <v>18</v>
      </c>
      <c r="C325" s="4">
        <v>2</v>
      </c>
      <c r="D325" s="4">
        <v>3</v>
      </c>
      <c r="E325" s="4">
        <v>3</v>
      </c>
      <c r="F325" s="6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</row>
    <row r="326" spans="1:65" x14ac:dyDescent="0.25">
      <c r="A326" s="2" t="s">
        <v>93</v>
      </c>
      <c r="B326" s="4">
        <v>19</v>
      </c>
      <c r="C326" s="4">
        <v>1</v>
      </c>
      <c r="D326" s="4">
        <v>1</v>
      </c>
      <c r="E326" s="4">
        <v>1</v>
      </c>
      <c r="F326" s="4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1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1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1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1</v>
      </c>
      <c r="BA326" s="3">
        <v>1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1</v>
      </c>
      <c r="BM326" s="3">
        <v>0</v>
      </c>
    </row>
    <row r="327" spans="1:65" x14ac:dyDescent="0.25">
      <c r="A327" s="2" t="s">
        <v>93</v>
      </c>
      <c r="B327" s="4">
        <v>19</v>
      </c>
      <c r="C327" s="4">
        <v>1</v>
      </c>
      <c r="D327" s="4">
        <v>1</v>
      </c>
      <c r="E327" s="4">
        <v>2</v>
      </c>
      <c r="F327" s="4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1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1</v>
      </c>
      <c r="BM327" s="3">
        <v>0</v>
      </c>
    </row>
    <row r="328" spans="1:65" x14ac:dyDescent="0.25">
      <c r="A328" s="2" t="s">
        <v>93</v>
      </c>
      <c r="B328" s="4">
        <v>19</v>
      </c>
      <c r="C328" s="4">
        <v>1</v>
      </c>
      <c r="D328" s="4">
        <v>1</v>
      </c>
      <c r="E328" s="4">
        <v>3</v>
      </c>
      <c r="F328" s="4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</row>
    <row r="329" spans="1:65" x14ac:dyDescent="0.25">
      <c r="A329" s="2" t="s">
        <v>93</v>
      </c>
      <c r="B329" s="4">
        <v>19</v>
      </c>
      <c r="C329" s="4">
        <v>1</v>
      </c>
      <c r="D329" s="4">
        <v>2</v>
      </c>
      <c r="E329" s="4">
        <v>1</v>
      </c>
      <c r="F329" s="4">
        <v>0</v>
      </c>
      <c r="G329" s="3">
        <v>1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</row>
    <row r="330" spans="1:65" x14ac:dyDescent="0.25">
      <c r="A330" s="2" t="s">
        <v>93</v>
      </c>
      <c r="B330" s="4">
        <v>19</v>
      </c>
      <c r="C330" s="4">
        <v>1</v>
      </c>
      <c r="D330" s="4">
        <v>2</v>
      </c>
      <c r="E330" s="4">
        <v>2</v>
      </c>
      <c r="F330" s="4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</row>
    <row r="331" spans="1:65" x14ac:dyDescent="0.25">
      <c r="A331" s="2" t="s">
        <v>93</v>
      </c>
      <c r="B331" s="4">
        <v>19</v>
      </c>
      <c r="C331" s="4">
        <v>1</v>
      </c>
      <c r="D331" s="4">
        <v>2</v>
      </c>
      <c r="E331" s="4">
        <v>3</v>
      </c>
      <c r="F331" s="4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</row>
    <row r="332" spans="1:65" x14ac:dyDescent="0.25">
      <c r="A332" s="2" t="s">
        <v>93</v>
      </c>
      <c r="B332" s="4">
        <v>19</v>
      </c>
      <c r="C332" s="4">
        <v>1</v>
      </c>
      <c r="D332" s="4">
        <v>3</v>
      </c>
      <c r="E332" s="4">
        <v>1</v>
      </c>
      <c r="F332" s="4">
        <v>0</v>
      </c>
      <c r="G332" s="3">
        <v>0</v>
      </c>
      <c r="H332" s="3">
        <v>0</v>
      </c>
      <c r="I332" s="3">
        <v>1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1</v>
      </c>
      <c r="BA332" s="3">
        <v>0</v>
      </c>
      <c r="BB332" s="3">
        <v>0</v>
      </c>
      <c r="BC332" s="3">
        <v>1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</row>
    <row r="333" spans="1:65" x14ac:dyDescent="0.25">
      <c r="A333" s="2" t="s">
        <v>93</v>
      </c>
      <c r="B333" s="4">
        <v>19</v>
      </c>
      <c r="C333" s="4">
        <v>1</v>
      </c>
      <c r="D333" s="4">
        <v>3</v>
      </c>
      <c r="E333" s="4">
        <v>2</v>
      </c>
      <c r="F333" s="4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1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</row>
    <row r="334" spans="1:65" x14ac:dyDescent="0.25">
      <c r="A334" s="2" t="s">
        <v>93</v>
      </c>
      <c r="B334" s="4">
        <v>19</v>
      </c>
      <c r="C334" s="4">
        <v>1</v>
      </c>
      <c r="D334" s="4">
        <v>3</v>
      </c>
      <c r="E334" s="4">
        <v>3</v>
      </c>
      <c r="F334" s="4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</row>
    <row r="335" spans="1:65" x14ac:dyDescent="0.25">
      <c r="A335" s="2" t="s">
        <v>93</v>
      </c>
      <c r="B335" s="4">
        <v>19</v>
      </c>
      <c r="C335" s="4">
        <v>2</v>
      </c>
      <c r="D335" s="4">
        <v>1</v>
      </c>
      <c r="E335" s="4">
        <v>1</v>
      </c>
      <c r="F335" s="6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2</v>
      </c>
      <c r="Z335" s="3">
        <v>0</v>
      </c>
      <c r="AA335" s="3">
        <v>0</v>
      </c>
      <c r="AB335" s="3">
        <v>1</v>
      </c>
      <c r="AC335" s="3">
        <v>0</v>
      </c>
      <c r="AD335" s="3">
        <v>0</v>
      </c>
      <c r="AE335" s="3">
        <v>0</v>
      </c>
      <c r="AF335" s="3">
        <v>1</v>
      </c>
      <c r="AG335" s="3">
        <v>0</v>
      </c>
      <c r="AH335" s="3">
        <v>1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2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1</v>
      </c>
      <c r="BI335" s="3">
        <v>0</v>
      </c>
      <c r="BJ335" s="3">
        <v>0</v>
      </c>
      <c r="BK335" s="3">
        <v>0</v>
      </c>
      <c r="BL335" s="3">
        <v>2</v>
      </c>
      <c r="BM335" s="3">
        <v>0</v>
      </c>
    </row>
    <row r="336" spans="1:65" x14ac:dyDescent="0.25">
      <c r="A336" s="2" t="s">
        <v>93</v>
      </c>
      <c r="B336" s="4">
        <v>19</v>
      </c>
      <c r="C336" s="4">
        <v>2</v>
      </c>
      <c r="D336" s="4">
        <v>1</v>
      </c>
      <c r="E336" s="4">
        <v>2</v>
      </c>
      <c r="F336" s="6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</row>
    <row r="337" spans="1:65" x14ac:dyDescent="0.25">
      <c r="A337" s="2" t="s">
        <v>93</v>
      </c>
      <c r="B337" s="4">
        <v>19</v>
      </c>
      <c r="C337" s="4">
        <v>2</v>
      </c>
      <c r="D337" s="4">
        <v>1</v>
      </c>
      <c r="E337" s="4">
        <v>3</v>
      </c>
      <c r="F337" s="6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</row>
    <row r="338" spans="1:65" x14ac:dyDescent="0.25">
      <c r="A338" s="2" t="s">
        <v>93</v>
      </c>
      <c r="B338" s="4">
        <v>19</v>
      </c>
      <c r="C338" s="4">
        <v>2</v>
      </c>
      <c r="D338" s="4">
        <v>2</v>
      </c>
      <c r="E338" s="4">
        <v>1</v>
      </c>
      <c r="F338" s="6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</row>
    <row r="339" spans="1:65" x14ac:dyDescent="0.25">
      <c r="A339" s="2" t="s">
        <v>93</v>
      </c>
      <c r="B339" s="4">
        <v>19</v>
      </c>
      <c r="C339" s="4">
        <v>2</v>
      </c>
      <c r="D339" s="4">
        <v>2</v>
      </c>
      <c r="E339" s="4">
        <v>2</v>
      </c>
      <c r="F339" s="6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</row>
    <row r="340" spans="1:65" x14ac:dyDescent="0.25">
      <c r="A340" s="2" t="s">
        <v>93</v>
      </c>
      <c r="B340" s="4">
        <v>19</v>
      </c>
      <c r="C340" s="4">
        <v>2</v>
      </c>
      <c r="D340" s="4">
        <v>2</v>
      </c>
      <c r="E340" s="4">
        <v>3</v>
      </c>
      <c r="F340" s="6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</row>
    <row r="341" spans="1:65" x14ac:dyDescent="0.25">
      <c r="A341" s="2" t="s">
        <v>93</v>
      </c>
      <c r="B341" s="4">
        <v>19</v>
      </c>
      <c r="C341" s="4">
        <v>2</v>
      </c>
      <c r="D341" s="4">
        <v>3</v>
      </c>
      <c r="E341" s="4">
        <v>1</v>
      </c>
      <c r="F341" s="6">
        <v>0</v>
      </c>
      <c r="G341" s="3">
        <v>2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1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1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</row>
    <row r="342" spans="1:65" x14ac:dyDescent="0.25">
      <c r="A342" s="2" t="s">
        <v>93</v>
      </c>
      <c r="B342" s="4">
        <v>19</v>
      </c>
      <c r="C342" s="4">
        <v>2</v>
      </c>
      <c r="D342" s="4">
        <v>3</v>
      </c>
      <c r="E342" s="4">
        <v>2</v>
      </c>
      <c r="F342" s="6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1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</row>
    <row r="343" spans="1:65" x14ac:dyDescent="0.25">
      <c r="A343" s="2" t="s">
        <v>93</v>
      </c>
      <c r="B343" s="4">
        <v>19</v>
      </c>
      <c r="C343" s="4">
        <v>2</v>
      </c>
      <c r="D343" s="4">
        <v>3</v>
      </c>
      <c r="E343" s="4">
        <v>3</v>
      </c>
      <c r="F343" s="6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</row>
    <row r="344" spans="1:65" x14ac:dyDescent="0.25">
      <c r="A344" s="2" t="s">
        <v>94</v>
      </c>
      <c r="B344" s="4">
        <v>20</v>
      </c>
      <c r="C344" s="4">
        <v>1</v>
      </c>
      <c r="D344" s="4">
        <v>1</v>
      </c>
      <c r="E344" s="4">
        <v>1</v>
      </c>
      <c r="F344" s="4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1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1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</row>
    <row r="345" spans="1:65" x14ac:dyDescent="0.25">
      <c r="A345" s="2" t="s">
        <v>94</v>
      </c>
      <c r="B345" s="4">
        <v>20</v>
      </c>
      <c r="C345" s="4">
        <v>1</v>
      </c>
      <c r="D345" s="4">
        <v>1</v>
      </c>
      <c r="E345" s="4">
        <v>2</v>
      </c>
      <c r="F345" s="4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1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1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1</v>
      </c>
      <c r="BA345" s="3">
        <v>1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2</v>
      </c>
      <c r="BM345" s="3">
        <v>0</v>
      </c>
    </row>
    <row r="346" spans="1:65" x14ac:dyDescent="0.25">
      <c r="A346" s="2" t="s">
        <v>94</v>
      </c>
      <c r="B346" s="4">
        <v>20</v>
      </c>
      <c r="C346" s="4">
        <v>1</v>
      </c>
      <c r="D346" s="4">
        <v>1</v>
      </c>
      <c r="E346" s="4">
        <v>3</v>
      </c>
      <c r="F346" s="4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</row>
    <row r="347" spans="1:65" x14ac:dyDescent="0.25">
      <c r="A347" s="2" t="s">
        <v>94</v>
      </c>
      <c r="B347" s="4">
        <v>20</v>
      </c>
      <c r="C347" s="4">
        <v>1</v>
      </c>
      <c r="D347" s="4">
        <v>2</v>
      </c>
      <c r="E347" s="4">
        <v>1</v>
      </c>
      <c r="F347" s="4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2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</row>
    <row r="348" spans="1:65" x14ac:dyDescent="0.25">
      <c r="A348" s="2" t="s">
        <v>94</v>
      </c>
      <c r="B348" s="4">
        <v>20</v>
      </c>
      <c r="C348" s="4">
        <v>1</v>
      </c>
      <c r="D348" s="4">
        <v>2</v>
      </c>
      <c r="E348" s="4">
        <v>2</v>
      </c>
      <c r="F348" s="4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</row>
    <row r="349" spans="1:65" x14ac:dyDescent="0.25">
      <c r="A349" s="2" t="s">
        <v>94</v>
      </c>
      <c r="B349" s="4">
        <v>20</v>
      </c>
      <c r="C349" s="4">
        <v>1</v>
      </c>
      <c r="D349" s="4">
        <v>2</v>
      </c>
      <c r="E349" s="4">
        <v>3</v>
      </c>
      <c r="F349" s="4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</row>
    <row r="350" spans="1:65" x14ac:dyDescent="0.25">
      <c r="A350" s="2" t="s">
        <v>94</v>
      </c>
      <c r="B350" s="4">
        <v>20</v>
      </c>
      <c r="C350" s="4">
        <v>1</v>
      </c>
      <c r="D350" s="4">
        <v>3</v>
      </c>
      <c r="E350" s="4">
        <v>1</v>
      </c>
      <c r="F350" s="4">
        <v>0</v>
      </c>
      <c r="G350" s="3">
        <v>2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1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1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</row>
    <row r="351" spans="1:65" x14ac:dyDescent="0.25">
      <c r="A351" s="2" t="s">
        <v>94</v>
      </c>
      <c r="B351" s="4">
        <v>20</v>
      </c>
      <c r="C351" s="4">
        <v>1</v>
      </c>
      <c r="D351" s="4">
        <v>3</v>
      </c>
      <c r="E351" s="4">
        <v>2</v>
      </c>
      <c r="F351" s="4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</row>
    <row r="352" spans="1:65" x14ac:dyDescent="0.25">
      <c r="A352" s="2" t="s">
        <v>94</v>
      </c>
      <c r="B352" s="4">
        <v>20</v>
      </c>
      <c r="C352" s="4">
        <v>1</v>
      </c>
      <c r="D352" s="4">
        <v>3</v>
      </c>
      <c r="E352" s="4">
        <v>3</v>
      </c>
      <c r="F352" s="4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</row>
    <row r="353" spans="1:65" x14ac:dyDescent="0.25">
      <c r="A353" s="2" t="s">
        <v>94</v>
      </c>
      <c r="B353" s="4">
        <v>20</v>
      </c>
      <c r="C353" s="4">
        <v>2</v>
      </c>
      <c r="D353" s="4">
        <v>1</v>
      </c>
      <c r="E353" s="4">
        <v>1</v>
      </c>
      <c r="F353" s="6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1</v>
      </c>
      <c r="Z353" s="3">
        <v>0</v>
      </c>
      <c r="AA353" s="3">
        <v>0</v>
      </c>
      <c r="AB353" s="3">
        <v>0</v>
      </c>
      <c r="AC353" s="3">
        <v>0</v>
      </c>
      <c r="AD353" s="3">
        <v>1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2</v>
      </c>
      <c r="BA353" s="3">
        <v>2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1</v>
      </c>
      <c r="BM353" s="3">
        <v>0</v>
      </c>
    </row>
    <row r="354" spans="1:65" x14ac:dyDescent="0.25">
      <c r="A354" s="2" t="s">
        <v>94</v>
      </c>
      <c r="B354" s="4">
        <v>20</v>
      </c>
      <c r="C354" s="4">
        <v>2</v>
      </c>
      <c r="D354" s="4">
        <v>1</v>
      </c>
      <c r="E354" s="4">
        <v>2</v>
      </c>
      <c r="F354" s="6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1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1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</row>
    <row r="355" spans="1:65" x14ac:dyDescent="0.25">
      <c r="A355" s="2" t="s">
        <v>94</v>
      </c>
      <c r="B355" s="4">
        <v>20</v>
      </c>
      <c r="C355" s="4">
        <v>2</v>
      </c>
      <c r="D355" s="4">
        <v>1</v>
      </c>
      <c r="E355" s="4">
        <v>3</v>
      </c>
      <c r="F355" s="6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</row>
    <row r="356" spans="1:65" x14ac:dyDescent="0.25">
      <c r="A356" s="2" t="s">
        <v>94</v>
      </c>
      <c r="B356" s="4">
        <v>20</v>
      </c>
      <c r="C356" s="4">
        <v>2</v>
      </c>
      <c r="D356" s="4">
        <v>2</v>
      </c>
      <c r="E356" s="4">
        <v>1</v>
      </c>
      <c r="F356" s="6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1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</row>
    <row r="357" spans="1:65" x14ac:dyDescent="0.25">
      <c r="A357" s="2" t="s">
        <v>94</v>
      </c>
      <c r="B357" s="4">
        <v>20</v>
      </c>
      <c r="C357" s="4">
        <v>2</v>
      </c>
      <c r="D357" s="4">
        <v>2</v>
      </c>
      <c r="E357" s="4">
        <v>2</v>
      </c>
      <c r="F357" s="6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1</v>
      </c>
      <c r="BM357" s="3">
        <v>0</v>
      </c>
    </row>
    <row r="358" spans="1:65" x14ac:dyDescent="0.25">
      <c r="A358" s="2" t="s">
        <v>94</v>
      </c>
      <c r="B358" s="4">
        <v>20</v>
      </c>
      <c r="C358" s="4">
        <v>2</v>
      </c>
      <c r="D358" s="4">
        <v>2</v>
      </c>
      <c r="E358" s="4">
        <v>3</v>
      </c>
      <c r="F358" s="6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</row>
    <row r="359" spans="1:65" x14ac:dyDescent="0.25">
      <c r="A359" s="2" t="s">
        <v>94</v>
      </c>
      <c r="B359" s="4">
        <v>20</v>
      </c>
      <c r="C359" s="4">
        <v>2</v>
      </c>
      <c r="D359" s="4">
        <v>3</v>
      </c>
      <c r="E359" s="4">
        <v>1</v>
      </c>
      <c r="F359" s="6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1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1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</row>
    <row r="360" spans="1:65" x14ac:dyDescent="0.25">
      <c r="A360" s="2" t="s">
        <v>94</v>
      </c>
      <c r="B360" s="4">
        <v>20</v>
      </c>
      <c r="C360" s="4">
        <v>2</v>
      </c>
      <c r="D360" s="4">
        <v>3</v>
      </c>
      <c r="E360" s="4">
        <v>2</v>
      </c>
      <c r="F360" s="6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</row>
    <row r="361" spans="1:65" x14ac:dyDescent="0.25">
      <c r="A361" s="2" t="s">
        <v>94</v>
      </c>
      <c r="B361" s="4">
        <v>20</v>
      </c>
      <c r="C361" s="4">
        <v>2</v>
      </c>
      <c r="D361" s="4">
        <v>3</v>
      </c>
      <c r="E361" s="4">
        <v>3</v>
      </c>
      <c r="F361" s="6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</row>
    <row r="362" spans="1:65" x14ac:dyDescent="0.25">
      <c r="A362" s="2" t="s">
        <v>95</v>
      </c>
      <c r="B362" s="4">
        <v>21</v>
      </c>
      <c r="C362" s="4">
        <v>1</v>
      </c>
      <c r="D362" s="4">
        <v>1</v>
      </c>
      <c r="E362" s="4">
        <v>1</v>
      </c>
      <c r="F362" s="4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1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1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1</v>
      </c>
      <c r="BM362" s="3">
        <v>0</v>
      </c>
    </row>
    <row r="363" spans="1:65" x14ac:dyDescent="0.25">
      <c r="A363" s="2" t="s">
        <v>95</v>
      </c>
      <c r="B363" s="4">
        <v>21</v>
      </c>
      <c r="C363" s="4">
        <v>1</v>
      </c>
      <c r="D363" s="4">
        <v>1</v>
      </c>
      <c r="E363" s="4">
        <v>2</v>
      </c>
      <c r="F363" s="4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1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1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</row>
    <row r="364" spans="1:65" x14ac:dyDescent="0.25">
      <c r="A364" s="2" t="s">
        <v>95</v>
      </c>
      <c r="B364" s="4">
        <v>21</v>
      </c>
      <c r="C364" s="4">
        <v>1</v>
      </c>
      <c r="D364" s="4">
        <v>1</v>
      </c>
      <c r="E364" s="4">
        <v>3</v>
      </c>
      <c r="F364" s="4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1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</row>
    <row r="365" spans="1:65" x14ac:dyDescent="0.25">
      <c r="A365" s="2" t="s">
        <v>95</v>
      </c>
      <c r="B365" s="4">
        <v>21</v>
      </c>
      <c r="C365" s="4">
        <v>1</v>
      </c>
      <c r="D365" s="4">
        <v>2</v>
      </c>
      <c r="E365" s="4">
        <v>1</v>
      </c>
      <c r="F365" s="4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1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</row>
    <row r="366" spans="1:65" x14ac:dyDescent="0.25">
      <c r="A366" s="2" t="s">
        <v>95</v>
      </c>
      <c r="B366" s="4">
        <v>21</v>
      </c>
      <c r="C366" s="4">
        <v>1</v>
      </c>
      <c r="D366" s="4">
        <v>2</v>
      </c>
      <c r="E366" s="4">
        <v>2</v>
      </c>
      <c r="F366" s="4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</row>
    <row r="367" spans="1:65" x14ac:dyDescent="0.25">
      <c r="A367" s="2" t="s">
        <v>95</v>
      </c>
      <c r="B367" s="4">
        <v>21</v>
      </c>
      <c r="C367" s="4">
        <v>1</v>
      </c>
      <c r="D367" s="4">
        <v>2</v>
      </c>
      <c r="E367" s="4">
        <v>3</v>
      </c>
      <c r="F367" s="4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1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</row>
    <row r="368" spans="1:65" x14ac:dyDescent="0.25">
      <c r="A368" s="2" t="s">
        <v>95</v>
      </c>
      <c r="B368" s="4">
        <v>21</v>
      </c>
      <c r="C368" s="4">
        <v>1</v>
      </c>
      <c r="D368" s="4">
        <v>3</v>
      </c>
      <c r="E368" s="4">
        <v>1</v>
      </c>
      <c r="F368" s="4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1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1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</row>
    <row r="369" spans="1:65" x14ac:dyDescent="0.25">
      <c r="A369" s="2" t="s">
        <v>95</v>
      </c>
      <c r="B369" s="4">
        <v>21</v>
      </c>
      <c r="C369" s="4">
        <v>1</v>
      </c>
      <c r="D369" s="4">
        <v>3</v>
      </c>
      <c r="E369" s="4">
        <v>2</v>
      </c>
      <c r="F369" s="4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1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</row>
    <row r="370" spans="1:65" x14ac:dyDescent="0.25">
      <c r="A370" s="2" t="s">
        <v>95</v>
      </c>
      <c r="B370" s="4">
        <v>21</v>
      </c>
      <c r="C370" s="4">
        <v>1</v>
      </c>
      <c r="D370" s="4">
        <v>3</v>
      </c>
      <c r="E370" s="4">
        <v>3</v>
      </c>
      <c r="F370" s="4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</row>
    <row r="371" spans="1:65" x14ac:dyDescent="0.25">
      <c r="A371" s="2" t="s">
        <v>95</v>
      </c>
      <c r="B371" s="4">
        <v>21</v>
      </c>
      <c r="C371" s="4">
        <v>2</v>
      </c>
      <c r="D371" s="4">
        <v>1</v>
      </c>
      <c r="E371" s="4">
        <v>1</v>
      </c>
      <c r="F371" s="6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1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1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1</v>
      </c>
      <c r="BA371" s="3">
        <v>2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1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</row>
    <row r="372" spans="1:65" x14ac:dyDescent="0.25">
      <c r="A372" s="2" t="s">
        <v>95</v>
      </c>
      <c r="B372" s="4">
        <v>21</v>
      </c>
      <c r="C372" s="4">
        <v>2</v>
      </c>
      <c r="D372" s="4">
        <v>1</v>
      </c>
      <c r="E372" s="4">
        <v>2</v>
      </c>
      <c r="F372" s="6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1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1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1</v>
      </c>
      <c r="BM372" s="3">
        <v>0</v>
      </c>
    </row>
    <row r="373" spans="1:65" x14ac:dyDescent="0.25">
      <c r="A373" s="2" t="s">
        <v>95</v>
      </c>
      <c r="B373" s="4">
        <v>21</v>
      </c>
      <c r="C373" s="4">
        <v>2</v>
      </c>
      <c r="D373" s="4">
        <v>1</v>
      </c>
      <c r="E373" s="4">
        <v>3</v>
      </c>
      <c r="F373" s="6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</row>
    <row r="374" spans="1:65" x14ac:dyDescent="0.25">
      <c r="A374" s="2" t="s">
        <v>95</v>
      </c>
      <c r="B374" s="4">
        <v>21</v>
      </c>
      <c r="C374" s="4">
        <v>2</v>
      </c>
      <c r="D374" s="4">
        <v>2</v>
      </c>
      <c r="E374" s="4">
        <v>1</v>
      </c>
      <c r="F374" s="6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</row>
    <row r="375" spans="1:65" x14ac:dyDescent="0.25">
      <c r="A375" s="2" t="s">
        <v>95</v>
      </c>
      <c r="B375" s="4">
        <v>21</v>
      </c>
      <c r="C375" s="4">
        <v>2</v>
      </c>
      <c r="D375" s="4">
        <v>2</v>
      </c>
      <c r="E375" s="4">
        <v>2</v>
      </c>
      <c r="F375" s="6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</row>
    <row r="376" spans="1:65" x14ac:dyDescent="0.25">
      <c r="A376" s="2" t="s">
        <v>95</v>
      </c>
      <c r="B376" s="4">
        <v>21</v>
      </c>
      <c r="C376" s="4">
        <v>2</v>
      </c>
      <c r="D376" s="4">
        <v>2</v>
      </c>
      <c r="E376" s="4">
        <v>3</v>
      </c>
      <c r="F376" s="6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</row>
    <row r="377" spans="1:65" x14ac:dyDescent="0.25">
      <c r="A377" s="2" t="s">
        <v>95</v>
      </c>
      <c r="B377" s="4">
        <v>21</v>
      </c>
      <c r="C377" s="4">
        <v>2</v>
      </c>
      <c r="D377" s="4">
        <v>3</v>
      </c>
      <c r="E377" s="4">
        <v>1</v>
      </c>
      <c r="F377" s="6">
        <v>0</v>
      </c>
      <c r="G377" s="3">
        <v>1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</row>
    <row r="378" spans="1:65" x14ac:dyDescent="0.25">
      <c r="A378" s="2" t="s">
        <v>95</v>
      </c>
      <c r="B378" s="4">
        <v>21</v>
      </c>
      <c r="C378" s="4">
        <v>2</v>
      </c>
      <c r="D378" s="4">
        <v>3</v>
      </c>
      <c r="E378" s="4">
        <v>2</v>
      </c>
      <c r="F378" s="6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1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1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</row>
    <row r="379" spans="1:65" x14ac:dyDescent="0.25">
      <c r="A379" s="2" t="s">
        <v>95</v>
      </c>
      <c r="B379" s="4">
        <v>21</v>
      </c>
      <c r="C379" s="4">
        <v>2</v>
      </c>
      <c r="D379" s="4">
        <v>3</v>
      </c>
      <c r="E379" s="4">
        <v>3</v>
      </c>
      <c r="F379" s="6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1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</row>
    <row r="380" spans="1:65" x14ac:dyDescent="0.25">
      <c r="A380" s="2" t="s">
        <v>96</v>
      </c>
      <c r="B380" s="4">
        <v>22</v>
      </c>
      <c r="C380" s="4">
        <v>1</v>
      </c>
      <c r="D380" s="4">
        <v>1</v>
      </c>
      <c r="E380" s="4">
        <v>1</v>
      </c>
      <c r="F380" s="4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1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1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2</v>
      </c>
      <c r="BM380" s="3">
        <v>0</v>
      </c>
    </row>
    <row r="381" spans="1:65" x14ac:dyDescent="0.25">
      <c r="A381" s="2" t="s">
        <v>96</v>
      </c>
      <c r="B381" s="4">
        <v>22</v>
      </c>
      <c r="C381" s="4">
        <v>1</v>
      </c>
      <c r="D381" s="4">
        <v>1</v>
      </c>
      <c r="E381" s="4">
        <v>2</v>
      </c>
      <c r="F381" s="4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1</v>
      </c>
      <c r="Z381" s="3">
        <v>0</v>
      </c>
      <c r="AA381" s="3">
        <v>0</v>
      </c>
      <c r="AB381" s="3">
        <v>1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1</v>
      </c>
      <c r="BA381" s="3">
        <v>1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</row>
    <row r="382" spans="1:65" x14ac:dyDescent="0.25">
      <c r="A382" s="2" t="s">
        <v>96</v>
      </c>
      <c r="B382" s="4">
        <v>22</v>
      </c>
      <c r="C382" s="4">
        <v>1</v>
      </c>
      <c r="D382" s="4">
        <v>1</v>
      </c>
      <c r="E382" s="4">
        <v>3</v>
      </c>
      <c r="F382" s="4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</row>
    <row r="383" spans="1:65" x14ac:dyDescent="0.25">
      <c r="A383" s="2" t="s">
        <v>96</v>
      </c>
      <c r="B383" s="4">
        <v>22</v>
      </c>
      <c r="C383" s="4">
        <v>1</v>
      </c>
      <c r="D383" s="4">
        <v>2</v>
      </c>
      <c r="E383" s="4">
        <v>1</v>
      </c>
      <c r="F383" s="4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1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</row>
    <row r="384" spans="1:65" x14ac:dyDescent="0.25">
      <c r="A384" s="2" t="s">
        <v>96</v>
      </c>
      <c r="B384" s="4">
        <v>22</v>
      </c>
      <c r="C384" s="4">
        <v>1</v>
      </c>
      <c r="D384" s="4">
        <v>2</v>
      </c>
      <c r="E384" s="4">
        <v>2</v>
      </c>
      <c r="F384" s="4">
        <v>0</v>
      </c>
      <c r="G384" s="3">
        <v>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1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</row>
    <row r="385" spans="1:65" x14ac:dyDescent="0.25">
      <c r="A385" s="2" t="s">
        <v>96</v>
      </c>
      <c r="B385" s="4">
        <v>22</v>
      </c>
      <c r="C385" s="4">
        <v>1</v>
      </c>
      <c r="D385" s="4">
        <v>2</v>
      </c>
      <c r="E385" s="4">
        <v>3</v>
      </c>
      <c r="F385" s="4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</row>
    <row r="386" spans="1:65" x14ac:dyDescent="0.25">
      <c r="A386" s="2" t="s">
        <v>96</v>
      </c>
      <c r="B386" s="4">
        <v>22</v>
      </c>
      <c r="C386" s="4">
        <v>1</v>
      </c>
      <c r="D386" s="4">
        <v>3</v>
      </c>
      <c r="E386" s="4">
        <v>1</v>
      </c>
      <c r="F386" s="4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</row>
    <row r="387" spans="1:65" x14ac:dyDescent="0.25">
      <c r="A387" s="2" t="s">
        <v>96</v>
      </c>
      <c r="B387" s="4">
        <v>22</v>
      </c>
      <c r="C387" s="4">
        <v>1</v>
      </c>
      <c r="D387" s="4">
        <v>3</v>
      </c>
      <c r="E387" s="4">
        <v>2</v>
      </c>
      <c r="F387" s="4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</row>
    <row r="388" spans="1:65" x14ac:dyDescent="0.25">
      <c r="A388" s="2" t="s">
        <v>96</v>
      </c>
      <c r="B388" s="4">
        <v>22</v>
      </c>
      <c r="C388" s="4">
        <v>1</v>
      </c>
      <c r="D388" s="4">
        <v>3</v>
      </c>
      <c r="E388" s="4">
        <v>3</v>
      </c>
      <c r="F388" s="4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</row>
    <row r="389" spans="1:65" x14ac:dyDescent="0.25">
      <c r="A389" s="2" t="s">
        <v>96</v>
      </c>
      <c r="B389" s="4">
        <v>22</v>
      </c>
      <c r="C389" s="4">
        <v>2</v>
      </c>
      <c r="D389" s="4">
        <v>1</v>
      </c>
      <c r="E389" s="4">
        <v>1</v>
      </c>
      <c r="F389" s="6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1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1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1</v>
      </c>
      <c r="BM389" s="3">
        <v>0</v>
      </c>
    </row>
    <row r="390" spans="1:65" x14ac:dyDescent="0.25">
      <c r="A390" s="2" t="s">
        <v>96</v>
      </c>
      <c r="B390" s="4">
        <v>22</v>
      </c>
      <c r="C390" s="4">
        <v>2</v>
      </c>
      <c r="D390" s="4">
        <v>1</v>
      </c>
      <c r="E390" s="4">
        <v>2</v>
      </c>
      <c r="F390" s="6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1</v>
      </c>
      <c r="AC390" s="3">
        <v>0</v>
      </c>
      <c r="AD390" s="3">
        <v>0</v>
      </c>
      <c r="AE390" s="3">
        <v>0</v>
      </c>
      <c r="AF390" s="3">
        <v>1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1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1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</row>
    <row r="391" spans="1:65" x14ac:dyDescent="0.25">
      <c r="A391" s="2" t="s">
        <v>96</v>
      </c>
      <c r="B391" s="4">
        <v>22</v>
      </c>
      <c r="C391" s="4">
        <v>2</v>
      </c>
      <c r="D391" s="4">
        <v>1</v>
      </c>
      <c r="E391" s="4">
        <v>3</v>
      </c>
      <c r="F391" s="6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</row>
    <row r="392" spans="1:65" x14ac:dyDescent="0.25">
      <c r="A392" s="2" t="s">
        <v>96</v>
      </c>
      <c r="B392" s="4">
        <v>22</v>
      </c>
      <c r="C392" s="4">
        <v>2</v>
      </c>
      <c r="D392" s="4">
        <v>2</v>
      </c>
      <c r="E392" s="4">
        <v>1</v>
      </c>
      <c r="F392" s="6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</row>
    <row r="393" spans="1:65" x14ac:dyDescent="0.25">
      <c r="A393" s="2" t="s">
        <v>96</v>
      </c>
      <c r="B393" s="4">
        <v>22</v>
      </c>
      <c r="C393" s="4">
        <v>2</v>
      </c>
      <c r="D393" s="4">
        <v>2</v>
      </c>
      <c r="E393" s="4">
        <v>2</v>
      </c>
      <c r="F393" s="6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1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</row>
    <row r="394" spans="1:65" x14ac:dyDescent="0.25">
      <c r="A394" s="2" t="s">
        <v>96</v>
      </c>
      <c r="B394" s="4">
        <v>22</v>
      </c>
      <c r="C394" s="4">
        <v>2</v>
      </c>
      <c r="D394" s="4">
        <v>2</v>
      </c>
      <c r="E394" s="4">
        <v>3</v>
      </c>
      <c r="F394" s="6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</row>
    <row r="395" spans="1:65" x14ac:dyDescent="0.25">
      <c r="A395" s="2" t="s">
        <v>96</v>
      </c>
      <c r="B395" s="4">
        <v>22</v>
      </c>
      <c r="C395" s="4">
        <v>2</v>
      </c>
      <c r="D395" s="4">
        <v>3</v>
      </c>
      <c r="E395" s="4">
        <v>1</v>
      </c>
      <c r="F395" s="6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1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</row>
    <row r="396" spans="1:65" x14ac:dyDescent="0.25">
      <c r="A396" s="2" t="s">
        <v>96</v>
      </c>
      <c r="B396" s="4">
        <v>22</v>
      </c>
      <c r="C396" s="4">
        <v>2</v>
      </c>
      <c r="D396" s="4">
        <v>3</v>
      </c>
      <c r="E396" s="4">
        <v>2</v>
      </c>
      <c r="F396" s="6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1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1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</row>
    <row r="397" spans="1:65" x14ac:dyDescent="0.25">
      <c r="A397" s="2" t="s">
        <v>96</v>
      </c>
      <c r="B397" s="4">
        <v>22</v>
      </c>
      <c r="C397" s="4">
        <v>2</v>
      </c>
      <c r="D397" s="4">
        <v>3</v>
      </c>
      <c r="E397" s="4">
        <v>3</v>
      </c>
      <c r="F397" s="6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1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</row>
    <row r="398" spans="1:65" x14ac:dyDescent="0.25">
      <c r="A398" s="2" t="s">
        <v>97</v>
      </c>
      <c r="B398" s="4">
        <v>23</v>
      </c>
      <c r="C398" s="4">
        <v>1</v>
      </c>
      <c r="D398" s="4">
        <v>1</v>
      </c>
      <c r="E398" s="4">
        <v>1</v>
      </c>
      <c r="F398" s="4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1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1</v>
      </c>
      <c r="BA398" s="3">
        <v>1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</row>
    <row r="399" spans="1:65" x14ac:dyDescent="0.25">
      <c r="A399" s="2" t="s">
        <v>97</v>
      </c>
      <c r="B399" s="4">
        <v>23</v>
      </c>
      <c r="C399" s="4">
        <v>1</v>
      </c>
      <c r="D399" s="4">
        <v>1</v>
      </c>
      <c r="E399" s="4">
        <v>2</v>
      </c>
      <c r="F399" s="4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1</v>
      </c>
      <c r="Z399" s="3">
        <v>0</v>
      </c>
      <c r="AA399" s="3">
        <v>0</v>
      </c>
      <c r="AB399" s="3">
        <v>1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1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1</v>
      </c>
      <c r="BM399" s="3">
        <v>0</v>
      </c>
    </row>
    <row r="400" spans="1:65" x14ac:dyDescent="0.25">
      <c r="A400" s="2" t="s">
        <v>97</v>
      </c>
      <c r="B400" s="4">
        <v>23</v>
      </c>
      <c r="C400" s="4">
        <v>1</v>
      </c>
      <c r="D400" s="4">
        <v>1</v>
      </c>
      <c r="E400" s="4">
        <v>3</v>
      </c>
      <c r="F400" s="4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</row>
    <row r="401" spans="1:65" x14ac:dyDescent="0.25">
      <c r="A401" s="2" t="s">
        <v>97</v>
      </c>
      <c r="B401" s="4">
        <v>23</v>
      </c>
      <c r="C401" s="4">
        <v>1</v>
      </c>
      <c r="D401" s="4">
        <v>2</v>
      </c>
      <c r="E401" s="4">
        <v>1</v>
      </c>
      <c r="F401" s="4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1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</row>
    <row r="402" spans="1:65" x14ac:dyDescent="0.25">
      <c r="A402" s="2" t="s">
        <v>97</v>
      </c>
      <c r="B402" s="4">
        <v>23</v>
      </c>
      <c r="C402" s="4">
        <v>1</v>
      </c>
      <c r="D402" s="4">
        <v>2</v>
      </c>
      <c r="E402" s="4">
        <v>2</v>
      </c>
      <c r="F402" s="4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1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1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</row>
    <row r="403" spans="1:65" x14ac:dyDescent="0.25">
      <c r="A403" s="2" t="s">
        <v>97</v>
      </c>
      <c r="B403" s="4">
        <v>23</v>
      </c>
      <c r="C403" s="4">
        <v>1</v>
      </c>
      <c r="D403" s="4">
        <v>2</v>
      </c>
      <c r="E403" s="4">
        <v>3</v>
      </c>
      <c r="F403" s="4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</row>
    <row r="404" spans="1:65" x14ac:dyDescent="0.25">
      <c r="A404" s="2" t="s">
        <v>97</v>
      </c>
      <c r="B404" s="4">
        <v>23</v>
      </c>
      <c r="C404" s="4">
        <v>1</v>
      </c>
      <c r="D404" s="4">
        <v>3</v>
      </c>
      <c r="E404" s="4">
        <v>1</v>
      </c>
      <c r="F404" s="4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</row>
    <row r="405" spans="1:65" x14ac:dyDescent="0.25">
      <c r="A405" s="2" t="s">
        <v>97</v>
      </c>
      <c r="B405" s="4">
        <v>23</v>
      </c>
      <c r="C405" s="4">
        <v>1</v>
      </c>
      <c r="D405" s="4">
        <v>3</v>
      </c>
      <c r="E405" s="4">
        <v>2</v>
      </c>
      <c r="F405" s="4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2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</row>
    <row r="406" spans="1:65" x14ac:dyDescent="0.25">
      <c r="A406" s="2" t="s">
        <v>97</v>
      </c>
      <c r="B406" s="4">
        <v>23</v>
      </c>
      <c r="C406" s="4">
        <v>1</v>
      </c>
      <c r="D406" s="4">
        <v>3</v>
      </c>
      <c r="E406" s="4">
        <v>3</v>
      </c>
      <c r="F406" s="4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</row>
    <row r="407" spans="1:65" x14ac:dyDescent="0.25">
      <c r="A407" s="2" t="s">
        <v>97</v>
      </c>
      <c r="B407" s="4">
        <v>23</v>
      </c>
      <c r="C407" s="4">
        <v>2</v>
      </c>
      <c r="D407" s="4">
        <v>1</v>
      </c>
      <c r="E407" s="4">
        <v>1</v>
      </c>
      <c r="F407" s="6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1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1</v>
      </c>
      <c r="BB407" s="3">
        <v>0</v>
      </c>
      <c r="BC407" s="3">
        <v>0</v>
      </c>
      <c r="BD407" s="3">
        <v>3</v>
      </c>
      <c r="BE407" s="3">
        <v>0</v>
      </c>
      <c r="BF407" s="3">
        <v>0</v>
      </c>
      <c r="BG407" s="3">
        <v>0</v>
      </c>
      <c r="BH407" s="3">
        <v>1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</row>
    <row r="408" spans="1:65" x14ac:dyDescent="0.25">
      <c r="A408" s="2" t="s">
        <v>97</v>
      </c>
      <c r="B408" s="4">
        <v>23</v>
      </c>
      <c r="C408" s="4">
        <v>2</v>
      </c>
      <c r="D408" s="4">
        <v>1</v>
      </c>
      <c r="E408" s="4">
        <v>2</v>
      </c>
      <c r="F408" s="6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1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1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</row>
    <row r="409" spans="1:65" x14ac:dyDescent="0.25">
      <c r="A409" s="2" t="s">
        <v>97</v>
      </c>
      <c r="B409" s="4">
        <v>23</v>
      </c>
      <c r="C409" s="4">
        <v>2</v>
      </c>
      <c r="D409" s="4">
        <v>1</v>
      </c>
      <c r="E409" s="4">
        <v>3</v>
      </c>
      <c r="F409" s="6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</row>
    <row r="410" spans="1:65" x14ac:dyDescent="0.25">
      <c r="A410" s="2" t="s">
        <v>97</v>
      </c>
      <c r="B410" s="4">
        <v>23</v>
      </c>
      <c r="C410" s="4">
        <v>2</v>
      </c>
      <c r="D410" s="4">
        <v>2</v>
      </c>
      <c r="E410" s="4">
        <v>1</v>
      </c>
      <c r="F410" s="6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</row>
    <row r="411" spans="1:65" x14ac:dyDescent="0.25">
      <c r="A411" s="2" t="s">
        <v>97</v>
      </c>
      <c r="B411" s="4">
        <v>23</v>
      </c>
      <c r="C411" s="4">
        <v>2</v>
      </c>
      <c r="D411" s="4">
        <v>2</v>
      </c>
      <c r="E411" s="4">
        <v>2</v>
      </c>
      <c r="F411" s="6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1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</row>
    <row r="412" spans="1:65" x14ac:dyDescent="0.25">
      <c r="A412" s="2" t="s">
        <v>97</v>
      </c>
      <c r="B412" s="4">
        <v>23</v>
      </c>
      <c r="C412" s="4">
        <v>2</v>
      </c>
      <c r="D412" s="4">
        <v>2</v>
      </c>
      <c r="E412" s="4">
        <v>3</v>
      </c>
      <c r="F412" s="6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</row>
    <row r="413" spans="1:65" x14ac:dyDescent="0.25">
      <c r="A413" s="2" t="s">
        <v>97</v>
      </c>
      <c r="B413" s="4">
        <v>23</v>
      </c>
      <c r="C413" s="4">
        <v>2</v>
      </c>
      <c r="D413" s="4">
        <v>3</v>
      </c>
      <c r="E413" s="4">
        <v>1</v>
      </c>
      <c r="F413" s="6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1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2</v>
      </c>
      <c r="BM413" s="3">
        <v>0</v>
      </c>
    </row>
    <row r="414" spans="1:65" x14ac:dyDescent="0.25">
      <c r="A414" s="2" t="s">
        <v>97</v>
      </c>
      <c r="B414" s="4">
        <v>23</v>
      </c>
      <c r="C414" s="4">
        <v>2</v>
      </c>
      <c r="D414" s="4">
        <v>3</v>
      </c>
      <c r="E414" s="4">
        <v>2</v>
      </c>
      <c r="F414" s="6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1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1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</row>
    <row r="415" spans="1:65" x14ac:dyDescent="0.25">
      <c r="A415" s="2" t="s">
        <v>97</v>
      </c>
      <c r="B415" s="4">
        <v>23</v>
      </c>
      <c r="C415" s="4">
        <v>2</v>
      </c>
      <c r="D415" s="4">
        <v>3</v>
      </c>
      <c r="E415" s="4">
        <v>3</v>
      </c>
      <c r="F415" s="6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</row>
    <row r="416" spans="1:65" x14ac:dyDescent="0.25">
      <c r="A416" s="2" t="s">
        <v>98</v>
      </c>
      <c r="B416" s="4">
        <v>24</v>
      </c>
      <c r="C416" s="4">
        <v>1</v>
      </c>
      <c r="D416" s="4">
        <v>1</v>
      </c>
      <c r="E416" s="4">
        <v>1</v>
      </c>
      <c r="F416" s="4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1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</row>
    <row r="417" spans="1:65" x14ac:dyDescent="0.25">
      <c r="A417" s="2" t="s">
        <v>98</v>
      </c>
      <c r="B417" s="4">
        <v>24</v>
      </c>
      <c r="C417" s="4">
        <v>1</v>
      </c>
      <c r="D417" s="4">
        <v>1</v>
      </c>
      <c r="E417" s="4">
        <v>2</v>
      </c>
      <c r="F417" s="4">
        <v>0</v>
      </c>
      <c r="G417" s="3">
        <v>0</v>
      </c>
      <c r="H417" s="3">
        <v>0</v>
      </c>
      <c r="I417" s="3">
        <v>1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1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1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1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1</v>
      </c>
      <c r="BM417" s="3">
        <v>0</v>
      </c>
    </row>
    <row r="418" spans="1:65" x14ac:dyDescent="0.25">
      <c r="A418" s="2" t="s">
        <v>98</v>
      </c>
      <c r="B418" s="4">
        <v>24</v>
      </c>
      <c r="C418" s="4">
        <v>1</v>
      </c>
      <c r="D418" s="4">
        <v>1</v>
      </c>
      <c r="E418" s="4">
        <v>3</v>
      </c>
      <c r="F418" s="4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1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</row>
    <row r="419" spans="1:65" x14ac:dyDescent="0.25">
      <c r="A419" s="2" t="s">
        <v>98</v>
      </c>
      <c r="B419" s="4">
        <v>24</v>
      </c>
      <c r="C419" s="4">
        <v>1</v>
      </c>
      <c r="D419" s="4">
        <v>2</v>
      </c>
      <c r="E419" s="4">
        <v>1</v>
      </c>
      <c r="F419" s="4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</row>
    <row r="420" spans="1:65" x14ac:dyDescent="0.25">
      <c r="A420" s="2" t="s">
        <v>98</v>
      </c>
      <c r="B420" s="4">
        <v>24</v>
      </c>
      <c r="C420" s="4">
        <v>1</v>
      </c>
      <c r="D420" s="4">
        <v>2</v>
      </c>
      <c r="E420" s="4">
        <v>2</v>
      </c>
      <c r="F420" s="4">
        <v>0</v>
      </c>
      <c r="G420" s="3">
        <v>0</v>
      </c>
      <c r="H420" s="3">
        <v>0</v>
      </c>
      <c r="I420" s="3">
        <v>0</v>
      </c>
      <c r="J420" s="3">
        <v>0</v>
      </c>
      <c r="K420" s="3">
        <v>1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2</v>
      </c>
      <c r="BA420" s="3">
        <v>0</v>
      </c>
      <c r="BB420" s="3">
        <v>0</v>
      </c>
      <c r="BC420" s="3">
        <v>1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</row>
    <row r="421" spans="1:65" x14ac:dyDescent="0.25">
      <c r="A421" s="2" t="s">
        <v>98</v>
      </c>
      <c r="B421" s="4">
        <v>24</v>
      </c>
      <c r="C421" s="4">
        <v>1</v>
      </c>
      <c r="D421" s="4">
        <v>2</v>
      </c>
      <c r="E421" s="4">
        <v>3</v>
      </c>
      <c r="F421" s="4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</row>
    <row r="422" spans="1:65" x14ac:dyDescent="0.25">
      <c r="A422" s="2" t="s">
        <v>98</v>
      </c>
      <c r="B422" s="4">
        <v>24</v>
      </c>
      <c r="C422" s="4">
        <v>1</v>
      </c>
      <c r="D422" s="4">
        <v>3</v>
      </c>
      <c r="E422" s="4">
        <v>1</v>
      </c>
      <c r="F422" s="4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1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1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1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</row>
    <row r="423" spans="1:65" x14ac:dyDescent="0.25">
      <c r="A423" s="2" t="s">
        <v>98</v>
      </c>
      <c r="B423" s="4">
        <v>24</v>
      </c>
      <c r="C423" s="4">
        <v>1</v>
      </c>
      <c r="D423" s="4">
        <v>3</v>
      </c>
      <c r="E423" s="4">
        <v>2</v>
      </c>
      <c r="F423" s="4">
        <v>0</v>
      </c>
      <c r="G423" s="3">
        <v>0</v>
      </c>
      <c r="H423" s="3">
        <v>0</v>
      </c>
      <c r="I423" s="3">
        <v>0</v>
      </c>
      <c r="J423" s="3">
        <v>0</v>
      </c>
      <c r="K423" s="3">
        <v>1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</row>
    <row r="424" spans="1:65" x14ac:dyDescent="0.25">
      <c r="A424" s="2" t="s">
        <v>98</v>
      </c>
      <c r="B424" s="4">
        <v>24</v>
      </c>
      <c r="C424" s="4">
        <v>1</v>
      </c>
      <c r="D424" s="4">
        <v>3</v>
      </c>
      <c r="E424" s="4">
        <v>3</v>
      </c>
      <c r="F424" s="4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</row>
    <row r="425" spans="1:65" x14ac:dyDescent="0.25">
      <c r="A425" s="2" t="s">
        <v>98</v>
      </c>
      <c r="B425" s="4">
        <v>24</v>
      </c>
      <c r="C425" s="4">
        <v>2</v>
      </c>
      <c r="D425" s="4">
        <v>1</v>
      </c>
      <c r="E425" s="4">
        <v>1</v>
      </c>
      <c r="F425" s="6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2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2</v>
      </c>
      <c r="BA425" s="3">
        <v>0</v>
      </c>
      <c r="BB425" s="3">
        <v>0</v>
      </c>
      <c r="BC425" s="3">
        <v>2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</row>
    <row r="426" spans="1:65" x14ac:dyDescent="0.25">
      <c r="A426" s="2" t="s">
        <v>98</v>
      </c>
      <c r="B426" s="4">
        <v>24</v>
      </c>
      <c r="C426" s="4">
        <v>2</v>
      </c>
      <c r="D426" s="4">
        <v>1</v>
      </c>
      <c r="E426" s="4">
        <v>2</v>
      </c>
      <c r="F426" s="6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1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1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2</v>
      </c>
      <c r="BA426" s="3">
        <v>1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1</v>
      </c>
      <c r="BM426" s="3">
        <v>0</v>
      </c>
    </row>
    <row r="427" spans="1:65" x14ac:dyDescent="0.25">
      <c r="A427" s="2" t="s">
        <v>98</v>
      </c>
      <c r="B427" s="4">
        <v>24</v>
      </c>
      <c r="C427" s="4">
        <v>2</v>
      </c>
      <c r="D427" s="4">
        <v>1</v>
      </c>
      <c r="E427" s="4">
        <v>3</v>
      </c>
      <c r="F427" s="6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1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</row>
    <row r="428" spans="1:65" x14ac:dyDescent="0.25">
      <c r="A428" s="2" t="s">
        <v>98</v>
      </c>
      <c r="B428" s="4">
        <v>24</v>
      </c>
      <c r="C428" s="4">
        <v>2</v>
      </c>
      <c r="D428" s="4">
        <v>2</v>
      </c>
      <c r="E428" s="4">
        <v>1</v>
      </c>
      <c r="F428" s="6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2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</row>
    <row r="429" spans="1:65" x14ac:dyDescent="0.25">
      <c r="A429" s="2" t="s">
        <v>98</v>
      </c>
      <c r="B429" s="4">
        <v>24</v>
      </c>
      <c r="C429" s="4">
        <v>2</v>
      </c>
      <c r="D429" s="4">
        <v>2</v>
      </c>
      <c r="E429" s="4">
        <v>2</v>
      </c>
      <c r="F429" s="6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1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</row>
    <row r="430" spans="1:65" x14ac:dyDescent="0.25">
      <c r="A430" s="2" t="s">
        <v>98</v>
      </c>
      <c r="B430" s="4">
        <v>24</v>
      </c>
      <c r="C430" s="4">
        <v>2</v>
      </c>
      <c r="D430" s="4">
        <v>2</v>
      </c>
      <c r="E430" s="4">
        <v>3</v>
      </c>
      <c r="F430" s="6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</row>
    <row r="431" spans="1:65" x14ac:dyDescent="0.25">
      <c r="A431" s="2" t="s">
        <v>98</v>
      </c>
      <c r="B431" s="4">
        <v>24</v>
      </c>
      <c r="C431" s="4">
        <v>2</v>
      </c>
      <c r="D431" s="4">
        <v>3</v>
      </c>
      <c r="E431" s="4">
        <v>1</v>
      </c>
      <c r="F431" s="6">
        <v>0</v>
      </c>
      <c r="G431" s="3">
        <v>0</v>
      </c>
      <c r="H431" s="3">
        <v>0</v>
      </c>
      <c r="I431" s="3">
        <v>0</v>
      </c>
      <c r="J431" s="3">
        <v>0</v>
      </c>
      <c r="K431" s="3">
        <v>2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</row>
    <row r="432" spans="1:65" x14ac:dyDescent="0.25">
      <c r="A432" s="2" t="s">
        <v>98</v>
      </c>
      <c r="B432" s="4">
        <v>24</v>
      </c>
      <c r="C432" s="4">
        <v>2</v>
      </c>
      <c r="D432" s="4">
        <v>3</v>
      </c>
      <c r="E432" s="4">
        <v>2</v>
      </c>
      <c r="F432" s="6">
        <v>0</v>
      </c>
      <c r="G432" s="3">
        <v>1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</row>
    <row r="433" spans="1:65" x14ac:dyDescent="0.25">
      <c r="A433" s="2" t="s">
        <v>98</v>
      </c>
      <c r="B433" s="4">
        <v>24</v>
      </c>
      <c r="C433" s="4">
        <v>2</v>
      </c>
      <c r="D433" s="4">
        <v>3</v>
      </c>
      <c r="E433" s="4">
        <v>3</v>
      </c>
      <c r="F433" s="6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1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</row>
    <row r="434" spans="1:65" x14ac:dyDescent="0.25">
      <c r="A434" s="2" t="s">
        <v>99</v>
      </c>
      <c r="B434" s="4">
        <v>25</v>
      </c>
      <c r="C434" s="4">
        <v>1</v>
      </c>
      <c r="D434" s="4">
        <v>1</v>
      </c>
      <c r="E434" s="4">
        <v>1</v>
      </c>
      <c r="F434" s="4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1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1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1</v>
      </c>
      <c r="BB434" s="3">
        <v>0</v>
      </c>
      <c r="BC434" s="3">
        <v>2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1</v>
      </c>
      <c r="BM434" s="3">
        <v>0</v>
      </c>
    </row>
    <row r="435" spans="1:65" x14ac:dyDescent="0.25">
      <c r="A435" s="2" t="s">
        <v>99</v>
      </c>
      <c r="B435" s="4">
        <v>25</v>
      </c>
      <c r="C435" s="4">
        <v>1</v>
      </c>
      <c r="D435" s="4">
        <v>1</v>
      </c>
      <c r="E435" s="4">
        <v>2</v>
      </c>
      <c r="F435" s="4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1</v>
      </c>
      <c r="Z435" s="3">
        <v>0</v>
      </c>
      <c r="AA435" s="3">
        <v>0</v>
      </c>
      <c r="AB435" s="3">
        <v>0</v>
      </c>
      <c r="AC435" s="3">
        <v>0</v>
      </c>
      <c r="AD435" s="3">
        <v>1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1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</row>
    <row r="436" spans="1:65" x14ac:dyDescent="0.25">
      <c r="A436" s="2" t="s">
        <v>99</v>
      </c>
      <c r="B436" s="4">
        <v>25</v>
      </c>
      <c r="C436" s="4">
        <v>1</v>
      </c>
      <c r="D436" s="4">
        <v>1</v>
      </c>
      <c r="E436" s="4">
        <v>3</v>
      </c>
      <c r="F436" s="4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1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</row>
    <row r="437" spans="1:65" x14ac:dyDescent="0.25">
      <c r="A437" s="2" t="s">
        <v>99</v>
      </c>
      <c r="B437" s="4">
        <v>25</v>
      </c>
      <c r="C437" s="4">
        <v>1</v>
      </c>
      <c r="D437" s="4">
        <v>2</v>
      </c>
      <c r="E437" s="4">
        <v>1</v>
      </c>
      <c r="F437" s="4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2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1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</row>
    <row r="438" spans="1:65" x14ac:dyDescent="0.25">
      <c r="A438" s="2" t="s">
        <v>99</v>
      </c>
      <c r="B438" s="4">
        <v>25</v>
      </c>
      <c r="C438" s="4">
        <v>1</v>
      </c>
      <c r="D438" s="4">
        <v>2</v>
      </c>
      <c r="E438" s="4">
        <v>2</v>
      </c>
      <c r="F438" s="4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1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</row>
    <row r="439" spans="1:65" x14ac:dyDescent="0.25">
      <c r="A439" s="2" t="s">
        <v>99</v>
      </c>
      <c r="B439" s="4">
        <v>25</v>
      </c>
      <c r="C439" s="4">
        <v>1</v>
      </c>
      <c r="D439" s="4">
        <v>2</v>
      </c>
      <c r="E439" s="4">
        <v>3</v>
      </c>
      <c r="F439" s="4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</row>
    <row r="440" spans="1:65" x14ac:dyDescent="0.25">
      <c r="A440" s="2" t="s">
        <v>99</v>
      </c>
      <c r="B440" s="4">
        <v>25</v>
      </c>
      <c r="C440" s="4">
        <v>1</v>
      </c>
      <c r="D440" s="4">
        <v>3</v>
      </c>
      <c r="E440" s="4">
        <v>1</v>
      </c>
      <c r="F440" s="4">
        <v>0</v>
      </c>
      <c r="G440" s="3">
        <v>0</v>
      </c>
      <c r="H440" s="3">
        <v>0</v>
      </c>
      <c r="I440" s="3">
        <v>0</v>
      </c>
      <c r="J440" s="3">
        <v>0</v>
      </c>
      <c r="K440" s="3">
        <v>1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1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2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</row>
    <row r="441" spans="1:65" x14ac:dyDescent="0.25">
      <c r="A441" s="2" t="s">
        <v>99</v>
      </c>
      <c r="B441" s="4">
        <v>25</v>
      </c>
      <c r="C441" s="4">
        <v>1</v>
      </c>
      <c r="D441" s="4">
        <v>3</v>
      </c>
      <c r="E441" s="4">
        <v>2</v>
      </c>
      <c r="F441" s="4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1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</row>
    <row r="442" spans="1:65" x14ac:dyDescent="0.25">
      <c r="A442" s="2" t="s">
        <v>99</v>
      </c>
      <c r="B442" s="4">
        <v>25</v>
      </c>
      <c r="C442" s="4">
        <v>1</v>
      </c>
      <c r="D442" s="4">
        <v>3</v>
      </c>
      <c r="E442" s="4">
        <v>3</v>
      </c>
      <c r="F442" s="4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</row>
    <row r="443" spans="1:65" x14ac:dyDescent="0.25">
      <c r="A443" s="2" t="s">
        <v>99</v>
      </c>
      <c r="B443" s="4">
        <v>25</v>
      </c>
      <c r="C443" s="4">
        <v>2</v>
      </c>
      <c r="D443" s="4">
        <v>1</v>
      </c>
      <c r="E443" s="4">
        <v>1</v>
      </c>
      <c r="F443" s="6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1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1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2</v>
      </c>
      <c r="BB443" s="3">
        <v>0</v>
      </c>
      <c r="BC443" s="3">
        <v>1</v>
      </c>
      <c r="BD443" s="3">
        <v>0</v>
      </c>
      <c r="BE443" s="3">
        <v>0</v>
      </c>
      <c r="BF443" s="3">
        <v>0</v>
      </c>
      <c r="BG443" s="3">
        <v>0</v>
      </c>
      <c r="BH443" s="3">
        <v>1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</row>
    <row r="444" spans="1:65" x14ac:dyDescent="0.25">
      <c r="A444" s="2" t="s">
        <v>99</v>
      </c>
      <c r="B444" s="4">
        <v>25</v>
      </c>
      <c r="C444" s="4">
        <v>2</v>
      </c>
      <c r="D444" s="4">
        <v>1</v>
      </c>
      <c r="E444" s="4">
        <v>2</v>
      </c>
      <c r="F444" s="6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1</v>
      </c>
      <c r="AY444" s="3">
        <v>0</v>
      </c>
      <c r="AZ444" s="3">
        <v>0</v>
      </c>
      <c r="BA444" s="3">
        <v>1</v>
      </c>
      <c r="BB444" s="3">
        <v>0</v>
      </c>
      <c r="BC444" s="3">
        <v>2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</row>
    <row r="445" spans="1:65" x14ac:dyDescent="0.25">
      <c r="A445" s="2" t="s">
        <v>99</v>
      </c>
      <c r="B445" s="4">
        <v>25</v>
      </c>
      <c r="C445" s="4">
        <v>2</v>
      </c>
      <c r="D445" s="4">
        <v>1</v>
      </c>
      <c r="E445" s="4">
        <v>3</v>
      </c>
      <c r="F445" s="6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</row>
    <row r="446" spans="1:65" x14ac:dyDescent="0.25">
      <c r="A446" s="2" t="s">
        <v>99</v>
      </c>
      <c r="B446" s="4">
        <v>25</v>
      </c>
      <c r="C446" s="4">
        <v>2</v>
      </c>
      <c r="D446" s="4">
        <v>2</v>
      </c>
      <c r="E446" s="4">
        <v>1</v>
      </c>
      <c r="F446" s="6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</row>
    <row r="447" spans="1:65" x14ac:dyDescent="0.25">
      <c r="A447" s="2" t="s">
        <v>99</v>
      </c>
      <c r="B447" s="4">
        <v>25</v>
      </c>
      <c r="C447" s="4">
        <v>2</v>
      </c>
      <c r="D447" s="4">
        <v>2</v>
      </c>
      <c r="E447" s="4">
        <v>2</v>
      </c>
      <c r="F447" s="6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1</v>
      </c>
      <c r="BA447" s="3">
        <v>1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</row>
    <row r="448" spans="1:65" x14ac:dyDescent="0.25">
      <c r="A448" s="2" t="s">
        <v>99</v>
      </c>
      <c r="B448" s="4">
        <v>25</v>
      </c>
      <c r="C448" s="4">
        <v>2</v>
      </c>
      <c r="D448" s="4">
        <v>2</v>
      </c>
      <c r="E448" s="4">
        <v>3</v>
      </c>
      <c r="F448" s="6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</row>
    <row r="449" spans="1:65" x14ac:dyDescent="0.25">
      <c r="A449" s="2" t="s">
        <v>99</v>
      </c>
      <c r="B449" s="4">
        <v>25</v>
      </c>
      <c r="C449" s="4">
        <v>2</v>
      </c>
      <c r="D449" s="4">
        <v>3</v>
      </c>
      <c r="E449" s="4">
        <v>1</v>
      </c>
      <c r="F449" s="6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2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2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</row>
    <row r="450" spans="1:65" x14ac:dyDescent="0.25">
      <c r="A450" s="2" t="s">
        <v>99</v>
      </c>
      <c r="B450" s="4">
        <v>25</v>
      </c>
      <c r="C450" s="4">
        <v>2</v>
      </c>
      <c r="D450" s="4">
        <v>3</v>
      </c>
      <c r="E450" s="4">
        <v>2</v>
      </c>
      <c r="F450" s="6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1</v>
      </c>
      <c r="Q450" s="3">
        <v>0</v>
      </c>
      <c r="R450" s="3">
        <v>1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</row>
    <row r="451" spans="1:65" x14ac:dyDescent="0.25">
      <c r="A451" s="2" t="s">
        <v>99</v>
      </c>
      <c r="B451" s="4">
        <v>25</v>
      </c>
      <c r="C451" s="4">
        <v>2</v>
      </c>
      <c r="D451" s="4">
        <v>3</v>
      </c>
      <c r="E451" s="4">
        <v>3</v>
      </c>
      <c r="F451" s="6">
        <v>0</v>
      </c>
      <c r="G451" s="3">
        <v>0</v>
      </c>
      <c r="H451" s="3">
        <v>0</v>
      </c>
      <c r="I451" s="3">
        <v>0</v>
      </c>
      <c r="J451" s="3">
        <v>0</v>
      </c>
      <c r="K451" s="3">
        <v>2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1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</row>
    <row r="452" spans="1:65" x14ac:dyDescent="0.25">
      <c r="A452" s="2" t="s">
        <v>100</v>
      </c>
      <c r="B452" s="4">
        <v>26</v>
      </c>
      <c r="C452" s="4">
        <v>1</v>
      </c>
      <c r="D452" s="4">
        <v>1</v>
      </c>
      <c r="E452" s="4">
        <v>1</v>
      </c>
      <c r="F452" s="4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1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</row>
    <row r="453" spans="1:65" x14ac:dyDescent="0.25">
      <c r="A453" s="2" t="s">
        <v>100</v>
      </c>
      <c r="B453" s="4">
        <v>26</v>
      </c>
      <c r="C453" s="4">
        <v>1</v>
      </c>
      <c r="D453" s="4">
        <v>1</v>
      </c>
      <c r="E453" s="4">
        <v>2</v>
      </c>
      <c r="F453" s="4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1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1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1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1</v>
      </c>
      <c r="BM453" s="3">
        <v>0</v>
      </c>
    </row>
    <row r="454" spans="1:65" x14ac:dyDescent="0.25">
      <c r="A454" s="2" t="s">
        <v>100</v>
      </c>
      <c r="B454" s="4">
        <v>26</v>
      </c>
      <c r="C454" s="4">
        <v>1</v>
      </c>
      <c r="D454" s="4">
        <v>1</v>
      </c>
      <c r="E454" s="4">
        <v>3</v>
      </c>
      <c r="F454" s="4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1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2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</row>
    <row r="455" spans="1:65" x14ac:dyDescent="0.25">
      <c r="A455" s="2" t="s">
        <v>100</v>
      </c>
      <c r="B455" s="4">
        <v>26</v>
      </c>
      <c r="C455" s="4">
        <v>1</v>
      </c>
      <c r="D455" s="4">
        <v>2</v>
      </c>
      <c r="E455" s="4">
        <v>1</v>
      </c>
      <c r="F455" s="4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</row>
    <row r="456" spans="1:65" x14ac:dyDescent="0.25">
      <c r="A456" s="2" t="s">
        <v>100</v>
      </c>
      <c r="B456" s="4">
        <v>26</v>
      </c>
      <c r="C456" s="4">
        <v>1</v>
      </c>
      <c r="D456" s="4">
        <v>2</v>
      </c>
      <c r="E456" s="4">
        <v>2</v>
      </c>
      <c r="F456" s="4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</row>
    <row r="457" spans="1:65" x14ac:dyDescent="0.25">
      <c r="A457" s="2" t="s">
        <v>100</v>
      </c>
      <c r="B457" s="4">
        <v>26</v>
      </c>
      <c r="C457" s="4">
        <v>1</v>
      </c>
      <c r="D457" s="4">
        <v>2</v>
      </c>
      <c r="E457" s="4">
        <v>3</v>
      </c>
      <c r="F457" s="4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</row>
    <row r="458" spans="1:65" x14ac:dyDescent="0.25">
      <c r="A458" s="2" t="s">
        <v>100</v>
      </c>
      <c r="B458" s="4">
        <v>26</v>
      </c>
      <c r="C458" s="4">
        <v>1</v>
      </c>
      <c r="D458" s="4">
        <v>3</v>
      </c>
      <c r="E458" s="4">
        <v>1</v>
      </c>
      <c r="F458" s="4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2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1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</row>
    <row r="459" spans="1:65" x14ac:dyDescent="0.25">
      <c r="A459" s="2" t="s">
        <v>100</v>
      </c>
      <c r="B459" s="4">
        <v>26</v>
      </c>
      <c r="C459" s="4">
        <v>1</v>
      </c>
      <c r="D459" s="4">
        <v>3</v>
      </c>
      <c r="E459" s="4">
        <v>2</v>
      </c>
      <c r="F459" s="4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1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1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</row>
    <row r="460" spans="1:65" x14ac:dyDescent="0.25">
      <c r="A460" s="2" t="s">
        <v>100</v>
      </c>
      <c r="B460" s="4">
        <v>26</v>
      </c>
      <c r="C460" s="4">
        <v>1</v>
      </c>
      <c r="D460" s="4">
        <v>3</v>
      </c>
      <c r="E460" s="4">
        <v>3</v>
      </c>
      <c r="F460" s="4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</row>
    <row r="461" spans="1:65" x14ac:dyDescent="0.25">
      <c r="A461" s="2" t="s">
        <v>100</v>
      </c>
      <c r="B461" s="4">
        <v>26</v>
      </c>
      <c r="C461" s="4">
        <v>2</v>
      </c>
      <c r="D461" s="4">
        <v>1</v>
      </c>
      <c r="E461" s="4">
        <v>1</v>
      </c>
      <c r="F461" s="6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1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</row>
    <row r="462" spans="1:65" x14ac:dyDescent="0.25">
      <c r="A462" s="2" t="s">
        <v>100</v>
      </c>
      <c r="B462" s="4">
        <v>26</v>
      </c>
      <c r="C462" s="4">
        <v>2</v>
      </c>
      <c r="D462" s="4">
        <v>1</v>
      </c>
      <c r="E462" s="4">
        <v>2</v>
      </c>
      <c r="F462" s="6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1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1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</row>
    <row r="463" spans="1:65" x14ac:dyDescent="0.25">
      <c r="A463" s="2" t="s">
        <v>100</v>
      </c>
      <c r="B463" s="4">
        <v>26</v>
      </c>
      <c r="C463" s="4">
        <v>2</v>
      </c>
      <c r="D463" s="4">
        <v>1</v>
      </c>
      <c r="E463" s="4">
        <v>3</v>
      </c>
      <c r="F463" s="6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1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1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</row>
    <row r="464" spans="1:65" x14ac:dyDescent="0.25">
      <c r="A464" s="2" t="s">
        <v>100</v>
      </c>
      <c r="B464" s="4">
        <v>26</v>
      </c>
      <c r="C464" s="4">
        <v>2</v>
      </c>
      <c r="D464" s="4">
        <v>2</v>
      </c>
      <c r="E464" s="4">
        <v>1</v>
      </c>
      <c r="F464" s="6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</row>
    <row r="465" spans="1:65" x14ac:dyDescent="0.25">
      <c r="A465" s="2" t="s">
        <v>100</v>
      </c>
      <c r="B465" s="4">
        <v>26</v>
      </c>
      <c r="C465" s="4">
        <v>2</v>
      </c>
      <c r="D465" s="4">
        <v>2</v>
      </c>
      <c r="E465" s="4">
        <v>2</v>
      </c>
      <c r="F465" s="6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</row>
    <row r="466" spans="1:65" x14ac:dyDescent="0.25">
      <c r="A466" s="2" t="s">
        <v>100</v>
      </c>
      <c r="B466" s="4">
        <v>26</v>
      </c>
      <c r="C466" s="4">
        <v>2</v>
      </c>
      <c r="D466" s="4">
        <v>2</v>
      </c>
      <c r="E466" s="4">
        <v>3</v>
      </c>
      <c r="F466" s="6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</row>
    <row r="467" spans="1:65" x14ac:dyDescent="0.25">
      <c r="A467" s="2" t="s">
        <v>100</v>
      </c>
      <c r="B467" s="4">
        <v>26</v>
      </c>
      <c r="C467" s="4">
        <v>2</v>
      </c>
      <c r="D467" s="4">
        <v>3</v>
      </c>
      <c r="E467" s="4">
        <v>1</v>
      </c>
      <c r="F467" s="6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</row>
    <row r="468" spans="1:65" x14ac:dyDescent="0.25">
      <c r="A468" s="2" t="s">
        <v>100</v>
      </c>
      <c r="B468" s="4">
        <v>26</v>
      </c>
      <c r="C468" s="4">
        <v>2</v>
      </c>
      <c r="D468" s="4">
        <v>3</v>
      </c>
      <c r="E468" s="4">
        <v>2</v>
      </c>
      <c r="F468" s="6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1</v>
      </c>
      <c r="BM468" s="3">
        <v>0</v>
      </c>
    </row>
    <row r="469" spans="1:65" x14ac:dyDescent="0.25">
      <c r="A469" s="2" t="s">
        <v>100</v>
      </c>
      <c r="B469" s="4">
        <v>26</v>
      </c>
      <c r="C469" s="4">
        <v>2</v>
      </c>
      <c r="D469" s="4">
        <v>3</v>
      </c>
      <c r="E469" s="4">
        <v>3</v>
      </c>
      <c r="F469" s="6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1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</row>
    <row r="470" spans="1:65" x14ac:dyDescent="0.25">
      <c r="A470" s="2" t="s">
        <v>101</v>
      </c>
      <c r="B470" s="4">
        <v>27</v>
      </c>
      <c r="C470" s="4">
        <v>1</v>
      </c>
      <c r="D470" s="4">
        <v>1</v>
      </c>
      <c r="E470" s="4">
        <v>1</v>
      </c>
      <c r="F470" s="4">
        <v>0</v>
      </c>
      <c r="G470" s="3">
        <v>1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1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1</v>
      </c>
      <c r="BA470" s="3">
        <v>0</v>
      </c>
      <c r="BB470" s="3">
        <v>0</v>
      </c>
      <c r="BC470" s="3">
        <v>1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</row>
    <row r="471" spans="1:65" x14ac:dyDescent="0.25">
      <c r="A471" s="2" t="s">
        <v>101</v>
      </c>
      <c r="B471" s="4">
        <v>27</v>
      </c>
      <c r="C471" s="4">
        <v>1</v>
      </c>
      <c r="D471" s="4">
        <v>1</v>
      </c>
      <c r="E471" s="4">
        <v>2</v>
      </c>
      <c r="F471" s="4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2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</row>
    <row r="472" spans="1:65" x14ac:dyDescent="0.25">
      <c r="A472" s="2" t="s">
        <v>101</v>
      </c>
      <c r="B472" s="4">
        <v>27</v>
      </c>
      <c r="C472" s="4">
        <v>1</v>
      </c>
      <c r="D472" s="4">
        <v>1</v>
      </c>
      <c r="E472" s="4">
        <v>3</v>
      </c>
      <c r="F472" s="4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1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</row>
    <row r="473" spans="1:65" x14ac:dyDescent="0.25">
      <c r="A473" s="2" t="s">
        <v>101</v>
      </c>
      <c r="B473" s="4">
        <v>27</v>
      </c>
      <c r="C473" s="4">
        <v>1</v>
      </c>
      <c r="D473" s="4">
        <v>2</v>
      </c>
      <c r="E473" s="4">
        <v>1</v>
      </c>
      <c r="F473" s="4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1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</row>
    <row r="474" spans="1:65" x14ac:dyDescent="0.25">
      <c r="A474" s="2" t="s">
        <v>101</v>
      </c>
      <c r="B474" s="4">
        <v>27</v>
      </c>
      <c r="C474" s="4">
        <v>1</v>
      </c>
      <c r="D474" s="4">
        <v>2</v>
      </c>
      <c r="E474" s="4">
        <v>2</v>
      </c>
      <c r="F474" s="4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</row>
    <row r="475" spans="1:65" x14ac:dyDescent="0.25">
      <c r="A475" s="2" t="s">
        <v>101</v>
      </c>
      <c r="B475" s="4">
        <v>27</v>
      </c>
      <c r="C475" s="4">
        <v>1</v>
      </c>
      <c r="D475" s="4">
        <v>2</v>
      </c>
      <c r="E475" s="4">
        <v>3</v>
      </c>
      <c r="F475" s="4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1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</row>
    <row r="476" spans="1:65" x14ac:dyDescent="0.25">
      <c r="A476" s="2" t="s">
        <v>101</v>
      </c>
      <c r="B476" s="4">
        <v>27</v>
      </c>
      <c r="C476" s="4">
        <v>1</v>
      </c>
      <c r="D476" s="4">
        <v>3</v>
      </c>
      <c r="E476" s="4">
        <v>1</v>
      </c>
      <c r="F476" s="4">
        <v>0</v>
      </c>
      <c r="G476" s="3">
        <v>0</v>
      </c>
      <c r="H476" s="3">
        <v>0</v>
      </c>
      <c r="I476" s="3">
        <v>0</v>
      </c>
      <c r="J476" s="3">
        <v>0</v>
      </c>
      <c r="K476" s="3">
        <v>1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1</v>
      </c>
      <c r="BB476" s="3">
        <v>0</v>
      </c>
      <c r="BC476" s="3">
        <v>1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</row>
    <row r="477" spans="1:65" x14ac:dyDescent="0.25">
      <c r="A477" s="2" t="s">
        <v>101</v>
      </c>
      <c r="B477" s="4">
        <v>27</v>
      </c>
      <c r="C477" s="4">
        <v>1</v>
      </c>
      <c r="D477" s="4">
        <v>3</v>
      </c>
      <c r="E477" s="4">
        <v>2</v>
      </c>
      <c r="F477" s="4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</row>
    <row r="478" spans="1:65" x14ac:dyDescent="0.25">
      <c r="A478" s="2" t="s">
        <v>101</v>
      </c>
      <c r="B478" s="4">
        <v>27</v>
      </c>
      <c r="C478" s="4">
        <v>1</v>
      </c>
      <c r="D478" s="4">
        <v>3</v>
      </c>
      <c r="E478" s="4">
        <v>3</v>
      </c>
      <c r="F478" s="4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</row>
    <row r="479" spans="1:65" x14ac:dyDescent="0.25">
      <c r="A479" s="2" t="s">
        <v>101</v>
      </c>
      <c r="B479" s="4">
        <v>27</v>
      </c>
      <c r="C479" s="4">
        <v>2</v>
      </c>
      <c r="D479" s="4">
        <v>1</v>
      </c>
      <c r="E479" s="4">
        <v>1</v>
      </c>
      <c r="F479" s="6">
        <v>0</v>
      </c>
      <c r="G479" s="3">
        <v>1</v>
      </c>
      <c r="H479" s="3">
        <v>0</v>
      </c>
      <c r="I479" s="3">
        <v>0</v>
      </c>
      <c r="J479" s="3">
        <v>0</v>
      </c>
      <c r="K479" s="3">
        <v>1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1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2</v>
      </c>
      <c r="BA479" s="3">
        <v>0</v>
      </c>
      <c r="BB479" s="3">
        <v>0</v>
      </c>
      <c r="BC479" s="3">
        <v>3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</row>
    <row r="480" spans="1:65" x14ac:dyDescent="0.25">
      <c r="A480" s="2" t="s">
        <v>101</v>
      </c>
      <c r="B480" s="4">
        <v>27</v>
      </c>
      <c r="C480" s="4">
        <v>2</v>
      </c>
      <c r="D480" s="4">
        <v>1</v>
      </c>
      <c r="E480" s="4">
        <v>2</v>
      </c>
      <c r="F480" s="6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1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</row>
    <row r="481" spans="1:65" x14ac:dyDescent="0.25">
      <c r="A481" s="2" t="s">
        <v>101</v>
      </c>
      <c r="B481" s="4">
        <v>27</v>
      </c>
      <c r="C481" s="4">
        <v>2</v>
      </c>
      <c r="D481" s="4">
        <v>1</v>
      </c>
      <c r="E481" s="4">
        <v>3</v>
      </c>
      <c r="F481" s="6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</row>
    <row r="482" spans="1:65" x14ac:dyDescent="0.25">
      <c r="A482" s="2" t="s">
        <v>101</v>
      </c>
      <c r="B482" s="4">
        <v>27</v>
      </c>
      <c r="C482" s="4">
        <v>2</v>
      </c>
      <c r="D482" s="4">
        <v>2</v>
      </c>
      <c r="E482" s="4">
        <v>1</v>
      </c>
      <c r="F482" s="6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1</v>
      </c>
      <c r="BB482" s="3">
        <v>0</v>
      </c>
      <c r="BC482" s="3">
        <v>1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</row>
    <row r="483" spans="1:65" x14ac:dyDescent="0.25">
      <c r="A483" s="2" t="s">
        <v>101</v>
      </c>
      <c r="B483" s="4">
        <v>27</v>
      </c>
      <c r="C483" s="4">
        <v>2</v>
      </c>
      <c r="D483" s="4">
        <v>2</v>
      </c>
      <c r="E483" s="4">
        <v>2</v>
      </c>
      <c r="F483" s="6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</row>
    <row r="484" spans="1:65" x14ac:dyDescent="0.25">
      <c r="A484" s="2" t="s">
        <v>101</v>
      </c>
      <c r="B484" s="4">
        <v>27</v>
      </c>
      <c r="C484" s="4">
        <v>2</v>
      </c>
      <c r="D484" s="4">
        <v>2</v>
      </c>
      <c r="E484" s="4">
        <v>3</v>
      </c>
      <c r="F484" s="6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</row>
    <row r="485" spans="1:65" x14ac:dyDescent="0.25">
      <c r="A485" s="2" t="s">
        <v>101</v>
      </c>
      <c r="B485" s="4">
        <v>27</v>
      </c>
      <c r="C485" s="4">
        <v>2</v>
      </c>
      <c r="D485" s="4">
        <v>3</v>
      </c>
      <c r="E485" s="4">
        <v>1</v>
      </c>
      <c r="F485" s="6">
        <v>0</v>
      </c>
      <c r="G485" s="3">
        <v>1</v>
      </c>
      <c r="H485" s="3">
        <v>0</v>
      </c>
      <c r="I485" s="3">
        <v>0</v>
      </c>
      <c r="J485" s="3">
        <v>0</v>
      </c>
      <c r="K485" s="3">
        <v>1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</row>
    <row r="486" spans="1:65" x14ac:dyDescent="0.25">
      <c r="A486" s="2" t="s">
        <v>101</v>
      </c>
      <c r="B486" s="4">
        <v>27</v>
      </c>
      <c r="C486" s="4">
        <v>2</v>
      </c>
      <c r="D486" s="4">
        <v>3</v>
      </c>
      <c r="E486" s="4">
        <v>2</v>
      </c>
      <c r="F486" s="6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1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</row>
    <row r="487" spans="1:65" x14ac:dyDescent="0.25">
      <c r="A487" s="2" t="s">
        <v>101</v>
      </c>
      <c r="B487" s="4">
        <v>27</v>
      </c>
      <c r="C487" s="4">
        <v>2</v>
      </c>
      <c r="D487" s="4">
        <v>3</v>
      </c>
      <c r="E487" s="4">
        <v>3</v>
      </c>
      <c r="F487" s="6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</row>
    <row r="488" spans="1:65" x14ac:dyDescent="0.25">
      <c r="A488" s="2" t="s">
        <v>102</v>
      </c>
      <c r="B488" s="4">
        <v>28</v>
      </c>
      <c r="C488" s="4">
        <v>1</v>
      </c>
      <c r="D488" s="4">
        <v>1</v>
      </c>
      <c r="E488" s="4">
        <v>1</v>
      </c>
      <c r="F488" s="4">
        <v>0</v>
      </c>
      <c r="G488" s="3">
        <v>0</v>
      </c>
      <c r="H488" s="3">
        <v>0</v>
      </c>
      <c r="I488" s="3">
        <v>0</v>
      </c>
      <c r="J488" s="3">
        <v>0</v>
      </c>
      <c r="K488" s="3">
        <v>1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1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</row>
    <row r="489" spans="1:65" x14ac:dyDescent="0.25">
      <c r="A489" s="2" t="s">
        <v>102</v>
      </c>
      <c r="B489" s="4">
        <v>28</v>
      </c>
      <c r="C489" s="4">
        <v>1</v>
      </c>
      <c r="D489" s="4">
        <v>1</v>
      </c>
      <c r="E489" s="4">
        <v>2</v>
      </c>
      <c r="F489" s="4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1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2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</row>
    <row r="490" spans="1:65" x14ac:dyDescent="0.25">
      <c r="A490" s="2" t="s">
        <v>102</v>
      </c>
      <c r="B490" s="4">
        <v>28</v>
      </c>
      <c r="C490" s="4">
        <v>1</v>
      </c>
      <c r="D490" s="4">
        <v>1</v>
      </c>
      <c r="E490" s="4">
        <v>3</v>
      </c>
      <c r="F490" s="4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</row>
    <row r="491" spans="1:65" x14ac:dyDescent="0.25">
      <c r="A491" s="2" t="s">
        <v>102</v>
      </c>
      <c r="B491" s="4">
        <v>28</v>
      </c>
      <c r="C491" s="4">
        <v>1</v>
      </c>
      <c r="D491" s="4">
        <v>2</v>
      </c>
      <c r="E491" s="4">
        <v>1</v>
      </c>
      <c r="F491" s="4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1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</row>
    <row r="492" spans="1:65" x14ac:dyDescent="0.25">
      <c r="A492" s="2" t="s">
        <v>102</v>
      </c>
      <c r="B492" s="4">
        <v>28</v>
      </c>
      <c r="C492" s="4">
        <v>1</v>
      </c>
      <c r="D492" s="4">
        <v>2</v>
      </c>
      <c r="E492" s="4">
        <v>2</v>
      </c>
      <c r="F492" s="4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</row>
    <row r="493" spans="1:65" x14ac:dyDescent="0.25">
      <c r="A493" s="2" t="s">
        <v>102</v>
      </c>
      <c r="B493" s="4">
        <v>28</v>
      </c>
      <c r="C493" s="4">
        <v>1</v>
      </c>
      <c r="D493" s="4">
        <v>2</v>
      </c>
      <c r="E493" s="4">
        <v>3</v>
      </c>
      <c r="F493" s="4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</row>
    <row r="494" spans="1:65" x14ac:dyDescent="0.25">
      <c r="A494" s="2" t="s">
        <v>102</v>
      </c>
      <c r="B494" s="4">
        <v>28</v>
      </c>
      <c r="C494" s="4">
        <v>1</v>
      </c>
      <c r="D494" s="4">
        <v>3</v>
      </c>
      <c r="E494" s="4">
        <v>1</v>
      </c>
      <c r="F494" s="4">
        <v>0</v>
      </c>
      <c r="G494" s="3">
        <v>0</v>
      </c>
      <c r="H494" s="3">
        <v>0</v>
      </c>
      <c r="I494" s="3">
        <v>0</v>
      </c>
      <c r="J494" s="3">
        <v>0</v>
      </c>
      <c r="K494" s="3">
        <v>1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1</v>
      </c>
      <c r="AA494" s="3">
        <v>0</v>
      </c>
      <c r="AB494" s="3">
        <v>0</v>
      </c>
      <c r="AC494" s="3">
        <v>1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1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1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</row>
    <row r="495" spans="1:65" x14ac:dyDescent="0.25">
      <c r="A495" s="2" t="s">
        <v>102</v>
      </c>
      <c r="B495" s="4">
        <v>28</v>
      </c>
      <c r="C495" s="4">
        <v>1</v>
      </c>
      <c r="D495" s="4">
        <v>3</v>
      </c>
      <c r="E495" s="4">
        <v>2</v>
      </c>
      <c r="F495" s="4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1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</row>
    <row r="496" spans="1:65" x14ac:dyDescent="0.25">
      <c r="A496" s="2" t="s">
        <v>102</v>
      </c>
      <c r="B496" s="4">
        <v>28</v>
      </c>
      <c r="C496" s="4">
        <v>1</v>
      </c>
      <c r="D496" s="4">
        <v>3</v>
      </c>
      <c r="E496" s="4">
        <v>3</v>
      </c>
      <c r="F496" s="4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</row>
    <row r="497" spans="1:65" x14ac:dyDescent="0.25">
      <c r="A497" s="2" t="s">
        <v>102</v>
      </c>
      <c r="B497" s="4">
        <v>28</v>
      </c>
      <c r="C497" s="4">
        <v>2</v>
      </c>
      <c r="D497" s="4">
        <v>1</v>
      </c>
      <c r="E497" s="4">
        <v>1</v>
      </c>
      <c r="F497" s="6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1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4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</row>
    <row r="498" spans="1:65" x14ac:dyDescent="0.25">
      <c r="A498" s="2" t="s">
        <v>102</v>
      </c>
      <c r="B498" s="4">
        <v>28</v>
      </c>
      <c r="C498" s="4">
        <v>2</v>
      </c>
      <c r="D498" s="4">
        <v>1</v>
      </c>
      <c r="E498" s="4">
        <v>2</v>
      </c>
      <c r="F498" s="6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1</v>
      </c>
      <c r="Z498" s="3">
        <v>1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1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</row>
    <row r="499" spans="1:65" x14ac:dyDescent="0.25">
      <c r="A499" s="2" t="s">
        <v>102</v>
      </c>
      <c r="B499" s="4">
        <v>28</v>
      </c>
      <c r="C499" s="4">
        <v>2</v>
      </c>
      <c r="D499" s="4">
        <v>1</v>
      </c>
      <c r="E499" s="4">
        <v>3</v>
      </c>
      <c r="F499" s="6">
        <v>0</v>
      </c>
      <c r="G499" s="3">
        <v>1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1</v>
      </c>
      <c r="BM499" s="3">
        <v>0</v>
      </c>
    </row>
    <row r="500" spans="1:65" x14ac:dyDescent="0.25">
      <c r="A500" s="2" t="s">
        <v>102</v>
      </c>
      <c r="B500" s="4">
        <v>28</v>
      </c>
      <c r="C500" s="4">
        <v>2</v>
      </c>
      <c r="D500" s="4">
        <v>2</v>
      </c>
      <c r="E500" s="4">
        <v>1</v>
      </c>
      <c r="F500" s="6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</row>
    <row r="501" spans="1:65" x14ac:dyDescent="0.25">
      <c r="A501" s="2" t="s">
        <v>102</v>
      </c>
      <c r="B501" s="4">
        <v>28</v>
      </c>
      <c r="C501" s="4">
        <v>2</v>
      </c>
      <c r="D501" s="4">
        <v>2</v>
      </c>
      <c r="E501" s="4">
        <v>2</v>
      </c>
      <c r="F501" s="6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1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</row>
    <row r="502" spans="1:65" x14ac:dyDescent="0.25">
      <c r="A502" s="2" t="s">
        <v>102</v>
      </c>
      <c r="B502" s="4">
        <v>28</v>
      </c>
      <c r="C502" s="4">
        <v>2</v>
      </c>
      <c r="D502" s="4">
        <v>2</v>
      </c>
      <c r="E502" s="4">
        <v>3</v>
      </c>
      <c r="F502" s="6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</row>
    <row r="503" spans="1:65" x14ac:dyDescent="0.25">
      <c r="A503" s="2" t="s">
        <v>102</v>
      </c>
      <c r="B503" s="4">
        <v>28</v>
      </c>
      <c r="C503" s="4">
        <v>2</v>
      </c>
      <c r="D503" s="4">
        <v>3</v>
      </c>
      <c r="E503" s="4">
        <v>1</v>
      </c>
      <c r="F503" s="6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1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</row>
    <row r="504" spans="1:65" x14ac:dyDescent="0.25">
      <c r="A504" s="2" t="s">
        <v>102</v>
      </c>
      <c r="B504" s="4">
        <v>28</v>
      </c>
      <c r="C504" s="4">
        <v>2</v>
      </c>
      <c r="D504" s="4">
        <v>3</v>
      </c>
      <c r="E504" s="4">
        <v>2</v>
      </c>
      <c r="F504" s="6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</row>
    <row r="505" spans="1:65" x14ac:dyDescent="0.25">
      <c r="A505" s="2" t="s">
        <v>102</v>
      </c>
      <c r="B505" s="4">
        <v>28</v>
      </c>
      <c r="C505" s="4">
        <v>2</v>
      </c>
      <c r="D505" s="4">
        <v>3</v>
      </c>
      <c r="E505" s="4">
        <v>3</v>
      </c>
      <c r="F505" s="6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</row>
    <row r="506" spans="1:65" x14ac:dyDescent="0.25">
      <c r="A506" s="2" t="s">
        <v>103</v>
      </c>
      <c r="B506" s="4">
        <v>29</v>
      </c>
      <c r="C506" s="4">
        <v>1</v>
      </c>
      <c r="D506" s="4">
        <v>1</v>
      </c>
      <c r="E506" s="4">
        <v>1</v>
      </c>
      <c r="F506" s="4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1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2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1</v>
      </c>
      <c r="BM506" s="3">
        <v>0</v>
      </c>
    </row>
    <row r="507" spans="1:65" x14ac:dyDescent="0.25">
      <c r="A507" s="2" t="s">
        <v>103</v>
      </c>
      <c r="B507" s="4">
        <v>29</v>
      </c>
      <c r="C507" s="4">
        <v>1</v>
      </c>
      <c r="D507" s="4">
        <v>1</v>
      </c>
      <c r="E507" s="4">
        <v>2</v>
      </c>
      <c r="F507" s="4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1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1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2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</row>
    <row r="508" spans="1:65" x14ac:dyDescent="0.25">
      <c r="A508" s="2" t="s">
        <v>103</v>
      </c>
      <c r="B508" s="4">
        <v>29</v>
      </c>
      <c r="C508" s="4">
        <v>1</v>
      </c>
      <c r="D508" s="4">
        <v>1</v>
      </c>
      <c r="E508" s="4">
        <v>3</v>
      </c>
      <c r="F508" s="4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</row>
    <row r="509" spans="1:65" x14ac:dyDescent="0.25">
      <c r="A509" s="2" t="s">
        <v>103</v>
      </c>
      <c r="B509" s="4">
        <v>29</v>
      </c>
      <c r="C509" s="4">
        <v>1</v>
      </c>
      <c r="D509" s="4">
        <v>2</v>
      </c>
      <c r="E509" s="4">
        <v>1</v>
      </c>
      <c r="F509" s="4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1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</row>
    <row r="510" spans="1:65" x14ac:dyDescent="0.25">
      <c r="A510" s="2" t="s">
        <v>103</v>
      </c>
      <c r="B510" s="4">
        <v>29</v>
      </c>
      <c r="C510" s="4">
        <v>1</v>
      </c>
      <c r="D510" s="4">
        <v>2</v>
      </c>
      <c r="E510" s="4">
        <v>2</v>
      </c>
      <c r="F510" s="4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1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</row>
    <row r="511" spans="1:65" x14ac:dyDescent="0.25">
      <c r="A511" s="2" t="s">
        <v>103</v>
      </c>
      <c r="B511" s="4">
        <v>29</v>
      </c>
      <c r="C511" s="4">
        <v>1</v>
      </c>
      <c r="D511" s="4">
        <v>2</v>
      </c>
      <c r="E511" s="4">
        <v>3</v>
      </c>
      <c r="F511" s="4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</row>
    <row r="512" spans="1:65" x14ac:dyDescent="0.25">
      <c r="A512" s="2" t="s">
        <v>103</v>
      </c>
      <c r="B512" s="4">
        <v>29</v>
      </c>
      <c r="C512" s="4">
        <v>1</v>
      </c>
      <c r="D512" s="4">
        <v>3</v>
      </c>
      <c r="E512" s="4">
        <v>1</v>
      </c>
      <c r="F512" s="4">
        <v>0</v>
      </c>
      <c r="G512" s="3">
        <v>1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1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1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</row>
    <row r="513" spans="1:65" x14ac:dyDescent="0.25">
      <c r="A513" s="2" t="s">
        <v>103</v>
      </c>
      <c r="B513" s="4">
        <v>29</v>
      </c>
      <c r="C513" s="4">
        <v>1</v>
      </c>
      <c r="D513" s="4">
        <v>3</v>
      </c>
      <c r="E513" s="4">
        <v>2</v>
      </c>
      <c r="F513" s="4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</row>
    <row r="514" spans="1:65" x14ac:dyDescent="0.25">
      <c r="A514" s="2" t="s">
        <v>103</v>
      </c>
      <c r="B514" s="4">
        <v>29</v>
      </c>
      <c r="C514" s="4">
        <v>1</v>
      </c>
      <c r="D514" s="4">
        <v>3</v>
      </c>
      <c r="E514" s="4">
        <v>3</v>
      </c>
      <c r="F514" s="4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</row>
    <row r="515" spans="1:65" x14ac:dyDescent="0.25">
      <c r="A515" s="2" t="s">
        <v>103</v>
      </c>
      <c r="B515" s="4">
        <v>29</v>
      </c>
      <c r="C515" s="4">
        <v>2</v>
      </c>
      <c r="D515" s="4">
        <v>1</v>
      </c>
      <c r="E515" s="4">
        <v>1</v>
      </c>
      <c r="F515" s="6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1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1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</row>
    <row r="516" spans="1:65" x14ac:dyDescent="0.25">
      <c r="A516" s="2" t="s">
        <v>103</v>
      </c>
      <c r="B516" s="4">
        <v>29</v>
      </c>
      <c r="C516" s="4">
        <v>2</v>
      </c>
      <c r="D516" s="4">
        <v>1</v>
      </c>
      <c r="E516" s="4">
        <v>2</v>
      </c>
      <c r="F516" s="6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1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1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1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1</v>
      </c>
      <c r="BM516" s="3">
        <v>0</v>
      </c>
    </row>
    <row r="517" spans="1:65" x14ac:dyDescent="0.25">
      <c r="A517" s="2" t="s">
        <v>103</v>
      </c>
      <c r="B517" s="4">
        <v>29</v>
      </c>
      <c r="C517" s="4">
        <v>2</v>
      </c>
      <c r="D517" s="4">
        <v>1</v>
      </c>
      <c r="E517" s="4">
        <v>3</v>
      </c>
      <c r="F517" s="6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1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</row>
    <row r="518" spans="1:65" x14ac:dyDescent="0.25">
      <c r="A518" s="2" t="s">
        <v>103</v>
      </c>
      <c r="B518" s="4">
        <v>29</v>
      </c>
      <c r="C518" s="4">
        <v>2</v>
      </c>
      <c r="D518" s="4">
        <v>2</v>
      </c>
      <c r="E518" s="4">
        <v>1</v>
      </c>
      <c r="F518" s="6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0</v>
      </c>
    </row>
    <row r="519" spans="1:65" x14ac:dyDescent="0.25">
      <c r="A519" s="2" t="s">
        <v>103</v>
      </c>
      <c r="B519" s="4">
        <v>29</v>
      </c>
      <c r="C519" s="4">
        <v>2</v>
      </c>
      <c r="D519" s="4">
        <v>2</v>
      </c>
      <c r="E519" s="4">
        <v>2</v>
      </c>
      <c r="F519" s="6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1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1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</row>
    <row r="520" spans="1:65" x14ac:dyDescent="0.25">
      <c r="A520" s="2" t="s">
        <v>103</v>
      </c>
      <c r="B520" s="4">
        <v>29</v>
      </c>
      <c r="C520" s="4">
        <v>2</v>
      </c>
      <c r="D520" s="4">
        <v>2</v>
      </c>
      <c r="E520" s="4">
        <v>3</v>
      </c>
      <c r="F520" s="6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1</v>
      </c>
      <c r="BM520" s="3">
        <v>0</v>
      </c>
    </row>
    <row r="521" spans="1:65" x14ac:dyDescent="0.25">
      <c r="A521" s="2" t="s">
        <v>103</v>
      </c>
      <c r="B521" s="4">
        <v>29</v>
      </c>
      <c r="C521" s="4">
        <v>2</v>
      </c>
      <c r="D521" s="4">
        <v>3</v>
      </c>
      <c r="E521" s="4">
        <v>1</v>
      </c>
      <c r="F521" s="6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1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</row>
    <row r="522" spans="1:65" x14ac:dyDescent="0.25">
      <c r="A522" s="2" t="s">
        <v>103</v>
      </c>
      <c r="B522" s="4">
        <v>29</v>
      </c>
      <c r="C522" s="4">
        <v>2</v>
      </c>
      <c r="D522" s="4">
        <v>3</v>
      </c>
      <c r="E522" s="4">
        <v>2</v>
      </c>
      <c r="F522" s="6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1</v>
      </c>
      <c r="BA522" s="3">
        <v>1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</row>
    <row r="523" spans="1:65" x14ac:dyDescent="0.25">
      <c r="A523" s="2" t="s">
        <v>103</v>
      </c>
      <c r="B523" s="4">
        <v>29</v>
      </c>
      <c r="C523" s="4">
        <v>2</v>
      </c>
      <c r="D523" s="4">
        <v>3</v>
      </c>
      <c r="E523" s="4">
        <v>3</v>
      </c>
      <c r="F523" s="6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</row>
    <row r="524" spans="1:65" x14ac:dyDescent="0.25">
      <c r="A524" s="2" t="s">
        <v>104</v>
      </c>
      <c r="B524" s="4">
        <v>30</v>
      </c>
      <c r="C524" s="4">
        <v>1</v>
      </c>
      <c r="D524" s="4">
        <v>1</v>
      </c>
      <c r="E524" s="4">
        <v>1</v>
      </c>
      <c r="F524" s="4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1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1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2</v>
      </c>
      <c r="BA524" s="3">
        <v>0</v>
      </c>
      <c r="BB524" s="3">
        <v>1</v>
      </c>
      <c r="BC524" s="3">
        <v>1</v>
      </c>
      <c r="BD524" s="3">
        <v>0</v>
      </c>
      <c r="BE524" s="3">
        <v>0</v>
      </c>
      <c r="BF524" s="3">
        <v>0</v>
      </c>
      <c r="BG524" s="3">
        <v>0</v>
      </c>
      <c r="BH524" s="3">
        <v>1</v>
      </c>
      <c r="BI524" s="3">
        <v>0</v>
      </c>
      <c r="BJ524" s="3">
        <v>0</v>
      </c>
      <c r="BK524" s="3">
        <v>0</v>
      </c>
      <c r="BL524" s="3">
        <v>1</v>
      </c>
      <c r="BM524" s="3">
        <v>0</v>
      </c>
    </row>
    <row r="525" spans="1:65" x14ac:dyDescent="0.25">
      <c r="A525" s="2" t="s">
        <v>104</v>
      </c>
      <c r="B525" s="4">
        <v>30</v>
      </c>
      <c r="C525" s="4">
        <v>1</v>
      </c>
      <c r="D525" s="4">
        <v>1</v>
      </c>
      <c r="E525" s="4">
        <v>2</v>
      </c>
      <c r="F525" s="4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1</v>
      </c>
      <c r="BA525" s="3">
        <v>1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1</v>
      </c>
      <c r="BM525" s="3">
        <v>0</v>
      </c>
    </row>
    <row r="526" spans="1:65" x14ac:dyDescent="0.25">
      <c r="A526" s="2" t="s">
        <v>104</v>
      </c>
      <c r="B526" s="4">
        <v>30</v>
      </c>
      <c r="C526" s="4">
        <v>1</v>
      </c>
      <c r="D526" s="4">
        <v>1</v>
      </c>
      <c r="E526" s="4">
        <v>3</v>
      </c>
      <c r="F526" s="4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</row>
    <row r="527" spans="1:65" x14ac:dyDescent="0.25">
      <c r="A527" s="2" t="s">
        <v>104</v>
      </c>
      <c r="B527" s="4">
        <v>30</v>
      </c>
      <c r="C527" s="4">
        <v>1</v>
      </c>
      <c r="D527" s="4">
        <v>2</v>
      </c>
      <c r="E527" s="4">
        <v>1</v>
      </c>
      <c r="F527" s="4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1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</row>
    <row r="528" spans="1:65" x14ac:dyDescent="0.25">
      <c r="A528" s="2" t="s">
        <v>104</v>
      </c>
      <c r="B528" s="4">
        <v>30</v>
      </c>
      <c r="C528" s="4">
        <v>1</v>
      </c>
      <c r="D528" s="4">
        <v>2</v>
      </c>
      <c r="E528" s="4">
        <v>2</v>
      </c>
      <c r="F528" s="4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</row>
    <row r="529" spans="1:65" x14ac:dyDescent="0.25">
      <c r="A529" s="2" t="s">
        <v>104</v>
      </c>
      <c r="B529" s="4">
        <v>30</v>
      </c>
      <c r="C529" s="4">
        <v>1</v>
      </c>
      <c r="D529" s="4">
        <v>2</v>
      </c>
      <c r="E529" s="4">
        <v>3</v>
      </c>
      <c r="F529" s="4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</row>
    <row r="530" spans="1:65" x14ac:dyDescent="0.25">
      <c r="A530" s="2" t="s">
        <v>104</v>
      </c>
      <c r="B530" s="4">
        <v>30</v>
      </c>
      <c r="C530" s="4">
        <v>1</v>
      </c>
      <c r="D530" s="4">
        <v>3</v>
      </c>
      <c r="E530" s="4">
        <v>1</v>
      </c>
      <c r="F530" s="4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</row>
    <row r="531" spans="1:65" x14ac:dyDescent="0.25">
      <c r="A531" s="2" t="s">
        <v>104</v>
      </c>
      <c r="B531" s="4">
        <v>30</v>
      </c>
      <c r="C531" s="4">
        <v>1</v>
      </c>
      <c r="D531" s="4">
        <v>3</v>
      </c>
      <c r="E531" s="4">
        <v>2</v>
      </c>
      <c r="F531" s="4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</row>
    <row r="532" spans="1:65" x14ac:dyDescent="0.25">
      <c r="A532" s="2" t="s">
        <v>104</v>
      </c>
      <c r="B532" s="4">
        <v>30</v>
      </c>
      <c r="C532" s="4">
        <v>1</v>
      </c>
      <c r="D532" s="4">
        <v>3</v>
      </c>
      <c r="E532" s="4">
        <v>3</v>
      </c>
      <c r="F532" s="4">
        <v>0</v>
      </c>
      <c r="G532" s="3">
        <v>0</v>
      </c>
      <c r="H532" s="3">
        <v>0</v>
      </c>
      <c r="I532" s="3">
        <v>1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</row>
    <row r="533" spans="1:65" x14ac:dyDescent="0.25">
      <c r="A533" s="2" t="s">
        <v>104</v>
      </c>
      <c r="B533" s="4">
        <v>30</v>
      </c>
      <c r="C533" s="4">
        <v>2</v>
      </c>
      <c r="D533" s="4">
        <v>1</v>
      </c>
      <c r="E533" s="4">
        <v>1</v>
      </c>
      <c r="F533" s="6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2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2</v>
      </c>
      <c r="BA533" s="3">
        <v>1</v>
      </c>
      <c r="BB533" s="3">
        <v>1</v>
      </c>
      <c r="BC533" s="3">
        <v>2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1</v>
      </c>
      <c r="BM533" s="3">
        <v>1</v>
      </c>
    </row>
    <row r="534" spans="1:65" x14ac:dyDescent="0.25">
      <c r="A534" s="2" t="s">
        <v>104</v>
      </c>
      <c r="B534" s="4">
        <v>30</v>
      </c>
      <c r="C534" s="4">
        <v>2</v>
      </c>
      <c r="D534" s="4">
        <v>1</v>
      </c>
      <c r="E534" s="4">
        <v>2</v>
      </c>
      <c r="F534" s="6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1</v>
      </c>
      <c r="AB534" s="3">
        <v>0</v>
      </c>
      <c r="AC534" s="3">
        <v>0</v>
      </c>
      <c r="AD534" s="3">
        <v>0</v>
      </c>
      <c r="AE534" s="3">
        <v>0</v>
      </c>
      <c r="AF534" s="3">
        <v>1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1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</row>
    <row r="535" spans="1:65" x14ac:dyDescent="0.25">
      <c r="A535" s="2" t="s">
        <v>104</v>
      </c>
      <c r="B535" s="4">
        <v>30</v>
      </c>
      <c r="C535" s="4">
        <v>2</v>
      </c>
      <c r="D535" s="4">
        <v>1</v>
      </c>
      <c r="E535" s="4">
        <v>3</v>
      </c>
      <c r="F535" s="6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</row>
    <row r="536" spans="1:65" x14ac:dyDescent="0.25">
      <c r="A536" s="2" t="s">
        <v>104</v>
      </c>
      <c r="B536" s="4">
        <v>30</v>
      </c>
      <c r="C536" s="4">
        <v>2</v>
      </c>
      <c r="D536" s="4">
        <v>2</v>
      </c>
      <c r="E536" s="4">
        <v>1</v>
      </c>
      <c r="F536" s="6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1</v>
      </c>
      <c r="X536" s="3">
        <v>0</v>
      </c>
      <c r="Y536" s="3">
        <v>1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</row>
    <row r="537" spans="1:65" x14ac:dyDescent="0.25">
      <c r="A537" s="2" t="s">
        <v>104</v>
      </c>
      <c r="B537" s="4">
        <v>30</v>
      </c>
      <c r="C537" s="4">
        <v>2</v>
      </c>
      <c r="D537" s="4">
        <v>2</v>
      </c>
      <c r="E537" s="4">
        <v>2</v>
      </c>
      <c r="F537" s="6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</row>
    <row r="538" spans="1:65" x14ac:dyDescent="0.25">
      <c r="A538" s="2" t="s">
        <v>104</v>
      </c>
      <c r="B538" s="4">
        <v>30</v>
      </c>
      <c r="C538" s="4">
        <v>2</v>
      </c>
      <c r="D538" s="4">
        <v>2</v>
      </c>
      <c r="E538" s="4">
        <v>3</v>
      </c>
      <c r="F538" s="6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</row>
    <row r="539" spans="1:65" x14ac:dyDescent="0.25">
      <c r="A539" s="2" t="s">
        <v>104</v>
      </c>
      <c r="B539" s="4">
        <v>30</v>
      </c>
      <c r="C539" s="4">
        <v>2</v>
      </c>
      <c r="D539" s="4">
        <v>3</v>
      </c>
      <c r="E539" s="4">
        <v>1</v>
      </c>
      <c r="F539" s="6">
        <v>0</v>
      </c>
      <c r="G539" s="3">
        <v>2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1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1</v>
      </c>
      <c r="BM539" s="3">
        <v>0</v>
      </c>
    </row>
    <row r="540" spans="1:65" x14ac:dyDescent="0.25">
      <c r="A540" s="2" t="s">
        <v>104</v>
      </c>
      <c r="B540" s="4">
        <v>30</v>
      </c>
      <c r="C540" s="4">
        <v>2</v>
      </c>
      <c r="D540" s="4">
        <v>3</v>
      </c>
      <c r="E540" s="4">
        <v>2</v>
      </c>
      <c r="F540" s="6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</row>
    <row r="541" spans="1:65" x14ac:dyDescent="0.25">
      <c r="A541" s="2" t="s">
        <v>104</v>
      </c>
      <c r="B541" s="4">
        <v>30</v>
      </c>
      <c r="C541" s="4">
        <v>2</v>
      </c>
      <c r="D541" s="4">
        <v>3</v>
      </c>
      <c r="E541" s="4">
        <v>3</v>
      </c>
      <c r="F541" s="6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</row>
    <row r="542" spans="1:65" x14ac:dyDescent="0.25">
      <c r="A542" s="2" t="s">
        <v>105</v>
      </c>
      <c r="B542" s="4">
        <v>31</v>
      </c>
      <c r="C542" s="4">
        <v>1</v>
      </c>
      <c r="D542" s="4">
        <v>1</v>
      </c>
      <c r="E542" s="4">
        <v>1</v>
      </c>
      <c r="F542" s="4">
        <v>0</v>
      </c>
      <c r="G542" s="3">
        <v>2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1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1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2</v>
      </c>
      <c r="BA542" s="3">
        <v>1</v>
      </c>
      <c r="BB542" s="3">
        <v>1</v>
      </c>
      <c r="BC542" s="3">
        <v>2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1</v>
      </c>
      <c r="BM542" s="3">
        <v>0</v>
      </c>
    </row>
    <row r="543" spans="1:65" x14ac:dyDescent="0.25">
      <c r="A543" s="2" t="s">
        <v>105</v>
      </c>
      <c r="B543" s="4">
        <v>31</v>
      </c>
      <c r="C543" s="4">
        <v>1</v>
      </c>
      <c r="D543" s="4">
        <v>1</v>
      </c>
      <c r="E543" s="4">
        <v>2</v>
      </c>
      <c r="F543" s="4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1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1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</row>
    <row r="544" spans="1:65" x14ac:dyDescent="0.25">
      <c r="A544" s="2" t="s">
        <v>105</v>
      </c>
      <c r="B544" s="4">
        <v>31</v>
      </c>
      <c r="C544" s="4">
        <v>1</v>
      </c>
      <c r="D544" s="4">
        <v>1</v>
      </c>
      <c r="E544" s="4">
        <v>3</v>
      </c>
      <c r="F544" s="4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</row>
    <row r="545" spans="1:65" x14ac:dyDescent="0.25">
      <c r="A545" s="2" t="s">
        <v>105</v>
      </c>
      <c r="B545" s="4">
        <v>31</v>
      </c>
      <c r="C545" s="4">
        <v>1</v>
      </c>
      <c r="D545" s="4">
        <v>2</v>
      </c>
      <c r="E545" s="4">
        <v>1</v>
      </c>
      <c r="F545" s="4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</row>
    <row r="546" spans="1:65" x14ac:dyDescent="0.25">
      <c r="A546" s="2" t="s">
        <v>105</v>
      </c>
      <c r="B546" s="4">
        <v>31</v>
      </c>
      <c r="C546" s="4">
        <v>1</v>
      </c>
      <c r="D546" s="4">
        <v>2</v>
      </c>
      <c r="E546" s="4">
        <v>2</v>
      </c>
      <c r="F546" s="4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2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0</v>
      </c>
    </row>
    <row r="547" spans="1:65" x14ac:dyDescent="0.25">
      <c r="A547" s="2" t="s">
        <v>105</v>
      </c>
      <c r="B547" s="4">
        <v>31</v>
      </c>
      <c r="C547" s="4">
        <v>1</v>
      </c>
      <c r="D547" s="4">
        <v>2</v>
      </c>
      <c r="E547" s="4">
        <v>3</v>
      </c>
      <c r="F547" s="4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</row>
    <row r="548" spans="1:65" x14ac:dyDescent="0.25">
      <c r="A548" s="2" t="s">
        <v>105</v>
      </c>
      <c r="B548" s="4">
        <v>31</v>
      </c>
      <c r="C548" s="4">
        <v>1</v>
      </c>
      <c r="D548" s="4">
        <v>3</v>
      </c>
      <c r="E548" s="4">
        <v>1</v>
      </c>
      <c r="F548" s="4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1</v>
      </c>
      <c r="AA548" s="3">
        <v>2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1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</row>
    <row r="549" spans="1:65" x14ac:dyDescent="0.25">
      <c r="A549" s="2" t="s">
        <v>105</v>
      </c>
      <c r="B549" s="4">
        <v>31</v>
      </c>
      <c r="C549" s="4">
        <v>1</v>
      </c>
      <c r="D549" s="4">
        <v>3</v>
      </c>
      <c r="E549" s="4">
        <v>2</v>
      </c>
      <c r="F549" s="4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3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1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</row>
    <row r="550" spans="1:65" x14ac:dyDescent="0.25">
      <c r="A550" s="2" t="s">
        <v>105</v>
      </c>
      <c r="B550" s="4">
        <v>31</v>
      </c>
      <c r="C550" s="4">
        <v>1</v>
      </c>
      <c r="D550" s="4">
        <v>3</v>
      </c>
      <c r="E550" s="4">
        <v>3</v>
      </c>
      <c r="F550" s="4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</row>
    <row r="551" spans="1:65" x14ac:dyDescent="0.25">
      <c r="A551" s="2" t="s">
        <v>105</v>
      </c>
      <c r="B551" s="4">
        <v>31</v>
      </c>
      <c r="C551" s="4">
        <v>2</v>
      </c>
      <c r="D551" s="4">
        <v>1</v>
      </c>
      <c r="E551" s="4">
        <v>1</v>
      </c>
      <c r="F551" s="6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3</v>
      </c>
      <c r="BA551" s="3">
        <v>1</v>
      </c>
      <c r="BB551" s="3">
        <v>1</v>
      </c>
      <c r="BC551" s="3">
        <v>1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</row>
    <row r="552" spans="1:65" x14ac:dyDescent="0.25">
      <c r="A552" s="2" t="s">
        <v>105</v>
      </c>
      <c r="B552" s="4">
        <v>31</v>
      </c>
      <c r="C552" s="4">
        <v>2</v>
      </c>
      <c r="D552" s="4">
        <v>1</v>
      </c>
      <c r="E552" s="4">
        <v>2</v>
      </c>
      <c r="F552" s="6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1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1</v>
      </c>
      <c r="BB552" s="3">
        <v>1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1</v>
      </c>
      <c r="BM552" s="3">
        <v>0</v>
      </c>
    </row>
    <row r="553" spans="1:65" x14ac:dyDescent="0.25">
      <c r="A553" s="2" t="s">
        <v>105</v>
      </c>
      <c r="B553" s="4">
        <v>31</v>
      </c>
      <c r="C553" s="4">
        <v>2</v>
      </c>
      <c r="D553" s="4">
        <v>1</v>
      </c>
      <c r="E553" s="4">
        <v>3</v>
      </c>
      <c r="F553" s="6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</row>
    <row r="554" spans="1:65" x14ac:dyDescent="0.25">
      <c r="A554" s="2" t="s">
        <v>105</v>
      </c>
      <c r="B554" s="4">
        <v>31</v>
      </c>
      <c r="C554" s="4">
        <v>2</v>
      </c>
      <c r="D554" s="4">
        <v>2</v>
      </c>
      <c r="E554" s="4">
        <v>1</v>
      </c>
      <c r="F554" s="6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</row>
    <row r="555" spans="1:65" x14ac:dyDescent="0.25">
      <c r="A555" s="2" t="s">
        <v>105</v>
      </c>
      <c r="B555" s="4">
        <v>31</v>
      </c>
      <c r="C555" s="4">
        <v>2</v>
      </c>
      <c r="D555" s="4">
        <v>2</v>
      </c>
      <c r="E555" s="4">
        <v>2</v>
      </c>
      <c r="F555" s="6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1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</row>
    <row r="556" spans="1:65" x14ac:dyDescent="0.25">
      <c r="A556" s="2" t="s">
        <v>105</v>
      </c>
      <c r="B556" s="4">
        <v>31</v>
      </c>
      <c r="C556" s="4">
        <v>2</v>
      </c>
      <c r="D556" s="4">
        <v>2</v>
      </c>
      <c r="E556" s="4">
        <v>3</v>
      </c>
      <c r="F556" s="6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</row>
    <row r="557" spans="1:65" x14ac:dyDescent="0.25">
      <c r="A557" s="2" t="s">
        <v>105</v>
      </c>
      <c r="B557" s="4">
        <v>31</v>
      </c>
      <c r="C557" s="4">
        <v>2</v>
      </c>
      <c r="D557" s="4">
        <v>3</v>
      </c>
      <c r="E557" s="4">
        <v>1</v>
      </c>
      <c r="F557" s="6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1</v>
      </c>
      <c r="BA557" s="3">
        <v>0</v>
      </c>
      <c r="BB557" s="3">
        <v>0</v>
      </c>
      <c r="BC557" s="3">
        <v>2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</row>
    <row r="558" spans="1:65" x14ac:dyDescent="0.25">
      <c r="A558" s="2" t="s">
        <v>105</v>
      </c>
      <c r="B558" s="4">
        <v>31</v>
      </c>
      <c r="C558" s="4">
        <v>2</v>
      </c>
      <c r="D558" s="4">
        <v>3</v>
      </c>
      <c r="E558" s="4">
        <v>2</v>
      </c>
      <c r="F558" s="6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1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</row>
    <row r="559" spans="1:65" x14ac:dyDescent="0.25">
      <c r="A559" s="2" t="s">
        <v>105</v>
      </c>
      <c r="B559" s="4">
        <v>31</v>
      </c>
      <c r="C559" s="4">
        <v>2</v>
      </c>
      <c r="D559" s="4">
        <v>3</v>
      </c>
      <c r="E559" s="4">
        <v>3</v>
      </c>
      <c r="F559" s="6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</row>
    <row r="560" spans="1:65" x14ac:dyDescent="0.25">
      <c r="A560" s="2" t="s">
        <v>106</v>
      </c>
      <c r="B560" s="4">
        <v>32</v>
      </c>
      <c r="C560" s="4">
        <v>1</v>
      </c>
      <c r="D560" s="4">
        <v>1</v>
      </c>
      <c r="E560" s="4">
        <v>1</v>
      </c>
      <c r="F560" s="4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3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2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3">
        <v>0</v>
      </c>
    </row>
    <row r="561" spans="1:65" x14ac:dyDescent="0.25">
      <c r="A561" s="2" t="s">
        <v>106</v>
      </c>
      <c r="B561" s="4">
        <v>32</v>
      </c>
      <c r="C561" s="4">
        <v>1</v>
      </c>
      <c r="D561" s="4">
        <v>1</v>
      </c>
      <c r="E561" s="4">
        <v>2</v>
      </c>
      <c r="F561" s="4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1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1</v>
      </c>
      <c r="BA561" s="3">
        <v>0</v>
      </c>
      <c r="BB561" s="3">
        <v>1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1</v>
      </c>
      <c r="BI561" s="3">
        <v>0</v>
      </c>
      <c r="BJ561" s="3">
        <v>0</v>
      </c>
      <c r="BK561" s="3">
        <v>0</v>
      </c>
      <c r="BL561" s="3">
        <v>1</v>
      </c>
      <c r="BM561" s="3">
        <v>0</v>
      </c>
    </row>
    <row r="562" spans="1:65" x14ac:dyDescent="0.25">
      <c r="A562" s="2" t="s">
        <v>106</v>
      </c>
      <c r="B562" s="4">
        <v>32</v>
      </c>
      <c r="C562" s="4">
        <v>1</v>
      </c>
      <c r="D562" s="4">
        <v>1</v>
      </c>
      <c r="E562" s="4">
        <v>3</v>
      </c>
      <c r="F562" s="4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1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</row>
    <row r="563" spans="1:65" x14ac:dyDescent="0.25">
      <c r="A563" s="2" t="s">
        <v>106</v>
      </c>
      <c r="B563" s="4">
        <v>32</v>
      </c>
      <c r="C563" s="4">
        <v>1</v>
      </c>
      <c r="D563" s="4">
        <v>2</v>
      </c>
      <c r="E563" s="4">
        <v>1</v>
      </c>
      <c r="F563" s="4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2</v>
      </c>
      <c r="BJ563" s="3">
        <v>0</v>
      </c>
      <c r="BK563" s="3">
        <v>0</v>
      </c>
      <c r="BL563" s="3">
        <v>0</v>
      </c>
      <c r="BM563" s="3">
        <v>0</v>
      </c>
    </row>
    <row r="564" spans="1:65" x14ac:dyDescent="0.25">
      <c r="A564" s="2" t="s">
        <v>106</v>
      </c>
      <c r="B564" s="4">
        <v>32</v>
      </c>
      <c r="C564" s="4">
        <v>1</v>
      </c>
      <c r="D564" s="4">
        <v>2</v>
      </c>
      <c r="E564" s="4">
        <v>2</v>
      </c>
      <c r="F564" s="4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1</v>
      </c>
      <c r="BL564" s="3">
        <v>0</v>
      </c>
      <c r="BM564" s="3">
        <v>0</v>
      </c>
    </row>
    <row r="565" spans="1:65" x14ac:dyDescent="0.25">
      <c r="A565" s="2" t="s">
        <v>106</v>
      </c>
      <c r="B565" s="4">
        <v>32</v>
      </c>
      <c r="C565" s="4">
        <v>1</v>
      </c>
      <c r="D565" s="4">
        <v>2</v>
      </c>
      <c r="E565" s="4">
        <v>3</v>
      </c>
      <c r="F565" s="4">
        <v>0</v>
      </c>
      <c r="G565" s="3">
        <v>0</v>
      </c>
      <c r="H565" s="3">
        <v>0</v>
      </c>
      <c r="I565" s="3">
        <v>0</v>
      </c>
      <c r="J565" s="3">
        <v>1</v>
      </c>
      <c r="K565" s="3">
        <v>0</v>
      </c>
      <c r="L565" s="3">
        <v>0</v>
      </c>
      <c r="M565" s="3">
        <v>0</v>
      </c>
      <c r="N565" s="3">
        <v>1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</row>
    <row r="566" spans="1:65" x14ac:dyDescent="0.25">
      <c r="A566" s="2" t="s">
        <v>106</v>
      </c>
      <c r="B566" s="4">
        <v>32</v>
      </c>
      <c r="C566" s="4">
        <v>1</v>
      </c>
      <c r="D566" s="4">
        <v>3</v>
      </c>
      <c r="E566" s="4">
        <v>1</v>
      </c>
      <c r="F566" s="4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2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</row>
    <row r="567" spans="1:65" x14ac:dyDescent="0.25">
      <c r="A567" s="2" t="s">
        <v>106</v>
      </c>
      <c r="B567" s="4">
        <v>32</v>
      </c>
      <c r="C567" s="4">
        <v>1</v>
      </c>
      <c r="D567" s="4">
        <v>3</v>
      </c>
      <c r="E567" s="4">
        <v>2</v>
      </c>
      <c r="F567" s="4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</row>
    <row r="568" spans="1:65" x14ac:dyDescent="0.25">
      <c r="A568" s="2" t="s">
        <v>106</v>
      </c>
      <c r="B568" s="4">
        <v>32</v>
      </c>
      <c r="C568" s="4">
        <v>1</v>
      </c>
      <c r="D568" s="4">
        <v>3</v>
      </c>
      <c r="E568" s="4">
        <v>3</v>
      </c>
      <c r="F568" s="4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</row>
    <row r="569" spans="1:65" x14ac:dyDescent="0.25">
      <c r="A569" s="2" t="s">
        <v>106</v>
      </c>
      <c r="B569" s="4">
        <v>32</v>
      </c>
      <c r="C569" s="4">
        <v>2</v>
      </c>
      <c r="D569" s="4">
        <v>1</v>
      </c>
      <c r="E569" s="4">
        <v>1</v>
      </c>
      <c r="F569" s="6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2</v>
      </c>
      <c r="BA569" s="3">
        <v>1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</row>
    <row r="570" spans="1:65" x14ac:dyDescent="0.25">
      <c r="A570" s="2" t="s">
        <v>106</v>
      </c>
      <c r="B570" s="4">
        <v>32</v>
      </c>
      <c r="C570" s="4">
        <v>2</v>
      </c>
      <c r="D570" s="4">
        <v>1</v>
      </c>
      <c r="E570" s="4">
        <v>2</v>
      </c>
      <c r="F570" s="6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1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1</v>
      </c>
      <c r="BC570" s="3">
        <v>0</v>
      </c>
      <c r="BD570" s="3">
        <v>0</v>
      </c>
      <c r="BE570" s="3">
        <v>0</v>
      </c>
      <c r="BF570" s="3">
        <v>1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</row>
    <row r="571" spans="1:65" x14ac:dyDescent="0.25">
      <c r="A571" s="2" t="s">
        <v>106</v>
      </c>
      <c r="B571" s="4">
        <v>32</v>
      </c>
      <c r="C571" s="4">
        <v>2</v>
      </c>
      <c r="D571" s="4">
        <v>1</v>
      </c>
      <c r="E571" s="4">
        <v>3</v>
      </c>
      <c r="F571" s="6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</row>
    <row r="572" spans="1:65" x14ac:dyDescent="0.25">
      <c r="A572" s="2" t="s">
        <v>106</v>
      </c>
      <c r="B572" s="4">
        <v>32</v>
      </c>
      <c r="C572" s="4">
        <v>2</v>
      </c>
      <c r="D572" s="4">
        <v>2</v>
      </c>
      <c r="E572" s="4">
        <v>1</v>
      </c>
      <c r="F572" s="6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1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</row>
    <row r="573" spans="1:65" x14ac:dyDescent="0.25">
      <c r="A573" s="2" t="s">
        <v>106</v>
      </c>
      <c r="B573" s="4">
        <v>32</v>
      </c>
      <c r="C573" s="4">
        <v>2</v>
      </c>
      <c r="D573" s="4">
        <v>2</v>
      </c>
      <c r="E573" s="4">
        <v>2</v>
      </c>
      <c r="F573" s="6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</row>
    <row r="574" spans="1:65" x14ac:dyDescent="0.25">
      <c r="A574" s="2" t="s">
        <v>106</v>
      </c>
      <c r="B574" s="4">
        <v>32</v>
      </c>
      <c r="C574" s="4">
        <v>2</v>
      </c>
      <c r="D574" s="4">
        <v>2</v>
      </c>
      <c r="E574" s="4">
        <v>3</v>
      </c>
      <c r="F574" s="6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</row>
    <row r="575" spans="1:65" x14ac:dyDescent="0.25">
      <c r="A575" s="2" t="s">
        <v>106</v>
      </c>
      <c r="B575" s="4">
        <v>32</v>
      </c>
      <c r="C575" s="4">
        <v>2</v>
      </c>
      <c r="D575" s="4">
        <v>3</v>
      </c>
      <c r="E575" s="4">
        <v>1</v>
      </c>
      <c r="F575" s="6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1</v>
      </c>
      <c r="BM575" s="3">
        <v>0</v>
      </c>
    </row>
    <row r="576" spans="1:65" x14ac:dyDescent="0.25">
      <c r="A576" s="2" t="s">
        <v>106</v>
      </c>
      <c r="B576" s="4">
        <v>32</v>
      </c>
      <c r="C576" s="4">
        <v>2</v>
      </c>
      <c r="D576" s="4">
        <v>3</v>
      </c>
      <c r="E576" s="4">
        <v>2</v>
      </c>
      <c r="F576" s="6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1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</row>
    <row r="577" spans="1:65" x14ac:dyDescent="0.25">
      <c r="A577" s="2" t="s">
        <v>106</v>
      </c>
      <c r="B577" s="4">
        <v>32</v>
      </c>
      <c r="C577" s="4">
        <v>2</v>
      </c>
      <c r="D577" s="4">
        <v>3</v>
      </c>
      <c r="E577" s="4">
        <v>3</v>
      </c>
      <c r="F577" s="6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1</v>
      </c>
      <c r="BA577" s="3">
        <v>0</v>
      </c>
      <c r="BB577" s="3">
        <v>1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</row>
    <row r="578" spans="1:65" x14ac:dyDescent="0.25">
      <c r="A578" s="2" t="s">
        <v>107</v>
      </c>
      <c r="B578" s="4">
        <v>33</v>
      </c>
      <c r="C578" s="4">
        <v>1</v>
      </c>
      <c r="D578" s="4">
        <v>1</v>
      </c>
      <c r="E578" s="4">
        <v>1</v>
      </c>
      <c r="F578" s="4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3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3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</row>
    <row r="579" spans="1:65" x14ac:dyDescent="0.25">
      <c r="A579" s="2" t="s">
        <v>107</v>
      </c>
      <c r="B579" s="4">
        <v>33</v>
      </c>
      <c r="C579" s="4">
        <v>1</v>
      </c>
      <c r="D579" s="4">
        <v>1</v>
      </c>
      <c r="E579" s="4">
        <v>2</v>
      </c>
      <c r="F579" s="4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1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1</v>
      </c>
      <c r="BM579" s="3">
        <v>0</v>
      </c>
    </row>
    <row r="580" spans="1:65" x14ac:dyDescent="0.25">
      <c r="A580" s="2" t="s">
        <v>107</v>
      </c>
      <c r="B580" s="4">
        <v>33</v>
      </c>
      <c r="C580" s="4">
        <v>1</v>
      </c>
      <c r="D580" s="4">
        <v>1</v>
      </c>
      <c r="E580" s="4">
        <v>3</v>
      </c>
      <c r="F580" s="4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</row>
    <row r="581" spans="1:65" x14ac:dyDescent="0.25">
      <c r="A581" s="2" t="s">
        <v>107</v>
      </c>
      <c r="B581" s="4">
        <v>33</v>
      </c>
      <c r="C581" s="4">
        <v>1</v>
      </c>
      <c r="D581" s="4">
        <v>2</v>
      </c>
      <c r="E581" s="4">
        <v>1</v>
      </c>
      <c r="F581" s="4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1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</row>
    <row r="582" spans="1:65" x14ac:dyDescent="0.25">
      <c r="A582" s="2" t="s">
        <v>107</v>
      </c>
      <c r="B582" s="4">
        <v>33</v>
      </c>
      <c r="C582" s="4">
        <v>1</v>
      </c>
      <c r="D582" s="4">
        <v>2</v>
      </c>
      <c r="E582" s="4">
        <v>2</v>
      </c>
      <c r="F582" s="4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</row>
    <row r="583" spans="1:65" x14ac:dyDescent="0.25">
      <c r="A583" s="2" t="s">
        <v>107</v>
      </c>
      <c r="B583" s="4">
        <v>33</v>
      </c>
      <c r="C583" s="4">
        <v>1</v>
      </c>
      <c r="D583" s="4">
        <v>2</v>
      </c>
      <c r="E583" s="4">
        <v>3</v>
      </c>
      <c r="F583" s="4">
        <v>0</v>
      </c>
      <c r="G583" s="3">
        <v>0</v>
      </c>
      <c r="H583" s="3">
        <v>0</v>
      </c>
      <c r="I583" s="3">
        <v>1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</row>
    <row r="584" spans="1:65" x14ac:dyDescent="0.25">
      <c r="A584" s="2" t="s">
        <v>107</v>
      </c>
      <c r="B584" s="4">
        <v>33</v>
      </c>
      <c r="C584" s="4">
        <v>1</v>
      </c>
      <c r="D584" s="4">
        <v>3</v>
      </c>
      <c r="E584" s="4">
        <v>1</v>
      </c>
      <c r="F584" s="4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2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</row>
    <row r="585" spans="1:65" x14ac:dyDescent="0.25">
      <c r="A585" s="2" t="s">
        <v>107</v>
      </c>
      <c r="B585" s="4">
        <v>33</v>
      </c>
      <c r="C585" s="4">
        <v>1</v>
      </c>
      <c r="D585" s="4">
        <v>3</v>
      </c>
      <c r="E585" s="4">
        <v>2</v>
      </c>
      <c r="F585" s="4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</row>
    <row r="586" spans="1:65" x14ac:dyDescent="0.25">
      <c r="A586" s="2" t="s">
        <v>107</v>
      </c>
      <c r="B586" s="4">
        <v>33</v>
      </c>
      <c r="C586" s="4">
        <v>1</v>
      </c>
      <c r="D586" s="4">
        <v>3</v>
      </c>
      <c r="E586" s="4">
        <v>3</v>
      </c>
      <c r="F586" s="4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</row>
    <row r="587" spans="1:65" x14ac:dyDescent="0.25">
      <c r="A587" s="2" t="s">
        <v>107</v>
      </c>
      <c r="B587" s="4">
        <v>33</v>
      </c>
      <c r="C587" s="4">
        <v>2</v>
      </c>
      <c r="D587" s="4">
        <v>1</v>
      </c>
      <c r="E587" s="4">
        <v>1</v>
      </c>
      <c r="F587" s="6">
        <v>0</v>
      </c>
      <c r="G587" s="3">
        <v>1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1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1</v>
      </c>
      <c r="BM587" s="3">
        <v>0</v>
      </c>
    </row>
    <row r="588" spans="1:65" x14ac:dyDescent="0.25">
      <c r="A588" s="2" t="s">
        <v>107</v>
      </c>
      <c r="B588" s="4">
        <v>33</v>
      </c>
      <c r="C588" s="4">
        <v>2</v>
      </c>
      <c r="D588" s="4">
        <v>1</v>
      </c>
      <c r="E588" s="4">
        <v>2</v>
      </c>
      <c r="F588" s="6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0</v>
      </c>
      <c r="BK588" s="3">
        <v>0</v>
      </c>
      <c r="BL588" s="3">
        <v>1</v>
      </c>
      <c r="BM588" s="3">
        <v>0</v>
      </c>
    </row>
    <row r="589" spans="1:65" x14ac:dyDescent="0.25">
      <c r="A589" s="2" t="s">
        <v>107</v>
      </c>
      <c r="B589" s="4">
        <v>33</v>
      </c>
      <c r="C589" s="4">
        <v>2</v>
      </c>
      <c r="D589" s="4">
        <v>1</v>
      </c>
      <c r="E589" s="4">
        <v>3</v>
      </c>
      <c r="F589" s="6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</row>
    <row r="590" spans="1:65" x14ac:dyDescent="0.25">
      <c r="A590" s="2" t="s">
        <v>107</v>
      </c>
      <c r="B590" s="4">
        <v>33</v>
      </c>
      <c r="C590" s="4">
        <v>2</v>
      </c>
      <c r="D590" s="4">
        <v>2</v>
      </c>
      <c r="E590" s="4">
        <v>1</v>
      </c>
      <c r="F590" s="6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1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2</v>
      </c>
      <c r="BA590" s="3">
        <v>0</v>
      </c>
      <c r="BB590" s="3">
        <v>0</v>
      </c>
      <c r="BC590" s="3">
        <v>2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</row>
    <row r="591" spans="1:65" x14ac:dyDescent="0.25">
      <c r="A591" s="2" t="s">
        <v>107</v>
      </c>
      <c r="B591" s="4">
        <v>33</v>
      </c>
      <c r="C591" s="4">
        <v>2</v>
      </c>
      <c r="D591" s="4">
        <v>2</v>
      </c>
      <c r="E591" s="4">
        <v>2</v>
      </c>
      <c r="F591" s="6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</row>
    <row r="592" spans="1:65" x14ac:dyDescent="0.25">
      <c r="A592" s="2" t="s">
        <v>107</v>
      </c>
      <c r="B592" s="4">
        <v>33</v>
      </c>
      <c r="C592" s="4">
        <v>2</v>
      </c>
      <c r="D592" s="4">
        <v>2</v>
      </c>
      <c r="E592" s="4">
        <v>3</v>
      </c>
      <c r="F592" s="6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</row>
    <row r="593" spans="1:65" x14ac:dyDescent="0.25">
      <c r="A593" s="2" t="s">
        <v>107</v>
      </c>
      <c r="B593" s="4">
        <v>33</v>
      </c>
      <c r="C593" s="4">
        <v>2</v>
      </c>
      <c r="D593" s="4">
        <v>3</v>
      </c>
      <c r="E593" s="4">
        <v>1</v>
      </c>
      <c r="F593" s="6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1</v>
      </c>
      <c r="Z593" s="3">
        <v>1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1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</row>
    <row r="594" spans="1:65" x14ac:dyDescent="0.25">
      <c r="A594" s="2" t="s">
        <v>107</v>
      </c>
      <c r="B594" s="4">
        <v>33</v>
      </c>
      <c r="C594" s="4">
        <v>2</v>
      </c>
      <c r="D594" s="4">
        <v>3</v>
      </c>
      <c r="E594" s="4">
        <v>2</v>
      </c>
      <c r="F594" s="6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</row>
    <row r="595" spans="1:65" x14ac:dyDescent="0.25">
      <c r="A595" s="2" t="s">
        <v>107</v>
      </c>
      <c r="B595" s="4">
        <v>33</v>
      </c>
      <c r="C595" s="4">
        <v>2</v>
      </c>
      <c r="D595" s="4">
        <v>3</v>
      </c>
      <c r="E595" s="4">
        <v>3</v>
      </c>
      <c r="F595" s="6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</row>
    <row r="596" spans="1:65" x14ac:dyDescent="0.25">
      <c r="A596" s="2" t="s">
        <v>108</v>
      </c>
      <c r="B596" s="4">
        <v>34</v>
      </c>
      <c r="C596" s="4">
        <v>1</v>
      </c>
      <c r="D596" s="4">
        <v>1</v>
      </c>
      <c r="E596" s="4">
        <v>1</v>
      </c>
      <c r="F596" s="4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1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</row>
    <row r="597" spans="1:65" x14ac:dyDescent="0.25">
      <c r="A597" s="2" t="s">
        <v>108</v>
      </c>
      <c r="B597" s="4">
        <v>34</v>
      </c>
      <c r="C597" s="4">
        <v>1</v>
      </c>
      <c r="D597" s="4">
        <v>1</v>
      </c>
      <c r="E597" s="4">
        <v>2</v>
      </c>
      <c r="F597" s="4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1</v>
      </c>
      <c r="O597" s="3">
        <v>0</v>
      </c>
      <c r="P597" s="3">
        <v>0</v>
      </c>
      <c r="Q597" s="3">
        <v>0</v>
      </c>
      <c r="R597" s="3">
        <v>2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1</v>
      </c>
      <c r="Z597" s="3">
        <v>0</v>
      </c>
      <c r="AA597" s="3">
        <v>0</v>
      </c>
      <c r="AB597" s="3">
        <v>1</v>
      </c>
      <c r="AC597" s="3">
        <v>0</v>
      </c>
      <c r="AD597" s="3">
        <v>0</v>
      </c>
      <c r="AE597" s="3">
        <v>0</v>
      </c>
      <c r="AF597" s="3">
        <v>2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1</v>
      </c>
      <c r="BM597" s="3">
        <v>0</v>
      </c>
    </row>
    <row r="598" spans="1:65" x14ac:dyDescent="0.25">
      <c r="A598" s="2" t="s">
        <v>108</v>
      </c>
      <c r="B598" s="4">
        <v>34</v>
      </c>
      <c r="C598" s="4">
        <v>1</v>
      </c>
      <c r="D598" s="4">
        <v>1</v>
      </c>
      <c r="E598" s="4">
        <v>3</v>
      </c>
      <c r="F598" s="4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</row>
    <row r="599" spans="1:65" x14ac:dyDescent="0.25">
      <c r="A599" s="2" t="s">
        <v>108</v>
      </c>
      <c r="B599" s="4">
        <v>34</v>
      </c>
      <c r="C599" s="4">
        <v>1</v>
      </c>
      <c r="D599" s="4">
        <v>2</v>
      </c>
      <c r="E599" s="4">
        <v>1</v>
      </c>
      <c r="F599" s="4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1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</row>
    <row r="600" spans="1:65" x14ac:dyDescent="0.25">
      <c r="A600" s="2" t="s">
        <v>108</v>
      </c>
      <c r="B600" s="4">
        <v>34</v>
      </c>
      <c r="C600" s="4">
        <v>1</v>
      </c>
      <c r="D600" s="4">
        <v>2</v>
      </c>
      <c r="E600" s="4">
        <v>2</v>
      </c>
      <c r="F600" s="4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</row>
    <row r="601" spans="1:65" x14ac:dyDescent="0.25">
      <c r="A601" s="2" t="s">
        <v>108</v>
      </c>
      <c r="B601" s="4">
        <v>34</v>
      </c>
      <c r="C601" s="4">
        <v>1</v>
      </c>
      <c r="D601" s="4">
        <v>2</v>
      </c>
      <c r="E601" s="4">
        <v>3</v>
      </c>
      <c r="F601" s="4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</row>
    <row r="602" spans="1:65" x14ac:dyDescent="0.25">
      <c r="A602" s="2" t="s">
        <v>108</v>
      </c>
      <c r="B602" s="4">
        <v>34</v>
      </c>
      <c r="C602" s="4">
        <v>1</v>
      </c>
      <c r="D602" s="4">
        <v>3</v>
      </c>
      <c r="E602" s="4">
        <v>1</v>
      </c>
      <c r="F602" s="4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</row>
    <row r="603" spans="1:65" x14ac:dyDescent="0.25">
      <c r="A603" s="2" t="s">
        <v>108</v>
      </c>
      <c r="B603" s="4">
        <v>34</v>
      </c>
      <c r="C603" s="4">
        <v>1</v>
      </c>
      <c r="D603" s="4">
        <v>3</v>
      </c>
      <c r="E603" s="4">
        <v>2</v>
      </c>
      <c r="F603" s="4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1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</row>
    <row r="604" spans="1:65" x14ac:dyDescent="0.25">
      <c r="A604" s="2" t="s">
        <v>108</v>
      </c>
      <c r="B604" s="4">
        <v>34</v>
      </c>
      <c r="C604" s="4">
        <v>1</v>
      </c>
      <c r="D604" s="4">
        <v>3</v>
      </c>
      <c r="E604" s="4">
        <v>3</v>
      </c>
      <c r="F604" s="4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0</v>
      </c>
      <c r="BK604" s="3">
        <v>0</v>
      </c>
      <c r="BL604" s="3">
        <v>1</v>
      </c>
      <c r="BM604" s="3">
        <v>0</v>
      </c>
    </row>
    <row r="605" spans="1:65" x14ac:dyDescent="0.25">
      <c r="A605" s="2" t="s">
        <v>108</v>
      </c>
      <c r="B605" s="4">
        <v>34</v>
      </c>
      <c r="C605" s="4">
        <v>2</v>
      </c>
      <c r="D605" s="4">
        <v>1</v>
      </c>
      <c r="E605" s="4">
        <v>1</v>
      </c>
      <c r="F605" s="6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3</v>
      </c>
      <c r="Y605" s="3">
        <v>1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1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2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1</v>
      </c>
      <c r="BM605" s="3">
        <v>0</v>
      </c>
    </row>
    <row r="606" spans="1:65" x14ac:dyDescent="0.25">
      <c r="A606" s="2" t="s">
        <v>108</v>
      </c>
      <c r="B606" s="4">
        <v>34</v>
      </c>
      <c r="C606" s="4">
        <v>2</v>
      </c>
      <c r="D606" s="4">
        <v>1</v>
      </c>
      <c r="E606" s="4">
        <v>2</v>
      </c>
      <c r="F606" s="6">
        <v>0</v>
      </c>
      <c r="G606" s="3">
        <v>0</v>
      </c>
      <c r="H606" s="3">
        <v>0</v>
      </c>
      <c r="I606" s="3">
        <v>0</v>
      </c>
      <c r="J606" s="3">
        <v>1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1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1</v>
      </c>
      <c r="BA606" s="3">
        <v>0</v>
      </c>
      <c r="BB606" s="3">
        <v>1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1</v>
      </c>
    </row>
    <row r="607" spans="1:65" x14ac:dyDescent="0.25">
      <c r="A607" s="2" t="s">
        <v>108</v>
      </c>
      <c r="B607" s="4">
        <v>34</v>
      </c>
      <c r="C607" s="4">
        <v>2</v>
      </c>
      <c r="D607" s="4">
        <v>1</v>
      </c>
      <c r="E607" s="4">
        <v>3</v>
      </c>
      <c r="F607" s="6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</row>
    <row r="608" spans="1:65" x14ac:dyDescent="0.25">
      <c r="A608" s="2" t="s">
        <v>108</v>
      </c>
      <c r="B608" s="4">
        <v>34</v>
      </c>
      <c r="C608" s="4">
        <v>2</v>
      </c>
      <c r="D608" s="4">
        <v>2</v>
      </c>
      <c r="E608" s="4">
        <v>1</v>
      </c>
      <c r="F608" s="6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3">
        <v>0</v>
      </c>
    </row>
    <row r="609" spans="1:65" x14ac:dyDescent="0.25">
      <c r="A609" s="2" t="s">
        <v>108</v>
      </c>
      <c r="B609" s="4">
        <v>34</v>
      </c>
      <c r="C609" s="4">
        <v>2</v>
      </c>
      <c r="D609" s="4">
        <v>2</v>
      </c>
      <c r="E609" s="4">
        <v>2</v>
      </c>
      <c r="F609" s="6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1</v>
      </c>
      <c r="BM609" s="3">
        <v>0</v>
      </c>
    </row>
    <row r="610" spans="1:65" x14ac:dyDescent="0.25">
      <c r="A610" s="2" t="s">
        <v>108</v>
      </c>
      <c r="B610" s="4">
        <v>34</v>
      </c>
      <c r="C610" s="4">
        <v>2</v>
      </c>
      <c r="D610" s="4">
        <v>2</v>
      </c>
      <c r="E610" s="4">
        <v>3</v>
      </c>
      <c r="F610" s="6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</row>
    <row r="611" spans="1:65" x14ac:dyDescent="0.25">
      <c r="A611" s="2" t="s">
        <v>108</v>
      </c>
      <c r="B611" s="4">
        <v>34</v>
      </c>
      <c r="C611" s="4">
        <v>2</v>
      </c>
      <c r="D611" s="4">
        <v>3</v>
      </c>
      <c r="E611" s="4">
        <v>1</v>
      </c>
      <c r="F611" s="6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1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</row>
    <row r="612" spans="1:65" x14ac:dyDescent="0.25">
      <c r="A612" s="2" t="s">
        <v>108</v>
      </c>
      <c r="B612" s="4">
        <v>34</v>
      </c>
      <c r="C612" s="4">
        <v>2</v>
      </c>
      <c r="D612" s="4">
        <v>3</v>
      </c>
      <c r="E612" s="4">
        <v>2</v>
      </c>
      <c r="F612" s="6">
        <v>0</v>
      </c>
      <c r="G612" s="3">
        <v>1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</row>
    <row r="613" spans="1:65" x14ac:dyDescent="0.25">
      <c r="A613" s="2" t="s">
        <v>108</v>
      </c>
      <c r="B613" s="4">
        <v>34</v>
      </c>
      <c r="C613" s="4">
        <v>2</v>
      </c>
      <c r="D613" s="4">
        <v>3</v>
      </c>
      <c r="E613" s="4">
        <v>3</v>
      </c>
      <c r="F613" s="6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</row>
    <row r="614" spans="1:65" x14ac:dyDescent="0.25">
      <c r="A614" s="2" t="s">
        <v>109</v>
      </c>
      <c r="B614" s="4">
        <v>35</v>
      </c>
      <c r="C614" s="4">
        <v>1</v>
      </c>
      <c r="D614" s="4">
        <v>1</v>
      </c>
      <c r="E614" s="4">
        <v>1</v>
      </c>
      <c r="F614" s="4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1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2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1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</row>
    <row r="615" spans="1:65" x14ac:dyDescent="0.25">
      <c r="A615" s="2" t="s">
        <v>109</v>
      </c>
      <c r="B615" s="4">
        <v>35</v>
      </c>
      <c r="C615" s="4">
        <v>1</v>
      </c>
      <c r="D615" s="4">
        <v>1</v>
      </c>
      <c r="E615" s="4">
        <v>2</v>
      </c>
      <c r="F615" s="4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1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</row>
    <row r="616" spans="1:65" x14ac:dyDescent="0.25">
      <c r="A616" s="2" t="s">
        <v>109</v>
      </c>
      <c r="B616" s="4">
        <v>35</v>
      </c>
      <c r="C616" s="4">
        <v>1</v>
      </c>
      <c r="D616" s="4">
        <v>1</v>
      </c>
      <c r="E616" s="4">
        <v>3</v>
      </c>
      <c r="F616" s="4">
        <v>0</v>
      </c>
      <c r="G616" s="3">
        <v>0</v>
      </c>
      <c r="H616" s="3">
        <v>0</v>
      </c>
      <c r="I616" s="3">
        <v>2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0</v>
      </c>
      <c r="BL616" s="3">
        <v>1</v>
      </c>
      <c r="BM616" s="3">
        <v>0</v>
      </c>
    </row>
    <row r="617" spans="1:65" x14ac:dyDescent="0.25">
      <c r="A617" s="2" t="s">
        <v>109</v>
      </c>
      <c r="B617" s="4">
        <v>35</v>
      </c>
      <c r="C617" s="4">
        <v>1</v>
      </c>
      <c r="D617" s="4">
        <v>2</v>
      </c>
      <c r="E617" s="4">
        <v>1</v>
      </c>
      <c r="F617" s="4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</row>
    <row r="618" spans="1:65" x14ac:dyDescent="0.25">
      <c r="A618" s="2" t="s">
        <v>109</v>
      </c>
      <c r="B618" s="4">
        <v>35</v>
      </c>
      <c r="C618" s="4">
        <v>1</v>
      </c>
      <c r="D618" s="4">
        <v>2</v>
      </c>
      <c r="E618" s="4">
        <v>2</v>
      </c>
      <c r="F618" s="4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</row>
    <row r="619" spans="1:65" x14ac:dyDescent="0.25">
      <c r="A619" s="2" t="s">
        <v>109</v>
      </c>
      <c r="B619" s="4">
        <v>35</v>
      </c>
      <c r="C619" s="4">
        <v>1</v>
      </c>
      <c r="D619" s="4">
        <v>2</v>
      </c>
      <c r="E619" s="4">
        <v>3</v>
      </c>
      <c r="F619" s="4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</row>
    <row r="620" spans="1:65" x14ac:dyDescent="0.25">
      <c r="A620" s="2" t="s">
        <v>109</v>
      </c>
      <c r="B620" s="4">
        <v>35</v>
      </c>
      <c r="C620" s="4">
        <v>1</v>
      </c>
      <c r="D620" s="4">
        <v>3</v>
      </c>
      <c r="E620" s="4">
        <v>1</v>
      </c>
      <c r="F620" s="4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1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1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</row>
    <row r="621" spans="1:65" x14ac:dyDescent="0.25">
      <c r="A621" s="2" t="s">
        <v>109</v>
      </c>
      <c r="B621" s="4">
        <v>35</v>
      </c>
      <c r="C621" s="4">
        <v>1</v>
      </c>
      <c r="D621" s="4">
        <v>3</v>
      </c>
      <c r="E621" s="4">
        <v>2</v>
      </c>
      <c r="F621" s="4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1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</row>
    <row r="622" spans="1:65" x14ac:dyDescent="0.25">
      <c r="A622" s="2" t="s">
        <v>109</v>
      </c>
      <c r="B622" s="4">
        <v>35</v>
      </c>
      <c r="C622" s="4">
        <v>1</v>
      </c>
      <c r="D622" s="4">
        <v>3</v>
      </c>
      <c r="E622" s="4">
        <v>3</v>
      </c>
      <c r="F622" s="4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</row>
    <row r="623" spans="1:65" x14ac:dyDescent="0.25">
      <c r="A623" s="2" t="s">
        <v>109</v>
      </c>
      <c r="B623" s="4">
        <v>35</v>
      </c>
      <c r="C623" s="4">
        <v>2</v>
      </c>
      <c r="D623" s="4">
        <v>1</v>
      </c>
      <c r="E623" s="4">
        <v>1</v>
      </c>
      <c r="F623" s="6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2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1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</row>
    <row r="624" spans="1:65" x14ac:dyDescent="0.25">
      <c r="A624" s="2" t="s">
        <v>109</v>
      </c>
      <c r="B624" s="4">
        <v>35</v>
      </c>
      <c r="C624" s="4">
        <v>2</v>
      </c>
      <c r="D624" s="4">
        <v>1</v>
      </c>
      <c r="E624" s="4">
        <v>2</v>
      </c>
      <c r="F624" s="6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1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1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2</v>
      </c>
      <c r="BM624" s="3">
        <v>0</v>
      </c>
    </row>
    <row r="625" spans="1:65" x14ac:dyDescent="0.25">
      <c r="A625" s="2" t="s">
        <v>109</v>
      </c>
      <c r="B625" s="4">
        <v>35</v>
      </c>
      <c r="C625" s="4">
        <v>2</v>
      </c>
      <c r="D625" s="4">
        <v>1</v>
      </c>
      <c r="E625" s="4">
        <v>3</v>
      </c>
      <c r="F625" s="6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1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</row>
    <row r="626" spans="1:65" x14ac:dyDescent="0.25">
      <c r="A626" s="2" t="s">
        <v>109</v>
      </c>
      <c r="B626" s="4">
        <v>35</v>
      </c>
      <c r="C626" s="4">
        <v>2</v>
      </c>
      <c r="D626" s="4">
        <v>2</v>
      </c>
      <c r="E626" s="4">
        <v>1</v>
      </c>
      <c r="F626" s="6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</row>
    <row r="627" spans="1:65" x14ac:dyDescent="0.25">
      <c r="A627" s="2" t="s">
        <v>109</v>
      </c>
      <c r="B627" s="4">
        <v>35</v>
      </c>
      <c r="C627" s="4">
        <v>2</v>
      </c>
      <c r="D627" s="4">
        <v>2</v>
      </c>
      <c r="E627" s="4">
        <v>2</v>
      </c>
      <c r="F627" s="6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</row>
    <row r="628" spans="1:65" x14ac:dyDescent="0.25">
      <c r="A628" s="2" t="s">
        <v>109</v>
      </c>
      <c r="B628" s="4">
        <v>35</v>
      </c>
      <c r="C628" s="4">
        <v>2</v>
      </c>
      <c r="D628" s="4">
        <v>2</v>
      </c>
      <c r="E628" s="4">
        <v>3</v>
      </c>
      <c r="F628" s="6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</row>
    <row r="629" spans="1:65" x14ac:dyDescent="0.25">
      <c r="A629" s="2" t="s">
        <v>109</v>
      </c>
      <c r="B629" s="4">
        <v>35</v>
      </c>
      <c r="C629" s="4">
        <v>2</v>
      </c>
      <c r="D629" s="4">
        <v>3</v>
      </c>
      <c r="E629" s="4">
        <v>1</v>
      </c>
      <c r="F629" s="6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</row>
    <row r="630" spans="1:65" x14ac:dyDescent="0.25">
      <c r="A630" s="2" t="s">
        <v>109</v>
      </c>
      <c r="B630" s="4">
        <v>35</v>
      </c>
      <c r="C630" s="4">
        <v>2</v>
      </c>
      <c r="D630" s="4">
        <v>3</v>
      </c>
      <c r="E630" s="4">
        <v>2</v>
      </c>
      <c r="F630" s="6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1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1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0</v>
      </c>
    </row>
    <row r="631" spans="1:65" x14ac:dyDescent="0.25">
      <c r="A631" s="2" t="s">
        <v>109</v>
      </c>
      <c r="B631" s="4">
        <v>35</v>
      </c>
      <c r="C631" s="4">
        <v>2</v>
      </c>
      <c r="D631" s="4">
        <v>3</v>
      </c>
      <c r="E631" s="4">
        <v>3</v>
      </c>
      <c r="F631" s="6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</row>
    <row r="632" spans="1:65" x14ac:dyDescent="0.25">
      <c r="A632" s="2" t="s">
        <v>110</v>
      </c>
      <c r="B632" s="4">
        <v>36</v>
      </c>
      <c r="C632" s="4">
        <v>1</v>
      </c>
      <c r="D632" s="4">
        <v>1</v>
      </c>
      <c r="E632" s="4">
        <v>1</v>
      </c>
      <c r="F632" s="4">
        <v>0</v>
      </c>
      <c r="G632" s="3">
        <v>0</v>
      </c>
      <c r="H632" s="3">
        <v>0</v>
      </c>
      <c r="I632" s="3">
        <v>0</v>
      </c>
      <c r="J632" s="3">
        <v>1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1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1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5</v>
      </c>
      <c r="BA632" s="3">
        <v>1</v>
      </c>
      <c r="BB632" s="3">
        <v>0</v>
      </c>
      <c r="BC632" s="3">
        <v>1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>
        <v>0</v>
      </c>
      <c r="BK632" s="3">
        <v>0</v>
      </c>
      <c r="BL632" s="3">
        <v>0</v>
      </c>
      <c r="BM632" s="3">
        <v>0</v>
      </c>
    </row>
    <row r="633" spans="1:65" x14ac:dyDescent="0.25">
      <c r="A633" s="2" t="s">
        <v>110</v>
      </c>
      <c r="B633" s="4">
        <v>36</v>
      </c>
      <c r="C633" s="4">
        <v>1</v>
      </c>
      <c r="D633" s="4">
        <v>1</v>
      </c>
      <c r="E633" s="4">
        <v>2</v>
      </c>
      <c r="F633" s="4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1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</row>
    <row r="634" spans="1:65" x14ac:dyDescent="0.25">
      <c r="A634" s="2" t="s">
        <v>110</v>
      </c>
      <c r="B634" s="4">
        <v>36</v>
      </c>
      <c r="C634" s="4">
        <v>1</v>
      </c>
      <c r="D634" s="4">
        <v>1</v>
      </c>
      <c r="E634" s="4">
        <v>3</v>
      </c>
      <c r="F634" s="4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1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0</v>
      </c>
    </row>
    <row r="635" spans="1:65" x14ac:dyDescent="0.25">
      <c r="A635" s="2" t="s">
        <v>110</v>
      </c>
      <c r="B635" s="4">
        <v>36</v>
      </c>
      <c r="C635" s="4">
        <v>1</v>
      </c>
      <c r="D635" s="4">
        <v>2</v>
      </c>
      <c r="E635" s="4">
        <v>1</v>
      </c>
      <c r="F635" s="4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</row>
    <row r="636" spans="1:65" x14ac:dyDescent="0.25">
      <c r="A636" s="2" t="s">
        <v>110</v>
      </c>
      <c r="B636" s="4">
        <v>36</v>
      </c>
      <c r="C636" s="4">
        <v>1</v>
      </c>
      <c r="D636" s="4">
        <v>2</v>
      </c>
      <c r="E636" s="4">
        <v>2</v>
      </c>
      <c r="F636" s="4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0</v>
      </c>
    </row>
    <row r="637" spans="1:65" x14ac:dyDescent="0.25">
      <c r="A637" s="2" t="s">
        <v>110</v>
      </c>
      <c r="B637" s="4">
        <v>36</v>
      </c>
      <c r="C637" s="4">
        <v>1</v>
      </c>
      <c r="D637" s="4">
        <v>2</v>
      </c>
      <c r="E637" s="4">
        <v>3</v>
      </c>
      <c r="F637" s="4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1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1</v>
      </c>
      <c r="BE637" s="3">
        <v>0</v>
      </c>
      <c r="BF637" s="3">
        <v>0</v>
      </c>
      <c r="BG637" s="3">
        <v>0</v>
      </c>
      <c r="BH637" s="3">
        <v>1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</row>
    <row r="638" spans="1:65" x14ac:dyDescent="0.25">
      <c r="A638" s="2" t="s">
        <v>110</v>
      </c>
      <c r="B638" s="4">
        <v>36</v>
      </c>
      <c r="C638" s="4">
        <v>1</v>
      </c>
      <c r="D638" s="4">
        <v>3</v>
      </c>
      <c r="E638" s="4">
        <v>1</v>
      </c>
      <c r="F638" s="4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0</v>
      </c>
      <c r="BL638" s="3">
        <v>1</v>
      </c>
      <c r="BM638" s="3">
        <v>0</v>
      </c>
    </row>
    <row r="639" spans="1:65" x14ac:dyDescent="0.25">
      <c r="A639" s="2" t="s">
        <v>110</v>
      </c>
      <c r="B639" s="4">
        <v>36</v>
      </c>
      <c r="C639" s="4">
        <v>1</v>
      </c>
      <c r="D639" s="4">
        <v>3</v>
      </c>
      <c r="E639" s="4">
        <v>2</v>
      </c>
      <c r="F639" s="4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1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1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</row>
    <row r="640" spans="1:65" x14ac:dyDescent="0.25">
      <c r="A640" s="2" t="s">
        <v>110</v>
      </c>
      <c r="B640" s="4">
        <v>36</v>
      </c>
      <c r="C640" s="4">
        <v>1</v>
      </c>
      <c r="D640" s="4">
        <v>3</v>
      </c>
      <c r="E640" s="4">
        <v>3</v>
      </c>
      <c r="F640" s="4">
        <v>0</v>
      </c>
      <c r="G640" s="3">
        <v>0</v>
      </c>
      <c r="H640" s="3">
        <v>0</v>
      </c>
      <c r="I640" s="3">
        <v>1</v>
      </c>
      <c r="J640" s="3">
        <v>1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0</v>
      </c>
    </row>
    <row r="641" spans="1:65" x14ac:dyDescent="0.25">
      <c r="A641" s="2" t="s">
        <v>110</v>
      </c>
      <c r="B641" s="4">
        <v>36</v>
      </c>
      <c r="C641" s="4">
        <v>2</v>
      </c>
      <c r="D641" s="4">
        <v>1</v>
      </c>
      <c r="E641" s="4">
        <v>1</v>
      </c>
      <c r="F641" s="6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2</v>
      </c>
      <c r="BA641" s="3">
        <v>1</v>
      </c>
      <c r="BB641" s="3">
        <v>0</v>
      </c>
      <c r="BC641" s="3">
        <v>1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1</v>
      </c>
      <c r="BM641" s="3">
        <v>0</v>
      </c>
    </row>
    <row r="642" spans="1:65" x14ac:dyDescent="0.25">
      <c r="A642" s="2" t="s">
        <v>110</v>
      </c>
      <c r="B642" s="4">
        <v>36</v>
      </c>
      <c r="C642" s="4">
        <v>2</v>
      </c>
      <c r="D642" s="4">
        <v>1</v>
      </c>
      <c r="E642" s="4">
        <v>2</v>
      </c>
      <c r="F642" s="6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1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1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</row>
    <row r="643" spans="1:65" x14ac:dyDescent="0.25">
      <c r="A643" s="2" t="s">
        <v>110</v>
      </c>
      <c r="B643" s="4">
        <v>36</v>
      </c>
      <c r="C643" s="4">
        <v>2</v>
      </c>
      <c r="D643" s="4">
        <v>1</v>
      </c>
      <c r="E643" s="4">
        <v>3</v>
      </c>
      <c r="F643" s="6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1</v>
      </c>
    </row>
    <row r="644" spans="1:65" x14ac:dyDescent="0.25">
      <c r="A644" s="2" t="s">
        <v>110</v>
      </c>
      <c r="B644" s="4">
        <v>36</v>
      </c>
      <c r="C644" s="4">
        <v>2</v>
      </c>
      <c r="D644" s="4">
        <v>2</v>
      </c>
      <c r="E644" s="4">
        <v>1</v>
      </c>
      <c r="F644" s="6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0</v>
      </c>
      <c r="BL644" s="3">
        <v>0</v>
      </c>
      <c r="BM644" s="3">
        <v>0</v>
      </c>
    </row>
    <row r="645" spans="1:65" x14ac:dyDescent="0.25">
      <c r="A645" s="2" t="s">
        <v>110</v>
      </c>
      <c r="B645" s="4">
        <v>36</v>
      </c>
      <c r="C645" s="4">
        <v>2</v>
      </c>
      <c r="D645" s="4">
        <v>2</v>
      </c>
      <c r="E645" s="4">
        <v>2</v>
      </c>
      <c r="F645" s="6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1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</row>
    <row r="646" spans="1:65" x14ac:dyDescent="0.25">
      <c r="A646" s="2" t="s">
        <v>110</v>
      </c>
      <c r="B646" s="4">
        <v>36</v>
      </c>
      <c r="C646" s="4">
        <v>2</v>
      </c>
      <c r="D646" s="4">
        <v>2</v>
      </c>
      <c r="E646" s="4">
        <v>3</v>
      </c>
      <c r="F646" s="6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</row>
    <row r="647" spans="1:65" x14ac:dyDescent="0.25">
      <c r="A647" s="2" t="s">
        <v>110</v>
      </c>
      <c r="B647" s="4">
        <v>36</v>
      </c>
      <c r="C647" s="4">
        <v>2</v>
      </c>
      <c r="D647" s="4">
        <v>3</v>
      </c>
      <c r="E647" s="4">
        <v>1</v>
      </c>
      <c r="F647" s="6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1</v>
      </c>
      <c r="BM647" s="3">
        <v>0</v>
      </c>
    </row>
    <row r="648" spans="1:65" x14ac:dyDescent="0.25">
      <c r="A648" s="2" t="s">
        <v>110</v>
      </c>
      <c r="B648" s="4">
        <v>36</v>
      </c>
      <c r="C648" s="4">
        <v>2</v>
      </c>
      <c r="D648" s="4">
        <v>3</v>
      </c>
      <c r="E648" s="4">
        <v>2</v>
      </c>
      <c r="F648" s="6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1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</row>
    <row r="649" spans="1:65" x14ac:dyDescent="0.25">
      <c r="A649" s="2" t="s">
        <v>110</v>
      </c>
      <c r="B649" s="4">
        <v>36</v>
      </c>
      <c r="C649" s="4">
        <v>2</v>
      </c>
      <c r="D649" s="4">
        <v>3</v>
      </c>
      <c r="E649" s="4">
        <v>3</v>
      </c>
      <c r="F649" s="6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</row>
    <row r="650" spans="1:65" x14ac:dyDescent="0.25">
      <c r="A650" s="2" t="s">
        <v>111</v>
      </c>
      <c r="B650" s="4">
        <v>37</v>
      </c>
      <c r="C650" s="4">
        <v>1</v>
      </c>
      <c r="D650" s="4">
        <v>1</v>
      </c>
      <c r="E650" s="4">
        <v>1</v>
      </c>
      <c r="F650" s="4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1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5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3">
        <v>0</v>
      </c>
      <c r="BL650" s="3">
        <v>2</v>
      </c>
      <c r="BM650" s="3">
        <v>0</v>
      </c>
    </row>
    <row r="651" spans="1:65" x14ac:dyDescent="0.25">
      <c r="A651" s="2" t="s">
        <v>111</v>
      </c>
      <c r="B651" s="4">
        <v>37</v>
      </c>
      <c r="C651" s="4">
        <v>1</v>
      </c>
      <c r="D651" s="4">
        <v>1</v>
      </c>
      <c r="E651" s="4">
        <v>2</v>
      </c>
      <c r="F651" s="4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1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2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1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</row>
    <row r="652" spans="1:65" x14ac:dyDescent="0.25">
      <c r="A652" s="2" t="s">
        <v>111</v>
      </c>
      <c r="B652" s="4">
        <v>37</v>
      </c>
      <c r="C652" s="4">
        <v>1</v>
      </c>
      <c r="D652" s="4">
        <v>1</v>
      </c>
      <c r="E652" s="4">
        <v>3</v>
      </c>
      <c r="F652" s="4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</row>
    <row r="653" spans="1:65" x14ac:dyDescent="0.25">
      <c r="A653" s="2" t="s">
        <v>111</v>
      </c>
      <c r="B653" s="4">
        <v>37</v>
      </c>
      <c r="C653" s="4">
        <v>1</v>
      </c>
      <c r="D653" s="4">
        <v>2</v>
      </c>
      <c r="E653" s="4">
        <v>1</v>
      </c>
      <c r="F653" s="4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1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</row>
    <row r="654" spans="1:65" x14ac:dyDescent="0.25">
      <c r="A654" s="2" t="s">
        <v>111</v>
      </c>
      <c r="B654" s="4">
        <v>37</v>
      </c>
      <c r="C654" s="4">
        <v>1</v>
      </c>
      <c r="D654" s="4">
        <v>2</v>
      </c>
      <c r="E654" s="4">
        <v>2</v>
      </c>
      <c r="F654" s="4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</row>
    <row r="655" spans="1:65" x14ac:dyDescent="0.25">
      <c r="A655" s="2" t="s">
        <v>111</v>
      </c>
      <c r="B655" s="4">
        <v>37</v>
      </c>
      <c r="C655" s="4">
        <v>1</v>
      </c>
      <c r="D655" s="4">
        <v>2</v>
      </c>
      <c r="E655" s="4">
        <v>3</v>
      </c>
      <c r="F655" s="4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</row>
    <row r="656" spans="1:65" x14ac:dyDescent="0.25">
      <c r="A656" s="2" t="s">
        <v>111</v>
      </c>
      <c r="B656" s="4">
        <v>37</v>
      </c>
      <c r="C656" s="4">
        <v>1</v>
      </c>
      <c r="D656" s="4">
        <v>3</v>
      </c>
      <c r="E656" s="4">
        <v>1</v>
      </c>
      <c r="F656" s="4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1</v>
      </c>
      <c r="AA656" s="3">
        <v>0</v>
      </c>
      <c r="AB656" s="3">
        <v>1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1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</row>
    <row r="657" spans="1:65" x14ac:dyDescent="0.25">
      <c r="A657" s="2" t="s">
        <v>111</v>
      </c>
      <c r="B657" s="4">
        <v>37</v>
      </c>
      <c r="C657" s="4">
        <v>1</v>
      </c>
      <c r="D657" s="4">
        <v>3</v>
      </c>
      <c r="E657" s="4">
        <v>2</v>
      </c>
      <c r="F657" s="4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1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1</v>
      </c>
      <c r="AW657" s="3">
        <v>0</v>
      </c>
      <c r="AX657" s="3">
        <v>0</v>
      </c>
      <c r="AY657" s="3">
        <v>0</v>
      </c>
      <c r="AZ657" s="3">
        <v>0</v>
      </c>
      <c r="BA657" s="3">
        <v>1</v>
      </c>
      <c r="BB657" s="3">
        <v>1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</row>
    <row r="658" spans="1:65" x14ac:dyDescent="0.25">
      <c r="A658" s="2" t="s">
        <v>111</v>
      </c>
      <c r="B658" s="4">
        <v>37</v>
      </c>
      <c r="C658" s="4">
        <v>1</v>
      </c>
      <c r="D658" s="4">
        <v>3</v>
      </c>
      <c r="E658" s="4">
        <v>3</v>
      </c>
      <c r="F658" s="4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</row>
    <row r="659" spans="1:65" x14ac:dyDescent="0.25">
      <c r="A659" s="2" t="s">
        <v>111</v>
      </c>
      <c r="B659" s="4">
        <v>37</v>
      </c>
      <c r="C659" s="4">
        <v>2</v>
      </c>
      <c r="D659" s="4">
        <v>1</v>
      </c>
      <c r="E659" s="4">
        <v>1</v>
      </c>
      <c r="F659" s="6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2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7</v>
      </c>
      <c r="BA659" s="3">
        <v>0</v>
      </c>
      <c r="BB659" s="3">
        <v>0</v>
      </c>
      <c r="BC659" s="3">
        <v>1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1</v>
      </c>
      <c r="BM659" s="3">
        <v>0</v>
      </c>
    </row>
    <row r="660" spans="1:65" x14ac:dyDescent="0.25">
      <c r="A660" s="2" t="s">
        <v>111</v>
      </c>
      <c r="B660" s="4">
        <v>37</v>
      </c>
      <c r="C660" s="4">
        <v>2</v>
      </c>
      <c r="D660" s="4">
        <v>1</v>
      </c>
      <c r="E660" s="4">
        <v>2</v>
      </c>
      <c r="F660" s="6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1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</row>
    <row r="661" spans="1:65" x14ac:dyDescent="0.25">
      <c r="A661" s="2" t="s">
        <v>111</v>
      </c>
      <c r="B661" s="4">
        <v>37</v>
      </c>
      <c r="C661" s="4">
        <v>2</v>
      </c>
      <c r="D661" s="4">
        <v>1</v>
      </c>
      <c r="E661" s="4">
        <v>3</v>
      </c>
      <c r="F661" s="6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1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</row>
    <row r="662" spans="1:65" x14ac:dyDescent="0.25">
      <c r="A662" s="2" t="s">
        <v>111</v>
      </c>
      <c r="B662" s="4">
        <v>37</v>
      </c>
      <c r="C662" s="4">
        <v>2</v>
      </c>
      <c r="D662" s="4">
        <v>2</v>
      </c>
      <c r="E662" s="4">
        <v>1</v>
      </c>
      <c r="F662" s="6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0</v>
      </c>
    </row>
    <row r="663" spans="1:65" x14ac:dyDescent="0.25">
      <c r="A663" s="2" t="s">
        <v>111</v>
      </c>
      <c r="B663" s="4">
        <v>37</v>
      </c>
      <c r="C663" s="4">
        <v>2</v>
      </c>
      <c r="D663" s="4">
        <v>2</v>
      </c>
      <c r="E663" s="4">
        <v>2</v>
      </c>
      <c r="F663" s="6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1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</row>
    <row r="664" spans="1:65" x14ac:dyDescent="0.25">
      <c r="A664" s="2" t="s">
        <v>111</v>
      </c>
      <c r="B664" s="4">
        <v>37</v>
      </c>
      <c r="C664" s="4">
        <v>2</v>
      </c>
      <c r="D664" s="4">
        <v>2</v>
      </c>
      <c r="E664" s="4">
        <v>3</v>
      </c>
      <c r="F664" s="6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3">
        <v>0</v>
      </c>
      <c r="BL664" s="3">
        <v>0</v>
      </c>
      <c r="BM664" s="3">
        <v>0</v>
      </c>
    </row>
    <row r="665" spans="1:65" x14ac:dyDescent="0.25">
      <c r="A665" s="2" t="s">
        <v>111</v>
      </c>
      <c r="B665" s="4">
        <v>37</v>
      </c>
      <c r="C665" s="4">
        <v>2</v>
      </c>
      <c r="D665" s="4">
        <v>3</v>
      </c>
      <c r="E665" s="4">
        <v>1</v>
      </c>
      <c r="F665" s="6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1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</row>
    <row r="666" spans="1:65" x14ac:dyDescent="0.25">
      <c r="A666" s="2" t="s">
        <v>111</v>
      </c>
      <c r="B666" s="4">
        <v>37</v>
      </c>
      <c r="C666" s="4">
        <v>2</v>
      </c>
      <c r="D666" s="4">
        <v>3</v>
      </c>
      <c r="E666" s="4">
        <v>2</v>
      </c>
      <c r="F666" s="6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</row>
    <row r="667" spans="1:65" x14ac:dyDescent="0.25">
      <c r="A667" s="2" t="s">
        <v>111</v>
      </c>
      <c r="B667" s="4">
        <v>37</v>
      </c>
      <c r="C667" s="4">
        <v>2</v>
      </c>
      <c r="D667" s="4">
        <v>3</v>
      </c>
      <c r="E667" s="4">
        <v>3</v>
      </c>
      <c r="F667" s="6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</row>
    <row r="668" spans="1:65" x14ac:dyDescent="0.25">
      <c r="A668" s="2" t="s">
        <v>112</v>
      </c>
      <c r="B668" s="4">
        <v>38</v>
      </c>
      <c r="C668" s="4">
        <v>1</v>
      </c>
      <c r="D668" s="4">
        <v>1</v>
      </c>
      <c r="E668" s="4">
        <v>1</v>
      </c>
      <c r="F668" s="4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1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</row>
    <row r="669" spans="1:65" x14ac:dyDescent="0.25">
      <c r="A669" s="2" t="s">
        <v>112</v>
      </c>
      <c r="B669" s="4">
        <v>38</v>
      </c>
      <c r="C669" s="4">
        <v>1</v>
      </c>
      <c r="D669" s="4">
        <v>1</v>
      </c>
      <c r="E669" s="4">
        <v>2</v>
      </c>
      <c r="F669" s="4">
        <v>0</v>
      </c>
      <c r="G669" s="3">
        <v>1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2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1</v>
      </c>
      <c r="Z669" s="3">
        <v>0</v>
      </c>
      <c r="AA669" s="3">
        <v>0</v>
      </c>
      <c r="AB669" s="3">
        <v>0</v>
      </c>
      <c r="AC669" s="3">
        <v>0</v>
      </c>
      <c r="AD669" s="3">
        <v>2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1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</row>
    <row r="670" spans="1:65" x14ac:dyDescent="0.25">
      <c r="A670" s="2" t="s">
        <v>112</v>
      </c>
      <c r="B670" s="4">
        <v>38</v>
      </c>
      <c r="C670" s="4">
        <v>1</v>
      </c>
      <c r="D670" s="4">
        <v>1</v>
      </c>
      <c r="E670" s="4">
        <v>3</v>
      </c>
      <c r="F670" s="4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1</v>
      </c>
      <c r="AF670" s="3">
        <v>1</v>
      </c>
      <c r="AG670" s="3">
        <v>0</v>
      </c>
      <c r="AH670" s="3">
        <v>1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1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</row>
    <row r="671" spans="1:65" x14ac:dyDescent="0.25">
      <c r="A671" s="2" t="s">
        <v>112</v>
      </c>
      <c r="B671" s="4">
        <v>38</v>
      </c>
      <c r="C671" s="4">
        <v>1</v>
      </c>
      <c r="D671" s="4">
        <v>2</v>
      </c>
      <c r="E671" s="4">
        <v>1</v>
      </c>
      <c r="F671" s="4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</row>
    <row r="672" spans="1:65" x14ac:dyDescent="0.25">
      <c r="A672" s="2" t="s">
        <v>112</v>
      </c>
      <c r="B672" s="4">
        <v>38</v>
      </c>
      <c r="C672" s="4">
        <v>1</v>
      </c>
      <c r="D672" s="4">
        <v>2</v>
      </c>
      <c r="E672" s="4">
        <v>2</v>
      </c>
      <c r="F672" s="4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1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</row>
    <row r="673" spans="1:65" x14ac:dyDescent="0.25">
      <c r="A673" s="2" t="s">
        <v>112</v>
      </c>
      <c r="B673" s="4">
        <v>38</v>
      </c>
      <c r="C673" s="4">
        <v>1</v>
      </c>
      <c r="D673" s="4">
        <v>2</v>
      </c>
      <c r="E673" s="4">
        <v>3</v>
      </c>
      <c r="F673" s="4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1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</row>
    <row r="674" spans="1:65" x14ac:dyDescent="0.25">
      <c r="A674" s="2" t="s">
        <v>112</v>
      </c>
      <c r="B674" s="4">
        <v>38</v>
      </c>
      <c r="C674" s="4">
        <v>1</v>
      </c>
      <c r="D674" s="4">
        <v>3</v>
      </c>
      <c r="E674" s="4">
        <v>1</v>
      </c>
      <c r="F674" s="4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</row>
    <row r="675" spans="1:65" x14ac:dyDescent="0.25">
      <c r="A675" s="2" t="s">
        <v>112</v>
      </c>
      <c r="B675" s="4">
        <v>38</v>
      </c>
      <c r="C675" s="4">
        <v>1</v>
      </c>
      <c r="D675" s="4">
        <v>3</v>
      </c>
      <c r="E675" s="4">
        <v>2</v>
      </c>
      <c r="F675" s="4">
        <v>0</v>
      </c>
      <c r="G675" s="3">
        <v>0</v>
      </c>
      <c r="H675" s="3">
        <v>0</v>
      </c>
      <c r="I675" s="3">
        <v>0</v>
      </c>
      <c r="J675" s="3">
        <v>1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1</v>
      </c>
      <c r="AP675" s="3">
        <v>1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</row>
    <row r="676" spans="1:65" x14ac:dyDescent="0.25">
      <c r="A676" s="2" t="s">
        <v>112</v>
      </c>
      <c r="B676" s="4">
        <v>38</v>
      </c>
      <c r="C676" s="4">
        <v>1</v>
      </c>
      <c r="D676" s="4">
        <v>3</v>
      </c>
      <c r="E676" s="4">
        <v>3</v>
      </c>
      <c r="F676" s="4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0</v>
      </c>
      <c r="BK676" s="3">
        <v>0</v>
      </c>
      <c r="BL676" s="3">
        <v>0</v>
      </c>
      <c r="BM676" s="3">
        <v>0</v>
      </c>
    </row>
    <row r="677" spans="1:65" x14ac:dyDescent="0.25">
      <c r="A677" s="2" t="s">
        <v>112</v>
      </c>
      <c r="B677" s="4">
        <v>38</v>
      </c>
      <c r="C677" s="4">
        <v>2</v>
      </c>
      <c r="D677" s="4">
        <v>1</v>
      </c>
      <c r="E677" s="4">
        <v>1</v>
      </c>
      <c r="F677" s="6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1</v>
      </c>
      <c r="Z677" s="3">
        <v>1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1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</row>
    <row r="678" spans="1:65" x14ac:dyDescent="0.25">
      <c r="A678" s="2" t="s">
        <v>112</v>
      </c>
      <c r="B678" s="4">
        <v>38</v>
      </c>
      <c r="C678" s="4">
        <v>2</v>
      </c>
      <c r="D678" s="4">
        <v>1</v>
      </c>
      <c r="E678" s="4">
        <v>2</v>
      </c>
      <c r="F678" s="6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1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1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</row>
    <row r="679" spans="1:65" x14ac:dyDescent="0.25">
      <c r="A679" s="2" t="s">
        <v>112</v>
      </c>
      <c r="B679" s="4">
        <v>38</v>
      </c>
      <c r="C679" s="4">
        <v>2</v>
      </c>
      <c r="D679" s="4">
        <v>1</v>
      </c>
      <c r="E679" s="4">
        <v>3</v>
      </c>
      <c r="F679" s="6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1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1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</row>
    <row r="680" spans="1:65" x14ac:dyDescent="0.25">
      <c r="A680" s="2" t="s">
        <v>112</v>
      </c>
      <c r="B680" s="4">
        <v>38</v>
      </c>
      <c r="C680" s="4">
        <v>2</v>
      </c>
      <c r="D680" s="4">
        <v>2</v>
      </c>
      <c r="E680" s="4">
        <v>1</v>
      </c>
      <c r="F680" s="6">
        <v>0</v>
      </c>
      <c r="G680" s="3">
        <v>1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1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1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</row>
    <row r="681" spans="1:65" x14ac:dyDescent="0.25">
      <c r="A681" s="2" t="s">
        <v>112</v>
      </c>
      <c r="B681" s="4">
        <v>38</v>
      </c>
      <c r="C681" s="4">
        <v>2</v>
      </c>
      <c r="D681" s="4">
        <v>2</v>
      </c>
      <c r="E681" s="4">
        <v>2</v>
      </c>
      <c r="F681" s="6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</row>
    <row r="682" spans="1:65" x14ac:dyDescent="0.25">
      <c r="A682" s="2" t="s">
        <v>112</v>
      </c>
      <c r="B682" s="4">
        <v>38</v>
      </c>
      <c r="C682" s="4">
        <v>2</v>
      </c>
      <c r="D682" s="4">
        <v>2</v>
      </c>
      <c r="E682" s="4">
        <v>3</v>
      </c>
      <c r="F682" s="6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1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</row>
    <row r="683" spans="1:65" x14ac:dyDescent="0.25">
      <c r="A683" s="2" t="s">
        <v>112</v>
      </c>
      <c r="B683" s="4">
        <v>38</v>
      </c>
      <c r="C683" s="4">
        <v>2</v>
      </c>
      <c r="D683" s="4">
        <v>3</v>
      </c>
      <c r="E683" s="4">
        <v>1</v>
      </c>
      <c r="F683" s="6">
        <v>0</v>
      </c>
      <c r="G683" s="3">
        <v>0</v>
      </c>
      <c r="H683" s="3">
        <v>0</v>
      </c>
      <c r="I683" s="3">
        <v>1</v>
      </c>
      <c r="J683" s="3">
        <v>1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1</v>
      </c>
      <c r="Z683" s="3">
        <v>3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1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</row>
    <row r="684" spans="1:65" x14ac:dyDescent="0.25">
      <c r="A684" s="2" t="s">
        <v>112</v>
      </c>
      <c r="B684" s="4">
        <v>38</v>
      </c>
      <c r="C684" s="4">
        <v>2</v>
      </c>
      <c r="D684" s="4">
        <v>3</v>
      </c>
      <c r="E684" s="4">
        <v>2</v>
      </c>
      <c r="F684" s="6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1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1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</row>
    <row r="685" spans="1:65" x14ac:dyDescent="0.25">
      <c r="A685" s="2" t="s">
        <v>112</v>
      </c>
      <c r="B685" s="4">
        <v>38</v>
      </c>
      <c r="C685" s="4">
        <v>2</v>
      </c>
      <c r="D685" s="4">
        <v>3</v>
      </c>
      <c r="E685" s="4">
        <v>3</v>
      </c>
      <c r="F685" s="6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1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1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1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</row>
    <row r="686" spans="1:65" x14ac:dyDescent="0.25">
      <c r="A686" s="2" t="s">
        <v>113</v>
      </c>
      <c r="B686" s="4">
        <v>39</v>
      </c>
      <c r="C686" s="4">
        <v>1</v>
      </c>
      <c r="D686" s="4">
        <v>1</v>
      </c>
      <c r="E686" s="4">
        <v>1</v>
      </c>
      <c r="F686" s="4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1</v>
      </c>
      <c r="BA686" s="3">
        <v>0</v>
      </c>
      <c r="BB686" s="3">
        <v>0</v>
      </c>
      <c r="BC686" s="3">
        <v>2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</row>
    <row r="687" spans="1:65" x14ac:dyDescent="0.25">
      <c r="A687" s="2" t="s">
        <v>113</v>
      </c>
      <c r="B687" s="4">
        <v>39</v>
      </c>
      <c r="C687" s="4">
        <v>1</v>
      </c>
      <c r="D687" s="4">
        <v>1</v>
      </c>
      <c r="E687" s="4">
        <v>2</v>
      </c>
      <c r="F687" s="4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</row>
    <row r="688" spans="1:65" x14ac:dyDescent="0.25">
      <c r="A688" s="2" t="s">
        <v>113</v>
      </c>
      <c r="B688" s="4">
        <v>39</v>
      </c>
      <c r="C688" s="4">
        <v>1</v>
      </c>
      <c r="D688" s="4">
        <v>1</v>
      </c>
      <c r="E688" s="4">
        <v>3</v>
      </c>
      <c r="F688" s="4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1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0</v>
      </c>
      <c r="BK688" s="3">
        <v>0</v>
      </c>
      <c r="BL688" s="3">
        <v>0</v>
      </c>
      <c r="BM688" s="3">
        <v>0</v>
      </c>
    </row>
    <row r="689" spans="1:65" x14ac:dyDescent="0.25">
      <c r="A689" s="2" t="s">
        <v>113</v>
      </c>
      <c r="B689" s="4">
        <v>39</v>
      </c>
      <c r="C689" s="4">
        <v>1</v>
      </c>
      <c r="D689" s="4">
        <v>2</v>
      </c>
      <c r="E689" s="4">
        <v>1</v>
      </c>
      <c r="F689" s="4">
        <v>0</v>
      </c>
      <c r="G689" s="3">
        <v>0</v>
      </c>
      <c r="H689" s="3">
        <v>0</v>
      </c>
      <c r="I689" s="3">
        <v>0</v>
      </c>
      <c r="J689" s="3">
        <v>0</v>
      </c>
      <c r="K689" s="3">
        <v>1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</row>
    <row r="690" spans="1:65" x14ac:dyDescent="0.25">
      <c r="A690" s="2" t="s">
        <v>113</v>
      </c>
      <c r="B690" s="4">
        <v>39</v>
      </c>
      <c r="C690" s="4">
        <v>1</v>
      </c>
      <c r="D690" s="4">
        <v>2</v>
      </c>
      <c r="E690" s="4">
        <v>2</v>
      </c>
      <c r="F690" s="4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1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</row>
    <row r="691" spans="1:65" x14ac:dyDescent="0.25">
      <c r="A691" s="2" t="s">
        <v>113</v>
      </c>
      <c r="B691" s="4">
        <v>39</v>
      </c>
      <c r="C691" s="4">
        <v>1</v>
      </c>
      <c r="D691" s="4">
        <v>2</v>
      </c>
      <c r="E691" s="4">
        <v>3</v>
      </c>
      <c r="F691" s="4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</row>
    <row r="692" spans="1:65" x14ac:dyDescent="0.25">
      <c r="A692" s="2" t="s">
        <v>113</v>
      </c>
      <c r="B692" s="4">
        <v>39</v>
      </c>
      <c r="C692" s="4">
        <v>1</v>
      </c>
      <c r="D692" s="4">
        <v>3</v>
      </c>
      <c r="E692" s="4">
        <v>1</v>
      </c>
      <c r="F692" s="4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0</v>
      </c>
      <c r="BK692" s="3">
        <v>0</v>
      </c>
      <c r="BL692" s="3">
        <v>0</v>
      </c>
      <c r="BM692" s="3">
        <v>0</v>
      </c>
    </row>
    <row r="693" spans="1:65" x14ac:dyDescent="0.25">
      <c r="A693" s="2" t="s">
        <v>113</v>
      </c>
      <c r="B693" s="4">
        <v>39</v>
      </c>
      <c r="C693" s="4">
        <v>1</v>
      </c>
      <c r="D693" s="4">
        <v>3</v>
      </c>
      <c r="E693" s="4">
        <v>2</v>
      </c>
      <c r="F693" s="4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</row>
    <row r="694" spans="1:65" x14ac:dyDescent="0.25">
      <c r="A694" s="2" t="s">
        <v>113</v>
      </c>
      <c r="B694" s="4">
        <v>39</v>
      </c>
      <c r="C694" s="4">
        <v>1</v>
      </c>
      <c r="D694" s="4">
        <v>3</v>
      </c>
      <c r="E694" s="4">
        <v>3</v>
      </c>
      <c r="F694" s="4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1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</row>
    <row r="695" spans="1:65" x14ac:dyDescent="0.25">
      <c r="A695" s="2" t="s">
        <v>113</v>
      </c>
      <c r="B695" s="4">
        <v>39</v>
      </c>
      <c r="C695" s="4">
        <v>2</v>
      </c>
      <c r="D695" s="4">
        <v>1</v>
      </c>
      <c r="E695" s="4">
        <v>1</v>
      </c>
      <c r="F695" s="6">
        <v>0</v>
      </c>
      <c r="G695" s="3">
        <v>0</v>
      </c>
      <c r="H695" s="3">
        <v>0</v>
      </c>
      <c r="I695" s="3">
        <v>0</v>
      </c>
      <c r="J695" s="3">
        <v>0</v>
      </c>
      <c r="K695" s="3">
        <v>1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1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2</v>
      </c>
      <c r="BA695" s="3">
        <v>0</v>
      </c>
      <c r="BB695" s="3">
        <v>0</v>
      </c>
      <c r="BC695" s="3">
        <v>1</v>
      </c>
      <c r="BD695" s="3">
        <v>0</v>
      </c>
      <c r="BE695" s="3">
        <v>0</v>
      </c>
      <c r="BF695" s="3">
        <v>0</v>
      </c>
      <c r="BG695" s="3">
        <v>0</v>
      </c>
      <c r="BH695" s="3">
        <v>1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</row>
    <row r="696" spans="1:65" x14ac:dyDescent="0.25">
      <c r="A696" s="2" t="s">
        <v>113</v>
      </c>
      <c r="B696" s="4">
        <v>39</v>
      </c>
      <c r="C696" s="4">
        <v>2</v>
      </c>
      <c r="D696" s="4">
        <v>1</v>
      </c>
      <c r="E696" s="4">
        <v>2</v>
      </c>
      <c r="F696" s="6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1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3">
        <v>0</v>
      </c>
      <c r="BL696" s="3">
        <v>0</v>
      </c>
      <c r="BM696" s="3">
        <v>0</v>
      </c>
    </row>
    <row r="697" spans="1:65" x14ac:dyDescent="0.25">
      <c r="A697" s="2" t="s">
        <v>113</v>
      </c>
      <c r="B697" s="4">
        <v>39</v>
      </c>
      <c r="C697" s="4">
        <v>2</v>
      </c>
      <c r="D697" s="4">
        <v>1</v>
      </c>
      <c r="E697" s="4">
        <v>3</v>
      </c>
      <c r="F697" s="6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1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</row>
    <row r="698" spans="1:65" x14ac:dyDescent="0.25">
      <c r="A698" s="2" t="s">
        <v>113</v>
      </c>
      <c r="B698" s="4">
        <v>39</v>
      </c>
      <c r="C698" s="4">
        <v>2</v>
      </c>
      <c r="D698" s="4">
        <v>2</v>
      </c>
      <c r="E698" s="4">
        <v>1</v>
      </c>
      <c r="F698" s="6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</row>
    <row r="699" spans="1:65" x14ac:dyDescent="0.25">
      <c r="A699" s="2" t="s">
        <v>113</v>
      </c>
      <c r="B699" s="4">
        <v>39</v>
      </c>
      <c r="C699" s="4">
        <v>2</v>
      </c>
      <c r="D699" s="4">
        <v>2</v>
      </c>
      <c r="E699" s="4">
        <v>2</v>
      </c>
      <c r="F699" s="6">
        <v>0</v>
      </c>
      <c r="G699" s="3">
        <v>1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</row>
    <row r="700" spans="1:65" x14ac:dyDescent="0.25">
      <c r="A700" s="2" t="s">
        <v>113</v>
      </c>
      <c r="B700" s="4">
        <v>39</v>
      </c>
      <c r="C700" s="4">
        <v>2</v>
      </c>
      <c r="D700" s="4">
        <v>2</v>
      </c>
      <c r="E700" s="4">
        <v>3</v>
      </c>
      <c r="F700" s="6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</row>
    <row r="701" spans="1:65" x14ac:dyDescent="0.25">
      <c r="A701" s="2" t="s">
        <v>113</v>
      </c>
      <c r="B701" s="4">
        <v>39</v>
      </c>
      <c r="C701" s="4">
        <v>2</v>
      </c>
      <c r="D701" s="4">
        <v>3</v>
      </c>
      <c r="E701" s="4">
        <v>1</v>
      </c>
      <c r="F701" s="6">
        <v>0</v>
      </c>
      <c r="G701" s="3">
        <v>0</v>
      </c>
      <c r="H701" s="3">
        <v>0</v>
      </c>
      <c r="I701" s="3">
        <v>0</v>
      </c>
      <c r="J701" s="3">
        <v>0</v>
      </c>
      <c r="K701" s="3">
        <v>1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</row>
    <row r="702" spans="1:65" x14ac:dyDescent="0.25">
      <c r="A702" s="2" t="s">
        <v>113</v>
      </c>
      <c r="B702" s="4">
        <v>39</v>
      </c>
      <c r="C702" s="4">
        <v>2</v>
      </c>
      <c r="D702" s="4">
        <v>3</v>
      </c>
      <c r="E702" s="4">
        <v>2</v>
      </c>
      <c r="F702" s="6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0</v>
      </c>
    </row>
    <row r="703" spans="1:65" x14ac:dyDescent="0.25">
      <c r="A703" s="2" t="s">
        <v>113</v>
      </c>
      <c r="B703" s="4">
        <v>39</v>
      </c>
      <c r="C703" s="4">
        <v>2</v>
      </c>
      <c r="D703" s="4">
        <v>3</v>
      </c>
      <c r="E703" s="4">
        <v>3</v>
      </c>
      <c r="F703" s="6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</row>
    <row r="704" spans="1:65" x14ac:dyDescent="0.25">
      <c r="A704" s="2" t="s">
        <v>114</v>
      </c>
      <c r="B704" s="4">
        <v>40</v>
      </c>
      <c r="C704" s="4">
        <v>1</v>
      </c>
      <c r="D704" s="4">
        <v>1</v>
      </c>
      <c r="E704" s="4">
        <v>1</v>
      </c>
      <c r="F704" s="4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1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3">
        <v>0</v>
      </c>
      <c r="BL704" s="3">
        <v>0</v>
      </c>
      <c r="BM704" s="3">
        <v>0</v>
      </c>
    </row>
    <row r="705" spans="1:65" x14ac:dyDescent="0.25">
      <c r="A705" s="2" t="s">
        <v>114</v>
      </c>
      <c r="B705" s="4">
        <v>40</v>
      </c>
      <c r="C705" s="4">
        <v>1</v>
      </c>
      <c r="D705" s="4">
        <v>1</v>
      </c>
      <c r="E705" s="4">
        <v>2</v>
      </c>
      <c r="F705" s="4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1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1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1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0</v>
      </c>
    </row>
    <row r="706" spans="1:65" x14ac:dyDescent="0.25">
      <c r="A706" s="2" t="s">
        <v>114</v>
      </c>
      <c r="B706" s="4">
        <v>40</v>
      </c>
      <c r="C706" s="4">
        <v>1</v>
      </c>
      <c r="D706" s="4">
        <v>1</v>
      </c>
      <c r="E706" s="4">
        <v>3</v>
      </c>
      <c r="F706" s="4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1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1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0</v>
      </c>
    </row>
    <row r="707" spans="1:65" x14ac:dyDescent="0.25">
      <c r="A707" s="2" t="s">
        <v>114</v>
      </c>
      <c r="B707" s="4">
        <v>40</v>
      </c>
      <c r="C707" s="4">
        <v>1</v>
      </c>
      <c r="D707" s="4">
        <v>2</v>
      </c>
      <c r="E707" s="4">
        <v>1</v>
      </c>
      <c r="F707" s="4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1</v>
      </c>
      <c r="BA707" s="3">
        <v>0</v>
      </c>
      <c r="BB707" s="3">
        <v>0</v>
      </c>
      <c r="BC707" s="3">
        <v>1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</row>
    <row r="708" spans="1:65" x14ac:dyDescent="0.25">
      <c r="A708" s="2" t="s">
        <v>114</v>
      </c>
      <c r="B708" s="4">
        <v>40</v>
      </c>
      <c r="C708" s="4">
        <v>1</v>
      </c>
      <c r="D708" s="4">
        <v>2</v>
      </c>
      <c r="E708" s="4">
        <v>2</v>
      </c>
      <c r="F708" s="4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1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0</v>
      </c>
      <c r="BK708" s="3">
        <v>0</v>
      </c>
      <c r="BL708" s="3">
        <v>0</v>
      </c>
      <c r="BM708" s="3">
        <v>0</v>
      </c>
    </row>
    <row r="709" spans="1:65" x14ac:dyDescent="0.25">
      <c r="A709" s="2" t="s">
        <v>114</v>
      </c>
      <c r="B709" s="4">
        <v>40</v>
      </c>
      <c r="C709" s="4">
        <v>1</v>
      </c>
      <c r="D709" s="4">
        <v>2</v>
      </c>
      <c r="E709" s="4">
        <v>3</v>
      </c>
      <c r="F709" s="4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</row>
    <row r="710" spans="1:65" x14ac:dyDescent="0.25">
      <c r="A710" s="2" t="s">
        <v>114</v>
      </c>
      <c r="B710" s="4">
        <v>40</v>
      </c>
      <c r="C710" s="4">
        <v>1</v>
      </c>
      <c r="D710" s="4">
        <v>3</v>
      </c>
      <c r="E710" s="4">
        <v>1</v>
      </c>
      <c r="F710" s="4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1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3">
        <v>0</v>
      </c>
    </row>
    <row r="711" spans="1:65" x14ac:dyDescent="0.25">
      <c r="A711" s="2" t="s">
        <v>114</v>
      </c>
      <c r="B711" s="4">
        <v>40</v>
      </c>
      <c r="C711" s="4">
        <v>1</v>
      </c>
      <c r="D711" s="4">
        <v>3</v>
      </c>
      <c r="E711" s="4">
        <v>2</v>
      </c>
      <c r="F711" s="4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1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</row>
    <row r="712" spans="1:65" x14ac:dyDescent="0.25">
      <c r="A712" s="2" t="s">
        <v>114</v>
      </c>
      <c r="B712" s="4">
        <v>40</v>
      </c>
      <c r="C712" s="4">
        <v>1</v>
      </c>
      <c r="D712" s="4">
        <v>3</v>
      </c>
      <c r="E712" s="4">
        <v>3</v>
      </c>
      <c r="F712" s="4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1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</row>
    <row r="713" spans="1:65" x14ac:dyDescent="0.25">
      <c r="A713" s="2" t="s">
        <v>114</v>
      </c>
      <c r="B713" s="4">
        <v>40</v>
      </c>
      <c r="C713" s="4">
        <v>2</v>
      </c>
      <c r="D713" s="4">
        <v>1</v>
      </c>
      <c r="E713" s="4">
        <v>1</v>
      </c>
      <c r="F713" s="6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2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</row>
    <row r="714" spans="1:65" x14ac:dyDescent="0.25">
      <c r="A714" s="2" t="s">
        <v>114</v>
      </c>
      <c r="B714" s="4">
        <v>40</v>
      </c>
      <c r="C714" s="4">
        <v>2</v>
      </c>
      <c r="D714" s="4">
        <v>1</v>
      </c>
      <c r="E714" s="4">
        <v>2</v>
      </c>
      <c r="F714" s="6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1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1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1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0</v>
      </c>
      <c r="BK714" s="3">
        <v>0</v>
      </c>
      <c r="BL714" s="3">
        <v>0</v>
      </c>
      <c r="BM714" s="3">
        <v>0</v>
      </c>
    </row>
    <row r="715" spans="1:65" x14ac:dyDescent="0.25">
      <c r="A715" s="2" t="s">
        <v>114</v>
      </c>
      <c r="B715" s="4">
        <v>40</v>
      </c>
      <c r="C715" s="4">
        <v>2</v>
      </c>
      <c r="D715" s="4">
        <v>1</v>
      </c>
      <c r="E715" s="4">
        <v>3</v>
      </c>
      <c r="F715" s="6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</row>
    <row r="716" spans="1:65" x14ac:dyDescent="0.25">
      <c r="A716" s="2" t="s">
        <v>114</v>
      </c>
      <c r="B716" s="4">
        <v>40</v>
      </c>
      <c r="C716" s="4">
        <v>2</v>
      </c>
      <c r="D716" s="4">
        <v>2</v>
      </c>
      <c r="E716" s="4">
        <v>1</v>
      </c>
      <c r="F716" s="6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2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</row>
    <row r="717" spans="1:65" x14ac:dyDescent="0.25">
      <c r="A717" s="2" t="s">
        <v>114</v>
      </c>
      <c r="B717" s="4">
        <v>40</v>
      </c>
      <c r="C717" s="4">
        <v>2</v>
      </c>
      <c r="D717" s="4">
        <v>2</v>
      </c>
      <c r="E717" s="4">
        <v>2</v>
      </c>
      <c r="F717" s="6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1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</row>
    <row r="718" spans="1:65" x14ac:dyDescent="0.25">
      <c r="A718" s="2" t="s">
        <v>114</v>
      </c>
      <c r="B718" s="4">
        <v>40</v>
      </c>
      <c r="C718" s="4">
        <v>2</v>
      </c>
      <c r="D718" s="4">
        <v>2</v>
      </c>
      <c r="E718" s="4">
        <v>3</v>
      </c>
      <c r="F718" s="6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3">
        <v>0</v>
      </c>
      <c r="BL718" s="3">
        <v>0</v>
      </c>
      <c r="BM718" s="3">
        <v>0</v>
      </c>
    </row>
    <row r="719" spans="1:65" x14ac:dyDescent="0.25">
      <c r="A719" s="2" t="s">
        <v>114</v>
      </c>
      <c r="B719" s="4">
        <v>40</v>
      </c>
      <c r="C719" s="4">
        <v>2</v>
      </c>
      <c r="D719" s="4">
        <v>3</v>
      </c>
      <c r="E719" s="4">
        <v>1</v>
      </c>
      <c r="F719" s="6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</row>
    <row r="720" spans="1:65" x14ac:dyDescent="0.25">
      <c r="A720" s="2" t="s">
        <v>114</v>
      </c>
      <c r="B720" s="4">
        <v>40</v>
      </c>
      <c r="C720" s="4">
        <v>2</v>
      </c>
      <c r="D720" s="4">
        <v>3</v>
      </c>
      <c r="E720" s="4">
        <v>2</v>
      </c>
      <c r="F720" s="6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1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1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4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0</v>
      </c>
      <c r="BK720" s="3">
        <v>0</v>
      </c>
      <c r="BL720" s="3">
        <v>0</v>
      </c>
      <c r="BM720" s="3">
        <v>0</v>
      </c>
    </row>
    <row r="721" spans="1:65" x14ac:dyDescent="0.25">
      <c r="A721" s="2" t="s">
        <v>114</v>
      </c>
      <c r="B721" s="4">
        <v>40</v>
      </c>
      <c r="C721" s="4">
        <v>2</v>
      </c>
      <c r="D721" s="4">
        <v>3</v>
      </c>
      <c r="E721" s="4">
        <v>3</v>
      </c>
      <c r="F721" s="6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1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</row>
    <row r="722" spans="1:65" x14ac:dyDescent="0.25">
      <c r="A722" s="2" t="s">
        <v>115</v>
      </c>
      <c r="B722" s="4">
        <v>41</v>
      </c>
      <c r="C722" s="4">
        <v>1</v>
      </c>
      <c r="D722" s="4">
        <v>1</v>
      </c>
      <c r="E722" s="4">
        <v>1</v>
      </c>
      <c r="F722" s="4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1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2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0</v>
      </c>
    </row>
    <row r="723" spans="1:65" x14ac:dyDescent="0.25">
      <c r="A723" s="2" t="s">
        <v>115</v>
      </c>
      <c r="B723" s="4">
        <v>41</v>
      </c>
      <c r="C723" s="4">
        <v>1</v>
      </c>
      <c r="D723" s="4">
        <v>1</v>
      </c>
      <c r="E723" s="4">
        <v>2</v>
      </c>
      <c r="F723" s="4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1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</row>
    <row r="724" spans="1:65" x14ac:dyDescent="0.25">
      <c r="A724" s="2" t="s">
        <v>115</v>
      </c>
      <c r="B724" s="4">
        <v>41</v>
      </c>
      <c r="C724" s="4">
        <v>1</v>
      </c>
      <c r="D724" s="4">
        <v>1</v>
      </c>
      <c r="E724" s="4">
        <v>3</v>
      </c>
      <c r="F724" s="4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1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</row>
    <row r="725" spans="1:65" x14ac:dyDescent="0.25">
      <c r="A725" s="2" t="s">
        <v>115</v>
      </c>
      <c r="B725" s="4">
        <v>41</v>
      </c>
      <c r="C725" s="4">
        <v>1</v>
      </c>
      <c r="D725" s="4">
        <v>2</v>
      </c>
      <c r="E725" s="4">
        <v>1</v>
      </c>
      <c r="F725" s="4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1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</row>
    <row r="726" spans="1:65" x14ac:dyDescent="0.25">
      <c r="A726" s="2" t="s">
        <v>115</v>
      </c>
      <c r="B726" s="4">
        <v>41</v>
      </c>
      <c r="C726" s="4">
        <v>1</v>
      </c>
      <c r="D726" s="4">
        <v>2</v>
      </c>
      <c r="E726" s="4">
        <v>2</v>
      </c>
      <c r="F726" s="4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</row>
    <row r="727" spans="1:65" x14ac:dyDescent="0.25">
      <c r="A727" s="2" t="s">
        <v>115</v>
      </c>
      <c r="B727" s="4">
        <v>41</v>
      </c>
      <c r="C727" s="4">
        <v>1</v>
      </c>
      <c r="D727" s="4">
        <v>2</v>
      </c>
      <c r="E727" s="4">
        <v>3</v>
      </c>
      <c r="F727" s="4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</row>
    <row r="728" spans="1:65" x14ac:dyDescent="0.25">
      <c r="A728" s="2" t="s">
        <v>115</v>
      </c>
      <c r="B728" s="4">
        <v>41</v>
      </c>
      <c r="C728" s="4">
        <v>1</v>
      </c>
      <c r="D728" s="4">
        <v>3</v>
      </c>
      <c r="E728" s="4">
        <v>1</v>
      </c>
      <c r="F728" s="4">
        <v>0</v>
      </c>
      <c r="G728" s="3">
        <v>0</v>
      </c>
      <c r="H728" s="3">
        <v>0</v>
      </c>
      <c r="I728" s="3">
        <v>0</v>
      </c>
      <c r="J728" s="3">
        <v>0</v>
      </c>
      <c r="K728" s="3">
        <v>2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0</v>
      </c>
      <c r="BK728" s="3">
        <v>0</v>
      </c>
      <c r="BL728" s="3">
        <v>0</v>
      </c>
      <c r="BM728" s="3">
        <v>0</v>
      </c>
    </row>
    <row r="729" spans="1:65" x14ac:dyDescent="0.25">
      <c r="A729" s="2" t="s">
        <v>115</v>
      </c>
      <c r="B729" s="4">
        <v>41</v>
      </c>
      <c r="C729" s="4">
        <v>1</v>
      </c>
      <c r="D729" s="4">
        <v>3</v>
      </c>
      <c r="E729" s="4">
        <v>2</v>
      </c>
      <c r="F729" s="4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</row>
    <row r="730" spans="1:65" x14ac:dyDescent="0.25">
      <c r="A730" s="2" t="s">
        <v>115</v>
      </c>
      <c r="B730" s="4">
        <v>41</v>
      </c>
      <c r="C730" s="4">
        <v>1</v>
      </c>
      <c r="D730" s="4">
        <v>3</v>
      </c>
      <c r="E730" s="4">
        <v>3</v>
      </c>
      <c r="F730" s="4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</row>
    <row r="731" spans="1:65" x14ac:dyDescent="0.25">
      <c r="A731" s="2" t="s">
        <v>115</v>
      </c>
      <c r="B731" s="4">
        <v>41</v>
      </c>
      <c r="C731" s="4">
        <v>2</v>
      </c>
      <c r="D731" s="4">
        <v>1</v>
      </c>
      <c r="E731" s="4">
        <v>1</v>
      </c>
      <c r="F731" s="6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2</v>
      </c>
      <c r="BA731" s="3">
        <v>1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</row>
    <row r="732" spans="1:65" x14ac:dyDescent="0.25">
      <c r="A732" s="2" t="s">
        <v>115</v>
      </c>
      <c r="B732" s="4">
        <v>41</v>
      </c>
      <c r="C732" s="4">
        <v>2</v>
      </c>
      <c r="D732" s="4">
        <v>1</v>
      </c>
      <c r="E732" s="4">
        <v>2</v>
      </c>
      <c r="F732" s="6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>
        <v>0</v>
      </c>
      <c r="BK732" s="3">
        <v>0</v>
      </c>
      <c r="BL732" s="3">
        <v>1</v>
      </c>
      <c r="BM732" s="3">
        <v>0</v>
      </c>
    </row>
    <row r="733" spans="1:65" x14ac:dyDescent="0.25">
      <c r="A733" s="2" t="s">
        <v>115</v>
      </c>
      <c r="B733" s="4">
        <v>41</v>
      </c>
      <c r="C733" s="4">
        <v>2</v>
      </c>
      <c r="D733" s="4">
        <v>1</v>
      </c>
      <c r="E733" s="4">
        <v>3</v>
      </c>
      <c r="F733" s="6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</row>
    <row r="734" spans="1:65" x14ac:dyDescent="0.25">
      <c r="A734" s="2" t="s">
        <v>115</v>
      </c>
      <c r="B734" s="4">
        <v>41</v>
      </c>
      <c r="C734" s="4">
        <v>2</v>
      </c>
      <c r="D734" s="4">
        <v>2</v>
      </c>
      <c r="E734" s="4">
        <v>1</v>
      </c>
      <c r="F734" s="6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1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</row>
    <row r="735" spans="1:65" x14ac:dyDescent="0.25">
      <c r="A735" s="2" t="s">
        <v>115</v>
      </c>
      <c r="B735" s="4">
        <v>41</v>
      </c>
      <c r="C735" s="4">
        <v>2</v>
      </c>
      <c r="D735" s="4">
        <v>2</v>
      </c>
      <c r="E735" s="4">
        <v>2</v>
      </c>
      <c r="F735" s="6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</row>
    <row r="736" spans="1:65" x14ac:dyDescent="0.25">
      <c r="A736" s="2" t="s">
        <v>115</v>
      </c>
      <c r="B736" s="4">
        <v>41</v>
      </c>
      <c r="C736" s="4">
        <v>2</v>
      </c>
      <c r="D736" s="4">
        <v>2</v>
      </c>
      <c r="E736" s="4">
        <v>3</v>
      </c>
      <c r="F736" s="6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3">
        <v>0</v>
      </c>
    </row>
    <row r="737" spans="1:65" x14ac:dyDescent="0.25">
      <c r="A737" s="2" t="s">
        <v>115</v>
      </c>
      <c r="B737" s="4">
        <v>41</v>
      </c>
      <c r="C737" s="4">
        <v>2</v>
      </c>
      <c r="D737" s="4">
        <v>3</v>
      </c>
      <c r="E737" s="4">
        <v>1</v>
      </c>
      <c r="F737" s="6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</row>
    <row r="738" spans="1:65" x14ac:dyDescent="0.25">
      <c r="A738" s="2" t="s">
        <v>115</v>
      </c>
      <c r="B738" s="4">
        <v>41</v>
      </c>
      <c r="C738" s="4">
        <v>2</v>
      </c>
      <c r="D738" s="4">
        <v>3</v>
      </c>
      <c r="E738" s="4">
        <v>2</v>
      </c>
      <c r="F738" s="6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0</v>
      </c>
      <c r="BL738" s="3">
        <v>0</v>
      </c>
      <c r="BM738" s="3">
        <v>0</v>
      </c>
    </row>
    <row r="739" spans="1:65" x14ac:dyDescent="0.25">
      <c r="A739" s="2" t="s">
        <v>115</v>
      </c>
      <c r="B739" s="4">
        <v>41</v>
      </c>
      <c r="C739" s="4">
        <v>2</v>
      </c>
      <c r="D739" s="4">
        <v>3</v>
      </c>
      <c r="E739" s="4">
        <v>3</v>
      </c>
      <c r="F739" s="6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</row>
    <row r="740" spans="1:65" x14ac:dyDescent="0.25">
      <c r="A740" s="2" t="s">
        <v>116</v>
      </c>
      <c r="B740" s="4">
        <v>42</v>
      </c>
      <c r="C740" s="4">
        <v>1</v>
      </c>
      <c r="D740" s="4">
        <v>1</v>
      </c>
      <c r="E740" s="4">
        <v>1</v>
      </c>
      <c r="F740" s="4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1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1</v>
      </c>
      <c r="BA740" s="3">
        <v>0</v>
      </c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1</v>
      </c>
      <c r="BI740" s="3">
        <v>0</v>
      </c>
      <c r="BJ740" s="3">
        <v>0</v>
      </c>
      <c r="BK740" s="3">
        <v>0</v>
      </c>
      <c r="BL740" s="3">
        <v>2</v>
      </c>
      <c r="BM740" s="3">
        <v>0</v>
      </c>
    </row>
    <row r="741" spans="1:65" x14ac:dyDescent="0.25">
      <c r="A741" s="2" t="s">
        <v>116</v>
      </c>
      <c r="B741" s="4">
        <v>42</v>
      </c>
      <c r="C741" s="4">
        <v>1</v>
      </c>
      <c r="D741" s="4">
        <v>1</v>
      </c>
      <c r="E741" s="4">
        <v>2</v>
      </c>
      <c r="F741" s="4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1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1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1</v>
      </c>
      <c r="BA741" s="3">
        <v>1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1</v>
      </c>
      <c r="BI741" s="3">
        <v>0</v>
      </c>
      <c r="BJ741" s="3">
        <v>0</v>
      </c>
      <c r="BK741" s="3">
        <v>0</v>
      </c>
      <c r="BL741" s="3">
        <v>1</v>
      </c>
      <c r="BM741" s="3">
        <v>0</v>
      </c>
    </row>
    <row r="742" spans="1:65" x14ac:dyDescent="0.25">
      <c r="A742" s="2" t="s">
        <v>116</v>
      </c>
      <c r="B742" s="4">
        <v>42</v>
      </c>
      <c r="C742" s="4">
        <v>1</v>
      </c>
      <c r="D742" s="4">
        <v>1</v>
      </c>
      <c r="E742" s="4">
        <v>3</v>
      </c>
      <c r="F742" s="4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1</v>
      </c>
      <c r="BG742" s="3">
        <v>0</v>
      </c>
      <c r="BH742" s="3">
        <v>0</v>
      </c>
      <c r="BI742" s="3">
        <v>0</v>
      </c>
      <c r="BJ742" s="3">
        <v>0</v>
      </c>
      <c r="BK742" s="3">
        <v>0</v>
      </c>
      <c r="BL742" s="3">
        <v>0</v>
      </c>
      <c r="BM742" s="3">
        <v>0</v>
      </c>
    </row>
    <row r="743" spans="1:65" x14ac:dyDescent="0.25">
      <c r="A743" s="2" t="s">
        <v>116</v>
      </c>
      <c r="B743" s="4">
        <v>42</v>
      </c>
      <c r="C743" s="4">
        <v>1</v>
      </c>
      <c r="D743" s="4">
        <v>2</v>
      </c>
      <c r="E743" s="4">
        <v>1</v>
      </c>
      <c r="F743" s="4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</row>
    <row r="744" spans="1:65" x14ac:dyDescent="0.25">
      <c r="A744" s="2" t="s">
        <v>116</v>
      </c>
      <c r="B744" s="4">
        <v>42</v>
      </c>
      <c r="C744" s="4">
        <v>1</v>
      </c>
      <c r="D744" s="4">
        <v>2</v>
      </c>
      <c r="E744" s="4">
        <v>2</v>
      </c>
      <c r="F744" s="4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1</v>
      </c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</row>
    <row r="745" spans="1:65" x14ac:dyDescent="0.25">
      <c r="A745" s="2" t="s">
        <v>116</v>
      </c>
      <c r="B745" s="4">
        <v>42</v>
      </c>
      <c r="C745" s="4">
        <v>1</v>
      </c>
      <c r="D745" s="4">
        <v>2</v>
      </c>
      <c r="E745" s="4">
        <v>3</v>
      </c>
      <c r="F745" s="4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1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</row>
    <row r="746" spans="1:65" x14ac:dyDescent="0.25">
      <c r="A746" s="2" t="s">
        <v>116</v>
      </c>
      <c r="B746" s="4">
        <v>42</v>
      </c>
      <c r="C746" s="4">
        <v>1</v>
      </c>
      <c r="D746" s="4">
        <v>3</v>
      </c>
      <c r="E746" s="4">
        <v>1</v>
      </c>
      <c r="F746" s="4">
        <v>0</v>
      </c>
      <c r="G746" s="3">
        <v>1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1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1</v>
      </c>
      <c r="BI746" s="3">
        <v>0</v>
      </c>
      <c r="BJ746" s="3">
        <v>0</v>
      </c>
      <c r="BK746" s="3">
        <v>0</v>
      </c>
      <c r="BL746" s="3">
        <v>1</v>
      </c>
      <c r="BM746" s="3">
        <v>0</v>
      </c>
    </row>
    <row r="747" spans="1:65" x14ac:dyDescent="0.25">
      <c r="A747" s="2" t="s">
        <v>116</v>
      </c>
      <c r="B747" s="4">
        <v>42</v>
      </c>
      <c r="C747" s="4">
        <v>1</v>
      </c>
      <c r="D747" s="4">
        <v>3</v>
      </c>
      <c r="E747" s="4">
        <v>2</v>
      </c>
      <c r="F747" s="4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1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</row>
    <row r="748" spans="1:65" x14ac:dyDescent="0.25">
      <c r="A748" s="2" t="s">
        <v>116</v>
      </c>
      <c r="B748" s="4">
        <v>42</v>
      </c>
      <c r="C748" s="4">
        <v>1</v>
      </c>
      <c r="D748" s="4">
        <v>3</v>
      </c>
      <c r="E748" s="4">
        <v>3</v>
      </c>
      <c r="F748" s="4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1</v>
      </c>
    </row>
    <row r="749" spans="1:65" x14ac:dyDescent="0.25">
      <c r="A749" s="2" t="s">
        <v>116</v>
      </c>
      <c r="B749" s="4">
        <v>42</v>
      </c>
      <c r="C749" s="4">
        <v>2</v>
      </c>
      <c r="D749" s="4">
        <v>1</v>
      </c>
      <c r="E749" s="4">
        <v>1</v>
      </c>
      <c r="F749" s="6">
        <v>0</v>
      </c>
      <c r="G749" s="3">
        <v>2</v>
      </c>
      <c r="H749" s="3">
        <v>0</v>
      </c>
      <c r="I749" s="3">
        <v>1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1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1</v>
      </c>
      <c r="BA749" s="3">
        <v>0</v>
      </c>
      <c r="BB749" s="3">
        <v>0</v>
      </c>
      <c r="BC749" s="3">
        <v>1</v>
      </c>
      <c r="BD749" s="3">
        <v>0</v>
      </c>
      <c r="BE749" s="3">
        <v>0</v>
      </c>
      <c r="BF749" s="3">
        <v>0</v>
      </c>
      <c r="BG749" s="3">
        <v>0</v>
      </c>
      <c r="BH749" s="3">
        <v>2</v>
      </c>
      <c r="BI749" s="3">
        <v>0</v>
      </c>
      <c r="BJ749" s="3">
        <v>0</v>
      </c>
      <c r="BK749" s="3">
        <v>0</v>
      </c>
      <c r="BL749" s="3">
        <v>2</v>
      </c>
      <c r="BM749" s="3">
        <v>0</v>
      </c>
    </row>
    <row r="750" spans="1:65" x14ac:dyDescent="0.25">
      <c r="A750" s="2" t="s">
        <v>116</v>
      </c>
      <c r="B750" s="4">
        <v>42</v>
      </c>
      <c r="C750" s="4">
        <v>2</v>
      </c>
      <c r="D750" s="4">
        <v>1</v>
      </c>
      <c r="E750" s="4">
        <v>2</v>
      </c>
      <c r="F750" s="6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0</v>
      </c>
      <c r="BL750" s="3">
        <v>1</v>
      </c>
      <c r="BM750" s="3">
        <v>0</v>
      </c>
    </row>
    <row r="751" spans="1:65" x14ac:dyDescent="0.25">
      <c r="A751" s="2" t="s">
        <v>116</v>
      </c>
      <c r="B751" s="4">
        <v>42</v>
      </c>
      <c r="C751" s="4">
        <v>2</v>
      </c>
      <c r="D751" s="4">
        <v>1</v>
      </c>
      <c r="E751" s="4">
        <v>3</v>
      </c>
      <c r="F751" s="6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</row>
    <row r="752" spans="1:65" x14ac:dyDescent="0.25">
      <c r="A752" s="2" t="s">
        <v>116</v>
      </c>
      <c r="B752" s="4">
        <v>42</v>
      </c>
      <c r="C752" s="4">
        <v>2</v>
      </c>
      <c r="D752" s="4">
        <v>2</v>
      </c>
      <c r="E752" s="4">
        <v>1</v>
      </c>
      <c r="F752" s="6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0</v>
      </c>
      <c r="BK752" s="3">
        <v>0</v>
      </c>
      <c r="BL752" s="3">
        <v>1</v>
      </c>
      <c r="BM752" s="3">
        <v>0</v>
      </c>
    </row>
    <row r="753" spans="1:65" x14ac:dyDescent="0.25">
      <c r="A753" s="2" t="s">
        <v>116</v>
      </c>
      <c r="B753" s="4">
        <v>42</v>
      </c>
      <c r="C753" s="4">
        <v>2</v>
      </c>
      <c r="D753" s="4">
        <v>2</v>
      </c>
      <c r="E753" s="4">
        <v>2</v>
      </c>
      <c r="F753" s="6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</row>
    <row r="754" spans="1:65" x14ac:dyDescent="0.25">
      <c r="A754" s="2" t="s">
        <v>116</v>
      </c>
      <c r="B754" s="4">
        <v>42</v>
      </c>
      <c r="C754" s="4">
        <v>2</v>
      </c>
      <c r="D754" s="4">
        <v>2</v>
      </c>
      <c r="E754" s="4">
        <v>3</v>
      </c>
      <c r="F754" s="6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</row>
    <row r="755" spans="1:65" x14ac:dyDescent="0.25">
      <c r="A755" s="2" t="s">
        <v>116</v>
      </c>
      <c r="B755" s="4">
        <v>42</v>
      </c>
      <c r="C755" s="4">
        <v>2</v>
      </c>
      <c r="D755" s="4">
        <v>3</v>
      </c>
      <c r="E755" s="4">
        <v>1</v>
      </c>
      <c r="F755" s="6">
        <v>1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1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</row>
    <row r="756" spans="1:65" x14ac:dyDescent="0.25">
      <c r="A756" s="2" t="s">
        <v>116</v>
      </c>
      <c r="B756" s="4">
        <v>42</v>
      </c>
      <c r="C756" s="4">
        <v>2</v>
      </c>
      <c r="D756" s="4">
        <v>3</v>
      </c>
      <c r="E756" s="4">
        <v>2</v>
      </c>
      <c r="F756" s="6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0</v>
      </c>
      <c r="BK756" s="3">
        <v>0</v>
      </c>
      <c r="BL756" s="3">
        <v>0</v>
      </c>
      <c r="BM756" s="3">
        <v>0</v>
      </c>
    </row>
    <row r="757" spans="1:65" x14ac:dyDescent="0.25">
      <c r="A757" s="2" t="s">
        <v>116</v>
      </c>
      <c r="B757" s="4">
        <v>42</v>
      </c>
      <c r="C757" s="4">
        <v>2</v>
      </c>
      <c r="D757" s="4">
        <v>3</v>
      </c>
      <c r="E757" s="4">
        <v>3</v>
      </c>
      <c r="F757" s="6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1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</row>
    <row r="758" spans="1:65" x14ac:dyDescent="0.25">
      <c r="A758" s="2" t="s">
        <v>117</v>
      </c>
      <c r="B758" s="4">
        <v>43</v>
      </c>
      <c r="C758" s="4">
        <v>1</v>
      </c>
      <c r="D758" s="4">
        <v>1</v>
      </c>
      <c r="E758" s="4">
        <v>1</v>
      </c>
      <c r="F758" s="4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1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1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1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1</v>
      </c>
      <c r="BM758" s="3">
        <v>0</v>
      </c>
    </row>
    <row r="759" spans="1:65" x14ac:dyDescent="0.25">
      <c r="A759" s="2" t="s">
        <v>117</v>
      </c>
      <c r="B759" s="4">
        <v>43</v>
      </c>
      <c r="C759" s="4">
        <v>1</v>
      </c>
      <c r="D759" s="4">
        <v>1</v>
      </c>
      <c r="E759" s="4">
        <v>2</v>
      </c>
      <c r="F759" s="4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1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1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1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2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1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</row>
    <row r="760" spans="1:65" x14ac:dyDescent="0.25">
      <c r="A760" s="2" t="s">
        <v>117</v>
      </c>
      <c r="B760" s="4">
        <v>43</v>
      </c>
      <c r="C760" s="4">
        <v>1</v>
      </c>
      <c r="D760" s="4">
        <v>1</v>
      </c>
      <c r="E760" s="4">
        <v>3</v>
      </c>
      <c r="F760" s="4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0</v>
      </c>
      <c r="BK760" s="3">
        <v>0</v>
      </c>
      <c r="BL760" s="3">
        <v>0</v>
      </c>
      <c r="BM760" s="3">
        <v>0</v>
      </c>
    </row>
    <row r="761" spans="1:65" x14ac:dyDescent="0.25">
      <c r="A761" s="2" t="s">
        <v>117</v>
      </c>
      <c r="B761" s="4">
        <v>43</v>
      </c>
      <c r="C761" s="4">
        <v>1</v>
      </c>
      <c r="D761" s="4">
        <v>2</v>
      </c>
      <c r="E761" s="4">
        <v>1</v>
      </c>
      <c r="F761" s="4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1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</row>
    <row r="762" spans="1:65" x14ac:dyDescent="0.25">
      <c r="A762" s="2" t="s">
        <v>117</v>
      </c>
      <c r="B762" s="4">
        <v>43</v>
      </c>
      <c r="C762" s="4">
        <v>1</v>
      </c>
      <c r="D762" s="4">
        <v>2</v>
      </c>
      <c r="E762" s="4">
        <v>2</v>
      </c>
      <c r="F762" s="4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1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0</v>
      </c>
      <c r="BK762" s="3">
        <v>0</v>
      </c>
      <c r="BL762" s="3">
        <v>0</v>
      </c>
      <c r="BM762" s="3">
        <v>0</v>
      </c>
    </row>
    <row r="763" spans="1:65" x14ac:dyDescent="0.25">
      <c r="A763" s="2" t="s">
        <v>117</v>
      </c>
      <c r="B763" s="4">
        <v>43</v>
      </c>
      <c r="C763" s="4">
        <v>1</v>
      </c>
      <c r="D763" s="4">
        <v>2</v>
      </c>
      <c r="E763" s="4">
        <v>3</v>
      </c>
      <c r="F763" s="4">
        <v>0</v>
      </c>
      <c r="G763" s="3">
        <v>0</v>
      </c>
      <c r="H763" s="3">
        <v>0</v>
      </c>
      <c r="I763" s="3">
        <v>1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1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</row>
    <row r="764" spans="1:65" x14ac:dyDescent="0.25">
      <c r="A764" s="2" t="s">
        <v>117</v>
      </c>
      <c r="B764" s="4">
        <v>43</v>
      </c>
      <c r="C764" s="4">
        <v>1</v>
      </c>
      <c r="D764" s="4">
        <v>3</v>
      </c>
      <c r="E764" s="4">
        <v>1</v>
      </c>
      <c r="F764" s="4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0</v>
      </c>
      <c r="BK764" s="3">
        <v>0</v>
      </c>
      <c r="BL764" s="3">
        <v>0</v>
      </c>
      <c r="BM764" s="3">
        <v>0</v>
      </c>
    </row>
    <row r="765" spans="1:65" x14ac:dyDescent="0.25">
      <c r="A765" s="2" t="s">
        <v>117</v>
      </c>
      <c r="B765" s="4">
        <v>43</v>
      </c>
      <c r="C765" s="4">
        <v>1</v>
      </c>
      <c r="D765" s="4">
        <v>3</v>
      </c>
      <c r="E765" s="4">
        <v>2</v>
      </c>
      <c r="F765" s="4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</row>
    <row r="766" spans="1:65" x14ac:dyDescent="0.25">
      <c r="A766" s="2" t="s">
        <v>117</v>
      </c>
      <c r="B766" s="4">
        <v>43</v>
      </c>
      <c r="C766" s="4">
        <v>1</v>
      </c>
      <c r="D766" s="4">
        <v>3</v>
      </c>
      <c r="E766" s="4">
        <v>3</v>
      </c>
      <c r="F766" s="4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1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0</v>
      </c>
      <c r="BK766" s="3">
        <v>0</v>
      </c>
      <c r="BL766" s="3">
        <v>0</v>
      </c>
      <c r="BM766" s="3">
        <v>0</v>
      </c>
    </row>
    <row r="767" spans="1:65" x14ac:dyDescent="0.25">
      <c r="A767" s="2" t="s">
        <v>117</v>
      </c>
      <c r="B767" s="4">
        <v>43</v>
      </c>
      <c r="C767" s="4">
        <v>2</v>
      </c>
      <c r="D767" s="4">
        <v>1</v>
      </c>
      <c r="E767" s="4">
        <v>1</v>
      </c>
      <c r="F767" s="6">
        <v>0</v>
      </c>
      <c r="G767" s="3">
        <v>2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1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2</v>
      </c>
      <c r="BM767" s="3">
        <v>0</v>
      </c>
    </row>
    <row r="768" spans="1:65" x14ac:dyDescent="0.25">
      <c r="A768" s="2" t="s">
        <v>117</v>
      </c>
      <c r="B768" s="4">
        <v>43</v>
      </c>
      <c r="C768" s="4">
        <v>2</v>
      </c>
      <c r="D768" s="4">
        <v>1</v>
      </c>
      <c r="E768" s="4">
        <v>2</v>
      </c>
      <c r="F768" s="6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2</v>
      </c>
      <c r="Q768" s="3">
        <v>0</v>
      </c>
      <c r="R768" s="3">
        <v>0</v>
      </c>
      <c r="S768" s="3">
        <v>0</v>
      </c>
      <c r="T768" s="3">
        <v>0</v>
      </c>
      <c r="U768" s="3">
        <v>1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1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1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  <c r="BK768" s="3">
        <v>0</v>
      </c>
      <c r="BL768" s="3">
        <v>0</v>
      </c>
      <c r="BM768" s="3">
        <v>0</v>
      </c>
    </row>
    <row r="769" spans="1:65" x14ac:dyDescent="0.25">
      <c r="A769" s="2" t="s">
        <v>117</v>
      </c>
      <c r="B769" s="4">
        <v>43</v>
      </c>
      <c r="C769" s="4">
        <v>2</v>
      </c>
      <c r="D769" s="4">
        <v>1</v>
      </c>
      <c r="E769" s="4">
        <v>3</v>
      </c>
      <c r="F769" s="6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</row>
    <row r="770" spans="1:65" x14ac:dyDescent="0.25">
      <c r="A770" s="2" t="s">
        <v>117</v>
      </c>
      <c r="B770" s="4">
        <v>43</v>
      </c>
      <c r="C770" s="4">
        <v>2</v>
      </c>
      <c r="D770" s="4">
        <v>2</v>
      </c>
      <c r="E770" s="4">
        <v>1</v>
      </c>
      <c r="F770" s="6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3">
        <v>0</v>
      </c>
      <c r="BK770" s="3">
        <v>0</v>
      </c>
      <c r="BL770" s="3">
        <v>0</v>
      </c>
      <c r="BM770" s="3">
        <v>0</v>
      </c>
    </row>
    <row r="771" spans="1:65" x14ac:dyDescent="0.25">
      <c r="A771" s="2" t="s">
        <v>117</v>
      </c>
      <c r="B771" s="4">
        <v>43</v>
      </c>
      <c r="C771" s="4">
        <v>2</v>
      </c>
      <c r="D771" s="4">
        <v>2</v>
      </c>
      <c r="E771" s="4">
        <v>2</v>
      </c>
      <c r="F771" s="6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1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</row>
    <row r="772" spans="1:65" x14ac:dyDescent="0.25">
      <c r="A772" s="2" t="s">
        <v>117</v>
      </c>
      <c r="B772" s="4">
        <v>43</v>
      </c>
      <c r="C772" s="4">
        <v>2</v>
      </c>
      <c r="D772" s="4">
        <v>2</v>
      </c>
      <c r="E772" s="4">
        <v>3</v>
      </c>
      <c r="F772" s="6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1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  <c r="BK772" s="3">
        <v>0</v>
      </c>
      <c r="BL772" s="3">
        <v>0</v>
      </c>
      <c r="BM772" s="3">
        <v>0</v>
      </c>
    </row>
    <row r="773" spans="1:65" x14ac:dyDescent="0.25">
      <c r="A773" s="2" t="s">
        <v>117</v>
      </c>
      <c r="B773" s="4">
        <v>43</v>
      </c>
      <c r="C773" s="4">
        <v>2</v>
      </c>
      <c r="D773" s="4">
        <v>3</v>
      </c>
      <c r="E773" s="4">
        <v>1</v>
      </c>
      <c r="F773" s="6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1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1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</row>
    <row r="774" spans="1:65" x14ac:dyDescent="0.25">
      <c r="A774" s="2" t="s">
        <v>117</v>
      </c>
      <c r="B774" s="4">
        <v>43</v>
      </c>
      <c r="C774" s="4">
        <v>2</v>
      </c>
      <c r="D774" s="4">
        <v>3</v>
      </c>
      <c r="E774" s="4">
        <v>2</v>
      </c>
      <c r="F774" s="6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1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0</v>
      </c>
      <c r="BM774" s="3">
        <v>0</v>
      </c>
    </row>
    <row r="775" spans="1:65" x14ac:dyDescent="0.25">
      <c r="A775" s="2" t="s">
        <v>117</v>
      </c>
      <c r="B775" s="4">
        <v>43</v>
      </c>
      <c r="C775" s="4">
        <v>2</v>
      </c>
      <c r="D775" s="4">
        <v>3</v>
      </c>
      <c r="E775" s="4">
        <v>3</v>
      </c>
      <c r="F775" s="6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</row>
    <row r="776" spans="1:65" x14ac:dyDescent="0.25">
      <c r="A776" s="2" t="s">
        <v>118</v>
      </c>
      <c r="B776" s="4">
        <v>44</v>
      </c>
      <c r="C776" s="4">
        <v>1</v>
      </c>
      <c r="D776" s="4">
        <v>1</v>
      </c>
      <c r="E776" s="4">
        <v>1</v>
      </c>
      <c r="F776" s="4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1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0</v>
      </c>
      <c r="BK776" s="3">
        <v>0</v>
      </c>
      <c r="BL776" s="3">
        <v>2</v>
      </c>
      <c r="BM776" s="3">
        <v>0</v>
      </c>
    </row>
    <row r="777" spans="1:65" x14ac:dyDescent="0.25">
      <c r="A777" s="2" t="s">
        <v>118</v>
      </c>
      <c r="B777" s="4">
        <v>44</v>
      </c>
      <c r="C777" s="4">
        <v>1</v>
      </c>
      <c r="D777" s="4">
        <v>1</v>
      </c>
      <c r="E777" s="4">
        <v>2</v>
      </c>
      <c r="F777" s="4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1</v>
      </c>
      <c r="AC777" s="3">
        <v>0</v>
      </c>
      <c r="AD777" s="3">
        <v>0</v>
      </c>
      <c r="AE777" s="3">
        <v>0</v>
      </c>
      <c r="AF777" s="3">
        <v>2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1</v>
      </c>
      <c r="BM777" s="3">
        <v>0</v>
      </c>
    </row>
    <row r="778" spans="1:65" x14ac:dyDescent="0.25">
      <c r="A778" s="2" t="s">
        <v>118</v>
      </c>
      <c r="B778" s="4">
        <v>44</v>
      </c>
      <c r="C778" s="4">
        <v>1</v>
      </c>
      <c r="D778" s="4">
        <v>1</v>
      </c>
      <c r="E778" s="4">
        <v>3</v>
      </c>
      <c r="F778" s="4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0</v>
      </c>
    </row>
    <row r="779" spans="1:65" x14ac:dyDescent="0.25">
      <c r="A779" s="2" t="s">
        <v>118</v>
      </c>
      <c r="B779" s="4">
        <v>44</v>
      </c>
      <c r="C779" s="4">
        <v>1</v>
      </c>
      <c r="D779" s="4">
        <v>2</v>
      </c>
      <c r="E779" s="4">
        <v>1</v>
      </c>
      <c r="F779" s="4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</row>
    <row r="780" spans="1:65" x14ac:dyDescent="0.25">
      <c r="A780" s="2" t="s">
        <v>118</v>
      </c>
      <c r="B780" s="4">
        <v>44</v>
      </c>
      <c r="C780" s="4">
        <v>1</v>
      </c>
      <c r="D780" s="4">
        <v>2</v>
      </c>
      <c r="E780" s="4">
        <v>2</v>
      </c>
      <c r="F780" s="4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1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</row>
    <row r="781" spans="1:65" x14ac:dyDescent="0.25">
      <c r="A781" s="2" t="s">
        <v>118</v>
      </c>
      <c r="B781" s="4">
        <v>44</v>
      </c>
      <c r="C781" s="4">
        <v>1</v>
      </c>
      <c r="D781" s="4">
        <v>2</v>
      </c>
      <c r="E781" s="4">
        <v>3</v>
      </c>
      <c r="F781" s="4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</row>
    <row r="782" spans="1:65" x14ac:dyDescent="0.25">
      <c r="A782" s="2" t="s">
        <v>118</v>
      </c>
      <c r="B782" s="4">
        <v>44</v>
      </c>
      <c r="C782" s="4">
        <v>1</v>
      </c>
      <c r="D782" s="4">
        <v>3</v>
      </c>
      <c r="E782" s="4">
        <v>1</v>
      </c>
      <c r="F782" s="4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0</v>
      </c>
    </row>
    <row r="783" spans="1:65" x14ac:dyDescent="0.25">
      <c r="A783" s="2" t="s">
        <v>118</v>
      </c>
      <c r="B783" s="4">
        <v>44</v>
      </c>
      <c r="C783" s="4">
        <v>1</v>
      </c>
      <c r="D783" s="4">
        <v>3</v>
      </c>
      <c r="E783" s="4">
        <v>2</v>
      </c>
      <c r="F783" s="4">
        <v>0</v>
      </c>
      <c r="G783" s="3">
        <v>0</v>
      </c>
      <c r="H783" s="3">
        <v>0</v>
      </c>
      <c r="I783" s="3">
        <v>1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</row>
    <row r="784" spans="1:65" x14ac:dyDescent="0.25">
      <c r="A784" s="2" t="s">
        <v>118</v>
      </c>
      <c r="B784" s="4">
        <v>44</v>
      </c>
      <c r="C784" s="4">
        <v>1</v>
      </c>
      <c r="D784" s="4">
        <v>3</v>
      </c>
      <c r="E784" s="4">
        <v>3</v>
      </c>
      <c r="F784" s="4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0</v>
      </c>
      <c r="BK784" s="3">
        <v>0</v>
      </c>
      <c r="BL784" s="3">
        <v>0</v>
      </c>
      <c r="BM784" s="3">
        <v>0</v>
      </c>
    </row>
    <row r="785" spans="1:65" x14ac:dyDescent="0.25">
      <c r="A785" s="2" t="s">
        <v>118</v>
      </c>
      <c r="B785" s="4">
        <v>44</v>
      </c>
      <c r="C785" s="4">
        <v>2</v>
      </c>
      <c r="D785" s="4">
        <v>1</v>
      </c>
      <c r="E785" s="4">
        <v>1</v>
      </c>
      <c r="F785" s="6">
        <v>0</v>
      </c>
      <c r="G785" s="3">
        <v>1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1</v>
      </c>
      <c r="AC785" s="3">
        <v>0</v>
      </c>
      <c r="AD785" s="3">
        <v>0</v>
      </c>
      <c r="AE785" s="3">
        <v>0</v>
      </c>
      <c r="AF785" s="3">
        <v>2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2</v>
      </c>
      <c r="BM785" s="3">
        <v>0</v>
      </c>
    </row>
    <row r="786" spans="1:65" x14ac:dyDescent="0.25">
      <c r="A786" s="2" t="s">
        <v>118</v>
      </c>
      <c r="B786" s="4">
        <v>44</v>
      </c>
      <c r="C786" s="4">
        <v>2</v>
      </c>
      <c r="D786" s="4">
        <v>1</v>
      </c>
      <c r="E786" s="4">
        <v>2</v>
      </c>
      <c r="F786" s="6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1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1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1</v>
      </c>
      <c r="BM786" s="3">
        <v>0</v>
      </c>
    </row>
    <row r="787" spans="1:65" x14ac:dyDescent="0.25">
      <c r="A787" s="2" t="s">
        <v>118</v>
      </c>
      <c r="B787" s="4">
        <v>44</v>
      </c>
      <c r="C787" s="4">
        <v>2</v>
      </c>
      <c r="D787" s="4">
        <v>1</v>
      </c>
      <c r="E787" s="4">
        <v>3</v>
      </c>
      <c r="F787" s="6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</row>
    <row r="788" spans="1:65" x14ac:dyDescent="0.25">
      <c r="A788" s="2" t="s">
        <v>118</v>
      </c>
      <c r="B788" s="4">
        <v>44</v>
      </c>
      <c r="C788" s="4">
        <v>2</v>
      </c>
      <c r="D788" s="4">
        <v>2</v>
      </c>
      <c r="E788" s="4">
        <v>1</v>
      </c>
      <c r="F788" s="6">
        <v>0</v>
      </c>
      <c r="G788" s="3">
        <v>1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>
        <v>0</v>
      </c>
      <c r="BK788" s="3">
        <v>0</v>
      </c>
      <c r="BL788" s="3">
        <v>0</v>
      </c>
      <c r="BM788" s="3">
        <v>0</v>
      </c>
    </row>
    <row r="789" spans="1:65" x14ac:dyDescent="0.25">
      <c r="A789" s="2" t="s">
        <v>118</v>
      </c>
      <c r="B789" s="4">
        <v>44</v>
      </c>
      <c r="C789" s="4">
        <v>2</v>
      </c>
      <c r="D789" s="4">
        <v>2</v>
      </c>
      <c r="E789" s="4">
        <v>2</v>
      </c>
      <c r="F789" s="6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0</v>
      </c>
      <c r="BL789" s="3">
        <v>0</v>
      </c>
      <c r="BM789" s="3">
        <v>0</v>
      </c>
    </row>
    <row r="790" spans="1:65" x14ac:dyDescent="0.25">
      <c r="A790" s="2" t="s">
        <v>118</v>
      </c>
      <c r="B790" s="4">
        <v>44</v>
      </c>
      <c r="C790" s="4">
        <v>2</v>
      </c>
      <c r="D790" s="4">
        <v>2</v>
      </c>
      <c r="E790" s="4">
        <v>3</v>
      </c>
      <c r="F790" s="6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0</v>
      </c>
      <c r="BM790" s="3">
        <v>0</v>
      </c>
    </row>
    <row r="791" spans="1:65" x14ac:dyDescent="0.25">
      <c r="A791" s="2" t="s">
        <v>118</v>
      </c>
      <c r="B791" s="4">
        <v>44</v>
      </c>
      <c r="C791" s="4">
        <v>2</v>
      </c>
      <c r="D791" s="4">
        <v>3</v>
      </c>
      <c r="E791" s="4">
        <v>1</v>
      </c>
      <c r="F791" s="6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1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1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1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</row>
    <row r="792" spans="1:65" x14ac:dyDescent="0.25">
      <c r="A792" s="2" t="s">
        <v>118</v>
      </c>
      <c r="B792" s="4">
        <v>44</v>
      </c>
      <c r="C792" s="4">
        <v>2</v>
      </c>
      <c r="D792" s="4">
        <v>3</v>
      </c>
      <c r="E792" s="4">
        <v>2</v>
      </c>
      <c r="F792" s="6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1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1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3">
        <v>0</v>
      </c>
      <c r="BK792" s="3">
        <v>0</v>
      </c>
      <c r="BL792" s="3">
        <v>0</v>
      </c>
      <c r="BM792" s="3">
        <v>0</v>
      </c>
    </row>
    <row r="793" spans="1:65" x14ac:dyDescent="0.25">
      <c r="A793" s="2" t="s">
        <v>118</v>
      </c>
      <c r="B793" s="4">
        <v>44</v>
      </c>
      <c r="C793" s="4">
        <v>2</v>
      </c>
      <c r="D793" s="4">
        <v>3</v>
      </c>
      <c r="E793" s="4">
        <v>3</v>
      </c>
      <c r="F793" s="6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</row>
    <row r="794" spans="1:65" x14ac:dyDescent="0.25">
      <c r="A794" s="2" t="s">
        <v>119</v>
      </c>
      <c r="B794" s="4">
        <v>45</v>
      </c>
      <c r="C794" s="4">
        <v>1</v>
      </c>
      <c r="D794" s="4">
        <v>1</v>
      </c>
      <c r="E794" s="4">
        <v>1</v>
      </c>
      <c r="F794" s="4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1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1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0</v>
      </c>
      <c r="BJ794" s="3">
        <v>0</v>
      </c>
      <c r="BK794" s="3">
        <v>0</v>
      </c>
      <c r="BL794" s="3">
        <v>1</v>
      </c>
      <c r="BM794" s="3">
        <v>0</v>
      </c>
    </row>
    <row r="795" spans="1:65" x14ac:dyDescent="0.25">
      <c r="A795" s="2" t="s">
        <v>119</v>
      </c>
      <c r="B795" s="4">
        <v>45</v>
      </c>
      <c r="C795" s="4">
        <v>1</v>
      </c>
      <c r="D795" s="4">
        <v>1</v>
      </c>
      <c r="E795" s="4">
        <v>2</v>
      </c>
      <c r="F795" s="4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1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1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2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2</v>
      </c>
      <c r="BA795" s="3">
        <v>2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</row>
    <row r="796" spans="1:65" x14ac:dyDescent="0.25">
      <c r="A796" s="2" t="s">
        <v>119</v>
      </c>
      <c r="B796" s="4">
        <v>45</v>
      </c>
      <c r="C796" s="4">
        <v>1</v>
      </c>
      <c r="D796" s="4">
        <v>1</v>
      </c>
      <c r="E796" s="4">
        <v>3</v>
      </c>
      <c r="F796" s="4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0</v>
      </c>
      <c r="BK796" s="3">
        <v>0</v>
      </c>
      <c r="BL796" s="3">
        <v>0</v>
      </c>
      <c r="BM796" s="3">
        <v>0</v>
      </c>
    </row>
    <row r="797" spans="1:65" x14ac:dyDescent="0.25">
      <c r="A797" s="2" t="s">
        <v>119</v>
      </c>
      <c r="B797" s="4">
        <v>45</v>
      </c>
      <c r="C797" s="4">
        <v>1</v>
      </c>
      <c r="D797" s="4">
        <v>2</v>
      </c>
      <c r="E797" s="4">
        <v>1</v>
      </c>
      <c r="F797" s="4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1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</row>
    <row r="798" spans="1:65" x14ac:dyDescent="0.25">
      <c r="A798" s="2" t="s">
        <v>119</v>
      </c>
      <c r="B798" s="4">
        <v>45</v>
      </c>
      <c r="C798" s="4">
        <v>1</v>
      </c>
      <c r="D798" s="4">
        <v>2</v>
      </c>
      <c r="E798" s="4">
        <v>2</v>
      </c>
      <c r="F798" s="4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0</v>
      </c>
      <c r="BL798" s="3">
        <v>3</v>
      </c>
      <c r="BM798" s="3">
        <v>0</v>
      </c>
    </row>
    <row r="799" spans="1:65" x14ac:dyDescent="0.25">
      <c r="A799" s="2" t="s">
        <v>119</v>
      </c>
      <c r="B799" s="4">
        <v>45</v>
      </c>
      <c r="C799" s="4">
        <v>1</v>
      </c>
      <c r="D799" s="4">
        <v>2</v>
      </c>
      <c r="E799" s="4">
        <v>3</v>
      </c>
      <c r="F799" s="4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</row>
    <row r="800" spans="1:65" x14ac:dyDescent="0.25">
      <c r="A800" s="2" t="s">
        <v>119</v>
      </c>
      <c r="B800" s="4">
        <v>45</v>
      </c>
      <c r="C800" s="4">
        <v>1</v>
      </c>
      <c r="D800" s="4">
        <v>3</v>
      </c>
      <c r="E800" s="4">
        <v>1</v>
      </c>
      <c r="F800" s="4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1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0</v>
      </c>
      <c r="BK800" s="3">
        <v>0</v>
      </c>
      <c r="BL800" s="3">
        <v>0</v>
      </c>
      <c r="BM800" s="3">
        <v>0</v>
      </c>
    </row>
    <row r="801" spans="1:65" x14ac:dyDescent="0.25">
      <c r="A801" s="2" t="s">
        <v>119</v>
      </c>
      <c r="B801" s="4">
        <v>45</v>
      </c>
      <c r="C801" s="4">
        <v>1</v>
      </c>
      <c r="D801" s="4">
        <v>3</v>
      </c>
      <c r="E801" s="4">
        <v>2</v>
      </c>
      <c r="F801" s="4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1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</row>
    <row r="802" spans="1:65" x14ac:dyDescent="0.25">
      <c r="A802" s="2" t="s">
        <v>119</v>
      </c>
      <c r="B802" s="4">
        <v>45</v>
      </c>
      <c r="C802" s="4">
        <v>1</v>
      </c>
      <c r="D802" s="4">
        <v>3</v>
      </c>
      <c r="E802" s="4">
        <v>3</v>
      </c>
      <c r="F802" s="4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1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1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0</v>
      </c>
      <c r="BK802" s="3">
        <v>0</v>
      </c>
      <c r="BL802" s="3">
        <v>0</v>
      </c>
      <c r="BM802" s="3">
        <v>0</v>
      </c>
    </row>
    <row r="803" spans="1:65" x14ac:dyDescent="0.25">
      <c r="A803" s="2" t="s">
        <v>119</v>
      </c>
      <c r="B803" s="4">
        <v>45</v>
      </c>
      <c r="C803" s="4">
        <v>2</v>
      </c>
      <c r="D803" s="4">
        <v>1</v>
      </c>
      <c r="E803" s="4">
        <v>1</v>
      </c>
      <c r="F803" s="6">
        <v>0</v>
      </c>
      <c r="G803" s="3">
        <v>2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1</v>
      </c>
      <c r="AC803" s="3">
        <v>0</v>
      </c>
      <c r="AD803" s="3">
        <v>0</v>
      </c>
      <c r="AE803" s="3">
        <v>0</v>
      </c>
      <c r="AF803" s="3">
        <v>1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3">
        <v>0</v>
      </c>
      <c r="BL803" s="3">
        <v>1</v>
      </c>
      <c r="BM803" s="3">
        <v>0</v>
      </c>
    </row>
    <row r="804" spans="1:65" x14ac:dyDescent="0.25">
      <c r="A804" s="2" t="s">
        <v>119</v>
      </c>
      <c r="B804" s="4">
        <v>45</v>
      </c>
      <c r="C804" s="4">
        <v>2</v>
      </c>
      <c r="D804" s="4">
        <v>1</v>
      </c>
      <c r="E804" s="4">
        <v>2</v>
      </c>
      <c r="F804" s="6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1</v>
      </c>
      <c r="Z804" s="3">
        <v>0</v>
      </c>
      <c r="AA804" s="3">
        <v>0</v>
      </c>
      <c r="AB804" s="3">
        <v>1</v>
      </c>
      <c r="AC804" s="3">
        <v>0</v>
      </c>
      <c r="AD804" s="3">
        <v>0</v>
      </c>
      <c r="AE804" s="3">
        <v>0</v>
      </c>
      <c r="AF804" s="3">
        <v>1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1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0</v>
      </c>
      <c r="BK804" s="3">
        <v>0</v>
      </c>
      <c r="BL804" s="3">
        <v>0</v>
      </c>
      <c r="BM804" s="3">
        <v>0</v>
      </c>
    </row>
    <row r="805" spans="1:65" x14ac:dyDescent="0.25">
      <c r="A805" s="2" t="s">
        <v>119</v>
      </c>
      <c r="B805" s="4">
        <v>45</v>
      </c>
      <c r="C805" s="4">
        <v>2</v>
      </c>
      <c r="D805" s="4">
        <v>1</v>
      </c>
      <c r="E805" s="4">
        <v>3</v>
      </c>
      <c r="F805" s="6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</row>
    <row r="806" spans="1:65" x14ac:dyDescent="0.25">
      <c r="A806" s="2" t="s">
        <v>119</v>
      </c>
      <c r="B806" s="4">
        <v>45</v>
      </c>
      <c r="C806" s="4">
        <v>2</v>
      </c>
      <c r="D806" s="4">
        <v>2</v>
      </c>
      <c r="E806" s="4">
        <v>1</v>
      </c>
      <c r="F806" s="6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2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0</v>
      </c>
      <c r="BK806" s="3">
        <v>0</v>
      </c>
      <c r="BL806" s="3">
        <v>1</v>
      </c>
      <c r="BM806" s="3">
        <v>0</v>
      </c>
    </row>
    <row r="807" spans="1:65" x14ac:dyDescent="0.25">
      <c r="A807" s="2" t="s">
        <v>119</v>
      </c>
      <c r="B807" s="4">
        <v>45</v>
      </c>
      <c r="C807" s="4">
        <v>2</v>
      </c>
      <c r="D807" s="4">
        <v>2</v>
      </c>
      <c r="E807" s="4">
        <v>2</v>
      </c>
      <c r="F807" s="6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</row>
    <row r="808" spans="1:65" x14ac:dyDescent="0.25">
      <c r="A808" s="2" t="s">
        <v>119</v>
      </c>
      <c r="B808" s="4">
        <v>45</v>
      </c>
      <c r="C808" s="4">
        <v>2</v>
      </c>
      <c r="D808" s="4">
        <v>2</v>
      </c>
      <c r="E808" s="4">
        <v>3</v>
      </c>
      <c r="F808" s="6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>
        <v>0</v>
      </c>
      <c r="BK808" s="3">
        <v>0</v>
      </c>
      <c r="BL808" s="3">
        <v>0</v>
      </c>
      <c r="BM808" s="3">
        <v>0</v>
      </c>
    </row>
    <row r="809" spans="1:65" x14ac:dyDescent="0.25">
      <c r="A809" s="2" t="s">
        <v>119</v>
      </c>
      <c r="B809" s="4">
        <v>45</v>
      </c>
      <c r="C809" s="4">
        <v>2</v>
      </c>
      <c r="D809" s="4">
        <v>3</v>
      </c>
      <c r="E809" s="4">
        <v>1</v>
      </c>
      <c r="F809" s="6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1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1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1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</row>
    <row r="810" spans="1:65" x14ac:dyDescent="0.25">
      <c r="A810" s="2" t="s">
        <v>119</v>
      </c>
      <c r="B810" s="4">
        <v>45</v>
      </c>
      <c r="C810" s="4">
        <v>2</v>
      </c>
      <c r="D810" s="4">
        <v>3</v>
      </c>
      <c r="E810" s="4">
        <v>2</v>
      </c>
      <c r="F810" s="6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1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0</v>
      </c>
      <c r="BK810" s="3">
        <v>0</v>
      </c>
      <c r="BL810" s="3">
        <v>1</v>
      </c>
      <c r="BM810" s="3">
        <v>0</v>
      </c>
    </row>
    <row r="811" spans="1:65" x14ac:dyDescent="0.25">
      <c r="A811" s="2" t="s">
        <v>119</v>
      </c>
      <c r="B811" s="4">
        <v>45</v>
      </c>
      <c r="C811" s="4">
        <v>2</v>
      </c>
      <c r="D811" s="4">
        <v>3</v>
      </c>
      <c r="E811" s="4">
        <v>3</v>
      </c>
      <c r="F811" s="6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</row>
    <row r="812" spans="1:65" x14ac:dyDescent="0.25">
      <c r="A812" s="2" t="s">
        <v>120</v>
      </c>
      <c r="B812" s="4">
        <v>46</v>
      </c>
      <c r="C812" s="4">
        <v>1</v>
      </c>
      <c r="D812" s="4">
        <v>1</v>
      </c>
      <c r="E812" s="4">
        <v>1</v>
      </c>
      <c r="F812" s="4">
        <v>0</v>
      </c>
      <c r="G812" s="3">
        <v>1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1</v>
      </c>
      <c r="AF812" s="3">
        <v>1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1</v>
      </c>
      <c r="BH812" s="3">
        <v>0</v>
      </c>
      <c r="BI812" s="3">
        <v>0</v>
      </c>
      <c r="BJ812" s="3">
        <v>0</v>
      </c>
      <c r="BK812" s="3">
        <v>0</v>
      </c>
      <c r="BL812" s="3">
        <v>1</v>
      </c>
      <c r="BM812" s="3">
        <v>0</v>
      </c>
    </row>
    <row r="813" spans="1:65" x14ac:dyDescent="0.25">
      <c r="A813" s="2" t="s">
        <v>120</v>
      </c>
      <c r="B813" s="4">
        <v>46</v>
      </c>
      <c r="C813" s="4">
        <v>1</v>
      </c>
      <c r="D813" s="4">
        <v>1</v>
      </c>
      <c r="E813" s="4">
        <v>2</v>
      </c>
      <c r="F813" s="4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1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1</v>
      </c>
      <c r="AJ813" s="3">
        <v>0</v>
      </c>
      <c r="AK813" s="3">
        <v>0</v>
      </c>
      <c r="AL813" s="3">
        <v>0</v>
      </c>
      <c r="AM813" s="3">
        <v>0</v>
      </c>
      <c r="AN813" s="3">
        <v>1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0</v>
      </c>
      <c r="BK813" s="3">
        <v>0</v>
      </c>
      <c r="BL813" s="3">
        <v>0</v>
      </c>
      <c r="BM813" s="3">
        <v>0</v>
      </c>
    </row>
    <row r="814" spans="1:65" x14ac:dyDescent="0.25">
      <c r="A814" s="2" t="s">
        <v>120</v>
      </c>
      <c r="B814" s="4">
        <v>46</v>
      </c>
      <c r="C814" s="4">
        <v>1</v>
      </c>
      <c r="D814" s="4">
        <v>1</v>
      </c>
      <c r="E814" s="4">
        <v>3</v>
      </c>
      <c r="F814" s="4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0</v>
      </c>
      <c r="BK814" s="3">
        <v>0</v>
      </c>
      <c r="BL814" s="3">
        <v>0</v>
      </c>
      <c r="BM814" s="3">
        <v>0</v>
      </c>
    </row>
    <row r="815" spans="1:65" x14ac:dyDescent="0.25">
      <c r="A815" s="2" t="s">
        <v>120</v>
      </c>
      <c r="B815" s="4">
        <v>46</v>
      </c>
      <c r="C815" s="4">
        <v>1</v>
      </c>
      <c r="D815" s="4">
        <v>2</v>
      </c>
      <c r="E815" s="4">
        <v>1</v>
      </c>
      <c r="F815" s="4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1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1</v>
      </c>
      <c r="AF815" s="3">
        <v>1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</row>
    <row r="816" spans="1:65" x14ac:dyDescent="0.25">
      <c r="A816" s="2" t="s">
        <v>120</v>
      </c>
      <c r="B816" s="4">
        <v>46</v>
      </c>
      <c r="C816" s="4">
        <v>1</v>
      </c>
      <c r="D816" s="4">
        <v>2</v>
      </c>
      <c r="E816" s="4">
        <v>2</v>
      </c>
      <c r="F816" s="4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  <c r="BK816" s="3">
        <v>0</v>
      </c>
      <c r="BL816" s="3">
        <v>1</v>
      </c>
      <c r="BM816" s="3">
        <v>0</v>
      </c>
    </row>
    <row r="817" spans="1:65" x14ac:dyDescent="0.25">
      <c r="A817" s="2" t="s">
        <v>120</v>
      </c>
      <c r="B817" s="4">
        <v>46</v>
      </c>
      <c r="C817" s="4">
        <v>1</v>
      </c>
      <c r="D817" s="4">
        <v>2</v>
      </c>
      <c r="E817" s="4">
        <v>3</v>
      </c>
      <c r="F817" s="4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1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</row>
    <row r="818" spans="1:65" x14ac:dyDescent="0.25">
      <c r="A818" s="2" t="s">
        <v>120</v>
      </c>
      <c r="B818" s="4">
        <v>46</v>
      </c>
      <c r="C818" s="4">
        <v>1</v>
      </c>
      <c r="D818" s="4">
        <v>3</v>
      </c>
      <c r="E818" s="4">
        <v>1</v>
      </c>
      <c r="F818" s="4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1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0</v>
      </c>
      <c r="BK818" s="3">
        <v>0</v>
      </c>
      <c r="BL818" s="3">
        <v>0</v>
      </c>
      <c r="BM818" s="3">
        <v>0</v>
      </c>
    </row>
    <row r="819" spans="1:65" x14ac:dyDescent="0.25">
      <c r="A819" s="2" t="s">
        <v>120</v>
      </c>
      <c r="B819" s="4">
        <v>46</v>
      </c>
      <c r="C819" s="4">
        <v>1</v>
      </c>
      <c r="D819" s="4">
        <v>3</v>
      </c>
      <c r="E819" s="4">
        <v>2</v>
      </c>
      <c r="F819" s="4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1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</row>
    <row r="820" spans="1:65" x14ac:dyDescent="0.25">
      <c r="A820" s="2" t="s">
        <v>120</v>
      </c>
      <c r="B820" s="4">
        <v>46</v>
      </c>
      <c r="C820" s="4">
        <v>1</v>
      </c>
      <c r="D820" s="4">
        <v>3</v>
      </c>
      <c r="E820" s="4">
        <v>3</v>
      </c>
      <c r="F820" s="4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0</v>
      </c>
      <c r="BK820" s="3">
        <v>0</v>
      </c>
      <c r="BL820" s="3">
        <v>0</v>
      </c>
      <c r="BM820" s="3">
        <v>0</v>
      </c>
    </row>
    <row r="821" spans="1:65" x14ac:dyDescent="0.25">
      <c r="A821" s="2" t="s">
        <v>120</v>
      </c>
      <c r="B821" s="4">
        <v>46</v>
      </c>
      <c r="C821" s="4">
        <v>2</v>
      </c>
      <c r="D821" s="4">
        <v>1</v>
      </c>
      <c r="E821" s="4">
        <v>1</v>
      </c>
      <c r="F821" s="6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2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1</v>
      </c>
      <c r="AF821" s="3">
        <v>1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2</v>
      </c>
      <c r="BF821" s="3">
        <v>0</v>
      </c>
      <c r="BG821" s="3">
        <v>1</v>
      </c>
      <c r="BH821" s="3">
        <v>0</v>
      </c>
      <c r="BI821" s="3">
        <v>0</v>
      </c>
      <c r="BJ821" s="3">
        <v>0</v>
      </c>
      <c r="BK821" s="3">
        <v>0</v>
      </c>
      <c r="BL821" s="3">
        <v>2</v>
      </c>
      <c r="BM821" s="3">
        <v>0</v>
      </c>
    </row>
    <row r="822" spans="1:65" x14ac:dyDescent="0.25">
      <c r="A822" s="2" t="s">
        <v>120</v>
      </c>
      <c r="B822" s="4">
        <v>46</v>
      </c>
      <c r="C822" s="4">
        <v>2</v>
      </c>
      <c r="D822" s="4">
        <v>1</v>
      </c>
      <c r="E822" s="4">
        <v>2</v>
      </c>
      <c r="F822" s="6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1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</row>
    <row r="823" spans="1:65" x14ac:dyDescent="0.25">
      <c r="A823" s="2" t="s">
        <v>120</v>
      </c>
      <c r="B823" s="4">
        <v>46</v>
      </c>
      <c r="C823" s="4">
        <v>2</v>
      </c>
      <c r="D823" s="4">
        <v>1</v>
      </c>
      <c r="E823" s="4">
        <v>3</v>
      </c>
      <c r="F823" s="6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</row>
    <row r="824" spans="1:65" x14ac:dyDescent="0.25">
      <c r="A824" s="2" t="s">
        <v>120</v>
      </c>
      <c r="B824" s="4">
        <v>46</v>
      </c>
      <c r="C824" s="4">
        <v>2</v>
      </c>
      <c r="D824" s="4">
        <v>2</v>
      </c>
      <c r="E824" s="4">
        <v>1</v>
      </c>
      <c r="F824" s="6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1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0</v>
      </c>
    </row>
    <row r="825" spans="1:65" x14ac:dyDescent="0.25">
      <c r="A825" s="2" t="s">
        <v>120</v>
      </c>
      <c r="B825" s="4">
        <v>46</v>
      </c>
      <c r="C825" s="4">
        <v>2</v>
      </c>
      <c r="D825" s="4">
        <v>2</v>
      </c>
      <c r="E825" s="4">
        <v>2</v>
      </c>
      <c r="F825" s="6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</row>
    <row r="826" spans="1:65" x14ac:dyDescent="0.25">
      <c r="A826" s="2" t="s">
        <v>120</v>
      </c>
      <c r="B826" s="4">
        <v>46</v>
      </c>
      <c r="C826" s="4">
        <v>2</v>
      </c>
      <c r="D826" s="4">
        <v>2</v>
      </c>
      <c r="E826" s="4">
        <v>3</v>
      </c>
      <c r="F826" s="6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1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0</v>
      </c>
      <c r="BK826" s="3">
        <v>0</v>
      </c>
      <c r="BL826" s="3">
        <v>0</v>
      </c>
      <c r="BM826" s="3">
        <v>0</v>
      </c>
    </row>
    <row r="827" spans="1:65" x14ac:dyDescent="0.25">
      <c r="A827" s="2" t="s">
        <v>120</v>
      </c>
      <c r="B827" s="4">
        <v>46</v>
      </c>
      <c r="C827" s="4">
        <v>2</v>
      </c>
      <c r="D827" s="4">
        <v>3</v>
      </c>
      <c r="E827" s="4">
        <v>1</v>
      </c>
      <c r="F827" s="6">
        <v>0</v>
      </c>
      <c r="G827" s="3">
        <v>1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</row>
    <row r="828" spans="1:65" x14ac:dyDescent="0.25">
      <c r="A828" s="2" t="s">
        <v>120</v>
      </c>
      <c r="B828" s="4">
        <v>46</v>
      </c>
      <c r="C828" s="4">
        <v>2</v>
      </c>
      <c r="D828" s="4">
        <v>3</v>
      </c>
      <c r="E828" s="4">
        <v>2</v>
      </c>
      <c r="F828" s="6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1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1</v>
      </c>
      <c r="BF828" s="3">
        <v>0</v>
      </c>
      <c r="BG828" s="3">
        <v>0</v>
      </c>
      <c r="BH828" s="3">
        <v>0</v>
      </c>
      <c r="BI828" s="3">
        <v>0</v>
      </c>
      <c r="BJ828" s="3">
        <v>0</v>
      </c>
      <c r="BK828" s="3">
        <v>0</v>
      </c>
      <c r="BL828" s="3">
        <v>1</v>
      </c>
      <c r="BM828" s="3">
        <v>0</v>
      </c>
    </row>
    <row r="829" spans="1:65" x14ac:dyDescent="0.25">
      <c r="A829" s="2" t="s">
        <v>120</v>
      </c>
      <c r="B829" s="4">
        <v>46</v>
      </c>
      <c r="C829" s="4">
        <v>2</v>
      </c>
      <c r="D829" s="4">
        <v>3</v>
      </c>
      <c r="E829" s="4">
        <v>3</v>
      </c>
      <c r="F829" s="6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</row>
    <row r="830" spans="1:65" x14ac:dyDescent="0.25">
      <c r="A830" s="2" t="s">
        <v>121</v>
      </c>
      <c r="B830" s="4">
        <v>47</v>
      </c>
      <c r="C830" s="4">
        <v>1</v>
      </c>
      <c r="D830" s="4">
        <v>1</v>
      </c>
      <c r="E830" s="4">
        <v>1</v>
      </c>
      <c r="F830" s="4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1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1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1</v>
      </c>
      <c r="BA830" s="3">
        <v>1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0</v>
      </c>
      <c r="BK830" s="3">
        <v>0</v>
      </c>
      <c r="BL830" s="3">
        <v>2</v>
      </c>
      <c r="BM830" s="3">
        <v>0</v>
      </c>
    </row>
    <row r="831" spans="1:65" x14ac:dyDescent="0.25">
      <c r="A831" s="2" t="s">
        <v>121</v>
      </c>
      <c r="B831" s="4">
        <v>47</v>
      </c>
      <c r="C831" s="4">
        <v>1</v>
      </c>
      <c r="D831" s="4">
        <v>1</v>
      </c>
      <c r="E831" s="4">
        <v>2</v>
      </c>
      <c r="F831" s="4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1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1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</row>
    <row r="832" spans="1:65" x14ac:dyDescent="0.25">
      <c r="A832" s="2" t="s">
        <v>121</v>
      </c>
      <c r="B832" s="4">
        <v>47</v>
      </c>
      <c r="C832" s="4">
        <v>1</v>
      </c>
      <c r="D832" s="4">
        <v>1</v>
      </c>
      <c r="E832" s="4">
        <v>3</v>
      </c>
      <c r="F832" s="4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1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0</v>
      </c>
      <c r="BL832" s="3">
        <v>0</v>
      </c>
      <c r="BM832" s="3">
        <v>0</v>
      </c>
    </row>
    <row r="833" spans="1:65" x14ac:dyDescent="0.25">
      <c r="A833" s="2" t="s">
        <v>121</v>
      </c>
      <c r="B833" s="4">
        <v>47</v>
      </c>
      <c r="C833" s="4">
        <v>1</v>
      </c>
      <c r="D833" s="4">
        <v>2</v>
      </c>
      <c r="E833" s="4">
        <v>1</v>
      </c>
      <c r="F833" s="4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</row>
    <row r="834" spans="1:65" x14ac:dyDescent="0.25">
      <c r="A834" s="2" t="s">
        <v>121</v>
      </c>
      <c r="B834" s="4">
        <v>47</v>
      </c>
      <c r="C834" s="4">
        <v>1</v>
      </c>
      <c r="D834" s="4">
        <v>2</v>
      </c>
      <c r="E834" s="4">
        <v>2</v>
      </c>
      <c r="F834" s="4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1</v>
      </c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0</v>
      </c>
      <c r="BK834" s="3">
        <v>0</v>
      </c>
      <c r="BL834" s="3">
        <v>0</v>
      </c>
      <c r="BM834" s="3">
        <v>0</v>
      </c>
    </row>
    <row r="835" spans="1:65" x14ac:dyDescent="0.25">
      <c r="A835" s="2" t="s">
        <v>121</v>
      </c>
      <c r="B835" s="4">
        <v>47</v>
      </c>
      <c r="C835" s="4">
        <v>1</v>
      </c>
      <c r="D835" s="4">
        <v>2</v>
      </c>
      <c r="E835" s="4">
        <v>3</v>
      </c>
      <c r="F835" s="4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</row>
    <row r="836" spans="1:65" x14ac:dyDescent="0.25">
      <c r="A836" s="2" t="s">
        <v>121</v>
      </c>
      <c r="B836" s="4">
        <v>47</v>
      </c>
      <c r="C836" s="4">
        <v>1</v>
      </c>
      <c r="D836" s="4">
        <v>3</v>
      </c>
      <c r="E836" s="4">
        <v>1</v>
      </c>
      <c r="F836" s="4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1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1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3">
        <v>0</v>
      </c>
      <c r="BK836" s="3">
        <v>0</v>
      </c>
      <c r="BL836" s="3">
        <v>0</v>
      </c>
      <c r="BM836" s="3">
        <v>0</v>
      </c>
    </row>
    <row r="837" spans="1:65" x14ac:dyDescent="0.25">
      <c r="A837" s="2" t="s">
        <v>121</v>
      </c>
      <c r="B837" s="4">
        <v>47</v>
      </c>
      <c r="C837" s="4">
        <v>1</v>
      </c>
      <c r="D837" s="4">
        <v>3</v>
      </c>
      <c r="E837" s="4">
        <v>2</v>
      </c>
      <c r="F837" s="4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1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1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0</v>
      </c>
    </row>
    <row r="838" spans="1:65" x14ac:dyDescent="0.25">
      <c r="A838" s="2" t="s">
        <v>121</v>
      </c>
      <c r="B838" s="4">
        <v>47</v>
      </c>
      <c r="C838" s="4">
        <v>1</v>
      </c>
      <c r="D838" s="4">
        <v>3</v>
      </c>
      <c r="E838" s="4">
        <v>3</v>
      </c>
      <c r="F838" s="4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0</v>
      </c>
      <c r="BK838" s="3">
        <v>0</v>
      </c>
      <c r="BL838" s="3">
        <v>0</v>
      </c>
      <c r="BM838" s="3">
        <v>0</v>
      </c>
    </row>
    <row r="839" spans="1:65" x14ac:dyDescent="0.25">
      <c r="A839" s="2" t="s">
        <v>121</v>
      </c>
      <c r="B839" s="4">
        <v>47</v>
      </c>
      <c r="C839" s="4">
        <v>2</v>
      </c>
      <c r="D839" s="4">
        <v>1</v>
      </c>
      <c r="E839" s="4">
        <v>1</v>
      </c>
      <c r="F839" s="6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1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1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2</v>
      </c>
      <c r="BM839" s="3">
        <v>0</v>
      </c>
    </row>
    <row r="840" spans="1:65" x14ac:dyDescent="0.25">
      <c r="A840" s="2" t="s">
        <v>121</v>
      </c>
      <c r="B840" s="4">
        <v>47</v>
      </c>
      <c r="C840" s="4">
        <v>2</v>
      </c>
      <c r="D840" s="4">
        <v>1</v>
      </c>
      <c r="E840" s="4">
        <v>2</v>
      </c>
      <c r="F840" s="6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1</v>
      </c>
      <c r="Z840" s="3">
        <v>0</v>
      </c>
      <c r="AA840" s="3">
        <v>0</v>
      </c>
      <c r="AB840" s="3">
        <v>1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1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0</v>
      </c>
      <c r="BK840" s="3">
        <v>0</v>
      </c>
      <c r="BL840" s="3">
        <v>1</v>
      </c>
      <c r="BM840" s="3">
        <v>0</v>
      </c>
    </row>
    <row r="841" spans="1:65" x14ac:dyDescent="0.25">
      <c r="A841" s="2" t="s">
        <v>121</v>
      </c>
      <c r="B841" s="4">
        <v>47</v>
      </c>
      <c r="C841" s="4">
        <v>2</v>
      </c>
      <c r="D841" s="4">
        <v>1</v>
      </c>
      <c r="E841" s="4">
        <v>3</v>
      </c>
      <c r="F841" s="6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1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</row>
    <row r="842" spans="1:65" x14ac:dyDescent="0.25">
      <c r="A842" s="2" t="s">
        <v>121</v>
      </c>
      <c r="B842" s="4">
        <v>47</v>
      </c>
      <c r="C842" s="4">
        <v>2</v>
      </c>
      <c r="D842" s="4">
        <v>2</v>
      </c>
      <c r="E842" s="4">
        <v>1</v>
      </c>
      <c r="F842" s="6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0</v>
      </c>
      <c r="BK842" s="3">
        <v>0</v>
      </c>
      <c r="BL842" s="3">
        <v>0</v>
      </c>
      <c r="BM842" s="3">
        <v>0</v>
      </c>
    </row>
    <row r="843" spans="1:65" x14ac:dyDescent="0.25">
      <c r="A843" s="2" t="s">
        <v>121</v>
      </c>
      <c r="B843" s="4">
        <v>47</v>
      </c>
      <c r="C843" s="4">
        <v>2</v>
      </c>
      <c r="D843" s="4">
        <v>2</v>
      </c>
      <c r="E843" s="4">
        <v>2</v>
      </c>
      <c r="F843" s="6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1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</row>
    <row r="844" spans="1:65" x14ac:dyDescent="0.25">
      <c r="A844" s="2" t="s">
        <v>121</v>
      </c>
      <c r="B844" s="4">
        <v>47</v>
      </c>
      <c r="C844" s="4">
        <v>2</v>
      </c>
      <c r="D844" s="4">
        <v>2</v>
      </c>
      <c r="E844" s="4">
        <v>3</v>
      </c>
      <c r="F844" s="6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0</v>
      </c>
      <c r="BK844" s="3">
        <v>0</v>
      </c>
      <c r="BL844" s="3">
        <v>0</v>
      </c>
      <c r="BM844" s="3">
        <v>0</v>
      </c>
    </row>
    <row r="845" spans="1:65" x14ac:dyDescent="0.25">
      <c r="A845" s="2" t="s">
        <v>121</v>
      </c>
      <c r="B845" s="4">
        <v>47</v>
      </c>
      <c r="C845" s="4">
        <v>2</v>
      </c>
      <c r="D845" s="4">
        <v>3</v>
      </c>
      <c r="E845" s="4">
        <v>1</v>
      </c>
      <c r="F845" s="6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0</v>
      </c>
      <c r="BK845" s="3">
        <v>0</v>
      </c>
      <c r="BL845" s="3">
        <v>0</v>
      </c>
      <c r="BM845" s="3">
        <v>0</v>
      </c>
    </row>
    <row r="846" spans="1:65" x14ac:dyDescent="0.25">
      <c r="A846" s="2" t="s">
        <v>121</v>
      </c>
      <c r="B846" s="4">
        <v>47</v>
      </c>
      <c r="C846" s="4">
        <v>2</v>
      </c>
      <c r="D846" s="4">
        <v>3</v>
      </c>
      <c r="E846" s="4">
        <v>2</v>
      </c>
      <c r="F846" s="6">
        <v>0</v>
      </c>
      <c r="G846" s="3">
        <v>0</v>
      </c>
      <c r="H846" s="3">
        <v>0</v>
      </c>
      <c r="I846" s="3">
        <v>1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0</v>
      </c>
      <c r="BK846" s="3">
        <v>0</v>
      </c>
      <c r="BL846" s="3">
        <v>0</v>
      </c>
      <c r="BM846" s="3">
        <v>0</v>
      </c>
    </row>
    <row r="847" spans="1:65" x14ac:dyDescent="0.25">
      <c r="A847" s="2" t="s">
        <v>121</v>
      </c>
      <c r="B847" s="4">
        <v>47</v>
      </c>
      <c r="C847" s="4">
        <v>2</v>
      </c>
      <c r="D847" s="4">
        <v>3</v>
      </c>
      <c r="E847" s="4">
        <v>3</v>
      </c>
      <c r="F847" s="6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</row>
    <row r="848" spans="1:65" x14ac:dyDescent="0.25">
      <c r="A848" s="2" t="s">
        <v>122</v>
      </c>
      <c r="B848" s="4">
        <v>48</v>
      </c>
      <c r="C848" s="4">
        <v>1</v>
      </c>
      <c r="D848" s="4">
        <v>1</v>
      </c>
      <c r="E848" s="4">
        <v>1</v>
      </c>
      <c r="F848" s="4">
        <v>0</v>
      </c>
      <c r="G848" s="3">
        <v>0</v>
      </c>
      <c r="H848" s="3">
        <v>0</v>
      </c>
      <c r="I848" s="3">
        <v>1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1</v>
      </c>
      <c r="AC848" s="3">
        <v>0</v>
      </c>
      <c r="AD848" s="3">
        <v>0</v>
      </c>
      <c r="AE848" s="3">
        <v>0</v>
      </c>
      <c r="AF848" s="3">
        <v>3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5</v>
      </c>
      <c r="BM848" s="3">
        <v>0</v>
      </c>
    </row>
    <row r="849" spans="1:65" x14ac:dyDescent="0.25">
      <c r="A849" s="2" t="s">
        <v>122</v>
      </c>
      <c r="B849" s="4">
        <v>48</v>
      </c>
      <c r="C849" s="4">
        <v>1</v>
      </c>
      <c r="D849" s="4">
        <v>1</v>
      </c>
      <c r="E849" s="4">
        <v>2</v>
      </c>
      <c r="F849" s="4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1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1</v>
      </c>
      <c r="Z849" s="3">
        <v>0</v>
      </c>
      <c r="AA849" s="3">
        <v>0</v>
      </c>
      <c r="AB849" s="3">
        <v>1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</row>
    <row r="850" spans="1:65" x14ac:dyDescent="0.25">
      <c r="A850" s="2" t="s">
        <v>122</v>
      </c>
      <c r="B850" s="4">
        <v>48</v>
      </c>
      <c r="C850" s="4">
        <v>1</v>
      </c>
      <c r="D850" s="4">
        <v>1</v>
      </c>
      <c r="E850" s="4">
        <v>3</v>
      </c>
      <c r="F850" s="4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1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</row>
    <row r="851" spans="1:65" x14ac:dyDescent="0.25">
      <c r="A851" s="2" t="s">
        <v>122</v>
      </c>
      <c r="B851" s="4">
        <v>48</v>
      </c>
      <c r="C851" s="4">
        <v>1</v>
      </c>
      <c r="D851" s="4">
        <v>2</v>
      </c>
      <c r="E851" s="4">
        <v>1</v>
      </c>
      <c r="F851" s="4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1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1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1</v>
      </c>
      <c r="BM851" s="3">
        <v>0</v>
      </c>
    </row>
    <row r="852" spans="1:65" x14ac:dyDescent="0.25">
      <c r="A852" s="2" t="s">
        <v>122</v>
      </c>
      <c r="B852" s="4">
        <v>48</v>
      </c>
      <c r="C852" s="4">
        <v>1</v>
      </c>
      <c r="D852" s="4">
        <v>2</v>
      </c>
      <c r="E852" s="4">
        <v>2</v>
      </c>
      <c r="F852" s="4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1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</row>
    <row r="853" spans="1:65" x14ac:dyDescent="0.25">
      <c r="A853" s="2" t="s">
        <v>122</v>
      </c>
      <c r="B853" s="4">
        <v>48</v>
      </c>
      <c r="C853" s="4">
        <v>1</v>
      </c>
      <c r="D853" s="4">
        <v>2</v>
      </c>
      <c r="E853" s="4">
        <v>3</v>
      </c>
      <c r="F853" s="4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3">
        <v>0</v>
      </c>
      <c r="BL853" s="3">
        <v>0</v>
      </c>
      <c r="BM853" s="3">
        <v>0</v>
      </c>
    </row>
    <row r="854" spans="1:65" x14ac:dyDescent="0.25">
      <c r="A854" s="2" t="s">
        <v>122</v>
      </c>
      <c r="B854" s="4">
        <v>48</v>
      </c>
      <c r="C854" s="4">
        <v>1</v>
      </c>
      <c r="D854" s="4">
        <v>3</v>
      </c>
      <c r="E854" s="4">
        <v>1</v>
      </c>
      <c r="F854" s="4">
        <v>0</v>
      </c>
      <c r="G854" s="3">
        <v>1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0</v>
      </c>
      <c r="BK854" s="3">
        <v>0</v>
      </c>
      <c r="BL854" s="3">
        <v>0</v>
      </c>
      <c r="BM854" s="3">
        <v>0</v>
      </c>
    </row>
    <row r="855" spans="1:65" x14ac:dyDescent="0.25">
      <c r="A855" s="2" t="s">
        <v>122</v>
      </c>
      <c r="B855" s="4">
        <v>48</v>
      </c>
      <c r="C855" s="4">
        <v>1</v>
      </c>
      <c r="D855" s="4">
        <v>3</v>
      </c>
      <c r="E855" s="4">
        <v>2</v>
      </c>
      <c r="F855" s="4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2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</row>
    <row r="856" spans="1:65" x14ac:dyDescent="0.25">
      <c r="A856" s="2" t="s">
        <v>122</v>
      </c>
      <c r="B856" s="4">
        <v>48</v>
      </c>
      <c r="C856" s="4">
        <v>1</v>
      </c>
      <c r="D856" s="4">
        <v>3</v>
      </c>
      <c r="E856" s="4">
        <v>3</v>
      </c>
      <c r="F856" s="4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1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>
        <v>0</v>
      </c>
      <c r="BK856" s="3">
        <v>0</v>
      </c>
      <c r="BL856" s="3">
        <v>0</v>
      </c>
      <c r="BM856" s="3">
        <v>0</v>
      </c>
    </row>
    <row r="857" spans="1:65" x14ac:dyDescent="0.25">
      <c r="A857" s="2" t="s">
        <v>122</v>
      </c>
      <c r="B857" s="4">
        <v>48</v>
      </c>
      <c r="C857" s="4">
        <v>2</v>
      </c>
      <c r="D857" s="4">
        <v>1</v>
      </c>
      <c r="E857" s="4">
        <v>1</v>
      </c>
      <c r="F857" s="6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1</v>
      </c>
      <c r="Z857" s="3">
        <v>0</v>
      </c>
      <c r="AA857" s="3">
        <v>0</v>
      </c>
      <c r="AB857" s="3">
        <v>1</v>
      </c>
      <c r="AC857" s="3">
        <v>0</v>
      </c>
      <c r="AD857" s="3">
        <v>0</v>
      </c>
      <c r="AE857" s="3">
        <v>0</v>
      </c>
      <c r="AF857" s="3">
        <v>3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1</v>
      </c>
      <c r="BA857" s="3">
        <v>0</v>
      </c>
      <c r="BB857" s="3">
        <v>2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</row>
    <row r="858" spans="1:65" x14ac:dyDescent="0.25">
      <c r="A858" s="2" t="s">
        <v>122</v>
      </c>
      <c r="B858" s="4">
        <v>48</v>
      </c>
      <c r="C858" s="4">
        <v>2</v>
      </c>
      <c r="D858" s="4">
        <v>1</v>
      </c>
      <c r="E858" s="4">
        <v>2</v>
      </c>
      <c r="F858" s="6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3">
        <v>0</v>
      </c>
    </row>
    <row r="859" spans="1:65" x14ac:dyDescent="0.25">
      <c r="A859" s="2" t="s">
        <v>122</v>
      </c>
      <c r="B859" s="4">
        <v>48</v>
      </c>
      <c r="C859" s="4">
        <v>2</v>
      </c>
      <c r="D859" s="4">
        <v>1</v>
      </c>
      <c r="E859" s="4">
        <v>3</v>
      </c>
      <c r="F859" s="6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</row>
    <row r="860" spans="1:65" x14ac:dyDescent="0.25">
      <c r="A860" s="2" t="s">
        <v>122</v>
      </c>
      <c r="B860" s="4">
        <v>48</v>
      </c>
      <c r="C860" s="4">
        <v>2</v>
      </c>
      <c r="D860" s="4">
        <v>2</v>
      </c>
      <c r="E860" s="4">
        <v>1</v>
      </c>
      <c r="F860" s="6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3">
        <v>0</v>
      </c>
      <c r="BK860" s="3">
        <v>0</v>
      </c>
      <c r="BL860" s="3">
        <v>0</v>
      </c>
      <c r="BM860" s="3">
        <v>0</v>
      </c>
    </row>
    <row r="861" spans="1:65" x14ac:dyDescent="0.25">
      <c r="A861" s="2" t="s">
        <v>122</v>
      </c>
      <c r="B861" s="4">
        <v>48</v>
      </c>
      <c r="C861" s="4">
        <v>2</v>
      </c>
      <c r="D861" s="4">
        <v>2</v>
      </c>
      <c r="E861" s="4">
        <v>2</v>
      </c>
      <c r="F861" s="6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1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3">
        <v>0</v>
      </c>
      <c r="BK861" s="3">
        <v>0</v>
      </c>
      <c r="BL861" s="3">
        <v>1</v>
      </c>
      <c r="BM861" s="3">
        <v>0</v>
      </c>
    </row>
    <row r="862" spans="1:65" x14ac:dyDescent="0.25">
      <c r="A862" s="2" t="s">
        <v>122</v>
      </c>
      <c r="B862" s="4">
        <v>48</v>
      </c>
      <c r="C862" s="4">
        <v>2</v>
      </c>
      <c r="D862" s="4">
        <v>2</v>
      </c>
      <c r="E862" s="4">
        <v>3</v>
      </c>
      <c r="F862" s="6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3">
        <v>0</v>
      </c>
      <c r="BM862" s="3">
        <v>0</v>
      </c>
    </row>
    <row r="863" spans="1:65" x14ac:dyDescent="0.25">
      <c r="A863" s="2" t="s">
        <v>122</v>
      </c>
      <c r="B863" s="4">
        <v>48</v>
      </c>
      <c r="C863" s="4">
        <v>2</v>
      </c>
      <c r="D863" s="4">
        <v>3</v>
      </c>
      <c r="E863" s="4">
        <v>1</v>
      </c>
      <c r="F863" s="6">
        <v>0</v>
      </c>
      <c r="G863" s="3">
        <v>1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1</v>
      </c>
      <c r="BM863" s="3">
        <v>0</v>
      </c>
    </row>
    <row r="864" spans="1:65" x14ac:dyDescent="0.25">
      <c r="A864" s="2" t="s">
        <v>122</v>
      </c>
      <c r="B864" s="4">
        <v>48</v>
      </c>
      <c r="C864" s="4">
        <v>2</v>
      </c>
      <c r="D864" s="4">
        <v>3</v>
      </c>
      <c r="E864" s="4">
        <v>2</v>
      </c>
      <c r="F864" s="6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1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1</v>
      </c>
      <c r="BB864" s="3">
        <v>0</v>
      </c>
      <c r="BC864" s="3">
        <v>0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0</v>
      </c>
      <c r="BJ864" s="3">
        <v>0</v>
      </c>
      <c r="BK864" s="3">
        <v>0</v>
      </c>
      <c r="BL864" s="3">
        <v>0</v>
      </c>
      <c r="BM864" s="3">
        <v>0</v>
      </c>
    </row>
    <row r="865" spans="1:65" x14ac:dyDescent="0.25">
      <c r="A865" s="2" t="s">
        <v>122</v>
      </c>
      <c r="B865" s="4">
        <v>48</v>
      </c>
      <c r="C865" s="4">
        <v>2</v>
      </c>
      <c r="D865" s="4">
        <v>3</v>
      </c>
      <c r="E865" s="4">
        <v>3</v>
      </c>
      <c r="F865" s="6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</row>
    <row r="866" spans="1:65" x14ac:dyDescent="0.25">
      <c r="A866" s="2" t="s">
        <v>123</v>
      </c>
      <c r="B866" s="4">
        <v>49</v>
      </c>
      <c r="C866" s="4">
        <v>1</v>
      </c>
      <c r="D866" s="4">
        <v>1</v>
      </c>
      <c r="E866" s="4">
        <v>1</v>
      </c>
      <c r="F866" s="4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1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1</v>
      </c>
      <c r="Z866" s="3">
        <v>0</v>
      </c>
      <c r="AA866" s="3">
        <v>0</v>
      </c>
      <c r="AB866" s="3">
        <v>1</v>
      </c>
      <c r="AC866" s="3">
        <v>0</v>
      </c>
      <c r="AD866" s="3">
        <v>0</v>
      </c>
      <c r="AE866" s="3">
        <v>0</v>
      </c>
      <c r="AF866" s="3">
        <v>1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1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0</v>
      </c>
      <c r="BK866" s="3">
        <v>0</v>
      </c>
      <c r="BL866" s="3">
        <v>1</v>
      </c>
      <c r="BM866" s="3">
        <v>0</v>
      </c>
    </row>
    <row r="867" spans="1:65" x14ac:dyDescent="0.25">
      <c r="A867" s="2" t="s">
        <v>123</v>
      </c>
      <c r="B867" s="4">
        <v>49</v>
      </c>
      <c r="C867" s="4">
        <v>1</v>
      </c>
      <c r="D867" s="4">
        <v>1</v>
      </c>
      <c r="E867" s="4">
        <v>2</v>
      </c>
      <c r="F867" s="4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1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1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1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0</v>
      </c>
      <c r="BK867" s="3">
        <v>0</v>
      </c>
      <c r="BL867" s="3">
        <v>1</v>
      </c>
      <c r="BM867" s="3">
        <v>0</v>
      </c>
    </row>
    <row r="868" spans="1:65" x14ac:dyDescent="0.25">
      <c r="A868" s="2" t="s">
        <v>123</v>
      </c>
      <c r="B868" s="4">
        <v>49</v>
      </c>
      <c r="C868" s="4">
        <v>1</v>
      </c>
      <c r="D868" s="4">
        <v>1</v>
      </c>
      <c r="E868" s="4">
        <v>3</v>
      </c>
      <c r="F868" s="4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1</v>
      </c>
      <c r="BF868" s="3">
        <v>0</v>
      </c>
      <c r="BG868" s="3">
        <v>0</v>
      </c>
      <c r="BH868" s="3">
        <v>0</v>
      </c>
      <c r="BI868" s="3">
        <v>0</v>
      </c>
      <c r="BJ868" s="3">
        <v>0</v>
      </c>
      <c r="BK868" s="3">
        <v>0</v>
      </c>
      <c r="BL868" s="3">
        <v>0</v>
      </c>
      <c r="BM868" s="3">
        <v>0</v>
      </c>
    </row>
    <row r="869" spans="1:65" x14ac:dyDescent="0.25">
      <c r="A869" s="2" t="s">
        <v>123</v>
      </c>
      <c r="B869" s="4">
        <v>49</v>
      </c>
      <c r="C869" s="4">
        <v>1</v>
      </c>
      <c r="D869" s="4">
        <v>2</v>
      </c>
      <c r="E869" s="4">
        <v>1</v>
      </c>
      <c r="F869" s="4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0</v>
      </c>
    </row>
    <row r="870" spans="1:65" x14ac:dyDescent="0.25">
      <c r="A870" s="2" t="s">
        <v>123</v>
      </c>
      <c r="B870" s="4">
        <v>49</v>
      </c>
      <c r="C870" s="4">
        <v>1</v>
      </c>
      <c r="D870" s="4">
        <v>2</v>
      </c>
      <c r="E870" s="4">
        <v>2</v>
      </c>
      <c r="F870" s="4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1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1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0</v>
      </c>
      <c r="BJ870" s="3">
        <v>0</v>
      </c>
      <c r="BK870" s="3">
        <v>0</v>
      </c>
      <c r="BL870" s="3">
        <v>0</v>
      </c>
      <c r="BM870" s="3">
        <v>0</v>
      </c>
    </row>
    <row r="871" spans="1:65" x14ac:dyDescent="0.25">
      <c r="A871" s="2" t="s">
        <v>123</v>
      </c>
      <c r="B871" s="4">
        <v>49</v>
      </c>
      <c r="C871" s="4">
        <v>1</v>
      </c>
      <c r="D871" s="4">
        <v>2</v>
      </c>
      <c r="E871" s="4">
        <v>3</v>
      </c>
      <c r="F871" s="4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1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</row>
    <row r="872" spans="1:65" x14ac:dyDescent="0.25">
      <c r="A872" s="2" t="s">
        <v>123</v>
      </c>
      <c r="B872" s="4">
        <v>49</v>
      </c>
      <c r="C872" s="4">
        <v>1</v>
      </c>
      <c r="D872" s="4">
        <v>3</v>
      </c>
      <c r="E872" s="4">
        <v>1</v>
      </c>
      <c r="F872" s="4">
        <v>0</v>
      </c>
      <c r="G872" s="3">
        <v>2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1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0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0</v>
      </c>
      <c r="BJ872" s="3">
        <v>0</v>
      </c>
      <c r="BK872" s="3">
        <v>0</v>
      </c>
      <c r="BL872" s="3">
        <v>2</v>
      </c>
      <c r="BM872" s="3">
        <v>0</v>
      </c>
    </row>
    <row r="873" spans="1:65" x14ac:dyDescent="0.25">
      <c r="A873" s="2" t="s">
        <v>123</v>
      </c>
      <c r="B873" s="4">
        <v>49</v>
      </c>
      <c r="C873" s="4">
        <v>1</v>
      </c>
      <c r="D873" s="4">
        <v>3</v>
      </c>
      <c r="E873" s="4">
        <v>2</v>
      </c>
      <c r="F873" s="4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>
        <v>0</v>
      </c>
      <c r="BK873" s="3">
        <v>0</v>
      </c>
      <c r="BL873" s="3">
        <v>0</v>
      </c>
      <c r="BM873" s="3">
        <v>0</v>
      </c>
    </row>
    <row r="874" spans="1:65" x14ac:dyDescent="0.25">
      <c r="A874" s="2" t="s">
        <v>123</v>
      </c>
      <c r="B874" s="4">
        <v>49</v>
      </c>
      <c r="C874" s="4">
        <v>1</v>
      </c>
      <c r="D874" s="4">
        <v>3</v>
      </c>
      <c r="E874" s="4">
        <v>3</v>
      </c>
      <c r="F874" s="4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3">
        <v>0</v>
      </c>
    </row>
    <row r="875" spans="1:65" x14ac:dyDescent="0.25">
      <c r="A875" s="2" t="s">
        <v>123</v>
      </c>
      <c r="B875" s="4">
        <v>49</v>
      </c>
      <c r="C875" s="4">
        <v>2</v>
      </c>
      <c r="D875" s="4">
        <v>1</v>
      </c>
      <c r="E875" s="4">
        <v>1</v>
      </c>
      <c r="F875" s="6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2</v>
      </c>
      <c r="Z875" s="3">
        <v>0</v>
      </c>
      <c r="AA875" s="3">
        <v>0</v>
      </c>
      <c r="AB875" s="3">
        <v>2</v>
      </c>
      <c r="AC875" s="3">
        <v>0</v>
      </c>
      <c r="AD875" s="3">
        <v>1</v>
      </c>
      <c r="AE875" s="3">
        <v>0</v>
      </c>
      <c r="AF875" s="3">
        <v>1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0</v>
      </c>
      <c r="BK875" s="3">
        <v>0</v>
      </c>
      <c r="BL875" s="3">
        <v>1</v>
      </c>
      <c r="BM875" s="3">
        <v>0</v>
      </c>
    </row>
    <row r="876" spans="1:65" x14ac:dyDescent="0.25">
      <c r="A876" s="2" t="s">
        <v>123</v>
      </c>
      <c r="B876" s="4">
        <v>49</v>
      </c>
      <c r="C876" s="4">
        <v>2</v>
      </c>
      <c r="D876" s="4">
        <v>1</v>
      </c>
      <c r="E876" s="4">
        <v>2</v>
      </c>
      <c r="F876" s="6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1</v>
      </c>
      <c r="AC876" s="3">
        <v>0</v>
      </c>
      <c r="AD876" s="3">
        <v>0</v>
      </c>
      <c r="AE876" s="3">
        <v>0</v>
      </c>
      <c r="AF876" s="3">
        <v>1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0</v>
      </c>
    </row>
    <row r="877" spans="1:65" x14ac:dyDescent="0.25">
      <c r="A877" s="2" t="s">
        <v>123</v>
      </c>
      <c r="B877" s="4">
        <v>49</v>
      </c>
      <c r="C877" s="4">
        <v>2</v>
      </c>
      <c r="D877" s="4">
        <v>1</v>
      </c>
      <c r="E877" s="4">
        <v>3</v>
      </c>
      <c r="F877" s="6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0</v>
      </c>
      <c r="BK877" s="3">
        <v>0</v>
      </c>
      <c r="BL877" s="3">
        <v>0</v>
      </c>
      <c r="BM877" s="3">
        <v>0</v>
      </c>
    </row>
    <row r="878" spans="1:65" x14ac:dyDescent="0.25">
      <c r="A878" s="2" t="s">
        <v>123</v>
      </c>
      <c r="B878" s="4">
        <v>49</v>
      </c>
      <c r="C878" s="4">
        <v>2</v>
      </c>
      <c r="D878" s="4">
        <v>2</v>
      </c>
      <c r="E878" s="4">
        <v>1</v>
      </c>
      <c r="F878" s="6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0</v>
      </c>
      <c r="BK878" s="3">
        <v>0</v>
      </c>
      <c r="BL878" s="3">
        <v>0</v>
      </c>
      <c r="BM878" s="3">
        <v>0</v>
      </c>
    </row>
    <row r="879" spans="1:65" x14ac:dyDescent="0.25">
      <c r="A879" s="2" t="s">
        <v>123</v>
      </c>
      <c r="B879" s="4">
        <v>49</v>
      </c>
      <c r="C879" s="4">
        <v>2</v>
      </c>
      <c r="D879" s="4">
        <v>2</v>
      </c>
      <c r="E879" s="4">
        <v>2</v>
      </c>
      <c r="F879" s="6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</row>
    <row r="880" spans="1:65" x14ac:dyDescent="0.25">
      <c r="A880" s="2" t="s">
        <v>123</v>
      </c>
      <c r="B880" s="4">
        <v>49</v>
      </c>
      <c r="C880" s="4">
        <v>2</v>
      </c>
      <c r="D880" s="4">
        <v>2</v>
      </c>
      <c r="E880" s="4">
        <v>3</v>
      </c>
      <c r="F880" s="6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1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0</v>
      </c>
      <c r="BK880" s="3">
        <v>0</v>
      </c>
      <c r="BL880" s="3">
        <v>0</v>
      </c>
      <c r="BM880" s="3">
        <v>0</v>
      </c>
    </row>
    <row r="881" spans="1:65" x14ac:dyDescent="0.25">
      <c r="A881" s="2" t="s">
        <v>123</v>
      </c>
      <c r="B881" s="4">
        <v>49</v>
      </c>
      <c r="C881" s="4">
        <v>2</v>
      </c>
      <c r="D881" s="4">
        <v>3</v>
      </c>
      <c r="E881" s="4">
        <v>1</v>
      </c>
      <c r="F881" s="6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1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0</v>
      </c>
      <c r="BL881" s="3">
        <v>0</v>
      </c>
      <c r="BM881" s="3">
        <v>0</v>
      </c>
    </row>
    <row r="882" spans="1:65" x14ac:dyDescent="0.25">
      <c r="A882" s="2" t="s">
        <v>123</v>
      </c>
      <c r="B882" s="4">
        <v>49</v>
      </c>
      <c r="C882" s="4">
        <v>2</v>
      </c>
      <c r="D882" s="4">
        <v>3</v>
      </c>
      <c r="E882" s="4">
        <v>2</v>
      </c>
      <c r="F882" s="6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1</v>
      </c>
      <c r="BF882" s="3">
        <v>0</v>
      </c>
      <c r="BG882" s="3">
        <v>0</v>
      </c>
      <c r="BH882" s="3">
        <v>0</v>
      </c>
      <c r="BI882" s="3">
        <v>0</v>
      </c>
      <c r="BJ882" s="3">
        <v>0</v>
      </c>
      <c r="BK882" s="3">
        <v>0</v>
      </c>
      <c r="BL882" s="3">
        <v>0</v>
      </c>
      <c r="BM882" s="3">
        <v>0</v>
      </c>
    </row>
    <row r="883" spans="1:65" x14ac:dyDescent="0.25">
      <c r="A883" s="2" t="s">
        <v>123</v>
      </c>
      <c r="B883" s="4">
        <v>49</v>
      </c>
      <c r="C883" s="4">
        <v>2</v>
      </c>
      <c r="D883" s="4">
        <v>3</v>
      </c>
      <c r="E883" s="4">
        <v>3</v>
      </c>
      <c r="F883" s="6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</row>
    <row r="884" spans="1:65" x14ac:dyDescent="0.25">
      <c r="A884" s="2" t="s">
        <v>124</v>
      </c>
      <c r="B884" s="4">
        <v>50</v>
      </c>
      <c r="C884" s="4">
        <v>1</v>
      </c>
      <c r="D884" s="4">
        <v>1</v>
      </c>
      <c r="E884" s="4">
        <v>1</v>
      </c>
      <c r="F884" s="4">
        <v>0</v>
      </c>
      <c r="G884" s="3">
        <v>1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1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1</v>
      </c>
      <c r="AC884" s="3">
        <v>0</v>
      </c>
      <c r="AD884" s="3">
        <v>0</v>
      </c>
      <c r="AE884" s="3">
        <v>0</v>
      </c>
      <c r="AF884" s="3">
        <v>1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3">
        <v>2</v>
      </c>
      <c r="BM884" s="3">
        <v>0</v>
      </c>
    </row>
    <row r="885" spans="1:65" x14ac:dyDescent="0.25">
      <c r="A885" s="2" t="s">
        <v>124</v>
      </c>
      <c r="B885" s="4">
        <v>50</v>
      </c>
      <c r="C885" s="4">
        <v>1</v>
      </c>
      <c r="D885" s="4">
        <v>1</v>
      </c>
      <c r="E885" s="4">
        <v>2</v>
      </c>
      <c r="F885" s="4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1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2</v>
      </c>
      <c r="BM885" s="3">
        <v>0</v>
      </c>
    </row>
    <row r="886" spans="1:65" x14ac:dyDescent="0.25">
      <c r="A886" s="2" t="s">
        <v>124</v>
      </c>
      <c r="B886" s="4">
        <v>50</v>
      </c>
      <c r="C886" s="4">
        <v>1</v>
      </c>
      <c r="D886" s="4">
        <v>1</v>
      </c>
      <c r="E886" s="4">
        <v>3</v>
      </c>
      <c r="F886" s="4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0</v>
      </c>
      <c r="BK886" s="3">
        <v>0</v>
      </c>
      <c r="BL886" s="3">
        <v>0</v>
      </c>
      <c r="BM886" s="3">
        <v>0</v>
      </c>
    </row>
    <row r="887" spans="1:65" x14ac:dyDescent="0.25">
      <c r="A887" s="2" t="s">
        <v>124</v>
      </c>
      <c r="B887" s="4">
        <v>50</v>
      </c>
      <c r="C887" s="4">
        <v>1</v>
      </c>
      <c r="D887" s="4">
        <v>2</v>
      </c>
      <c r="E887" s="4">
        <v>1</v>
      </c>
      <c r="F887" s="4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1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</row>
    <row r="888" spans="1:65" x14ac:dyDescent="0.25">
      <c r="A888" s="2" t="s">
        <v>124</v>
      </c>
      <c r="B888" s="4">
        <v>50</v>
      </c>
      <c r="C888" s="4">
        <v>1</v>
      </c>
      <c r="D888" s="4">
        <v>2</v>
      </c>
      <c r="E888" s="4">
        <v>2</v>
      </c>
      <c r="F888" s="4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0</v>
      </c>
      <c r="BK888" s="3">
        <v>0</v>
      </c>
      <c r="BL888" s="3">
        <v>0</v>
      </c>
      <c r="BM888" s="3">
        <v>0</v>
      </c>
    </row>
    <row r="889" spans="1:65" x14ac:dyDescent="0.25">
      <c r="A889" s="2" t="s">
        <v>124</v>
      </c>
      <c r="B889" s="4">
        <v>50</v>
      </c>
      <c r="C889" s="4">
        <v>1</v>
      </c>
      <c r="D889" s="4">
        <v>2</v>
      </c>
      <c r="E889" s="4">
        <v>3</v>
      </c>
      <c r="F889" s="4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</row>
    <row r="890" spans="1:65" x14ac:dyDescent="0.25">
      <c r="A890" s="2" t="s">
        <v>124</v>
      </c>
      <c r="B890" s="4">
        <v>50</v>
      </c>
      <c r="C890" s="4">
        <v>1</v>
      </c>
      <c r="D890" s="4">
        <v>3</v>
      </c>
      <c r="E890" s="4">
        <v>1</v>
      </c>
      <c r="F890" s="4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1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0</v>
      </c>
      <c r="BK890" s="3">
        <v>0</v>
      </c>
      <c r="BL890" s="3">
        <v>0</v>
      </c>
      <c r="BM890" s="3">
        <v>0</v>
      </c>
    </row>
    <row r="891" spans="1:65" x14ac:dyDescent="0.25">
      <c r="A891" s="2" t="s">
        <v>124</v>
      </c>
      <c r="B891" s="4">
        <v>50</v>
      </c>
      <c r="C891" s="4">
        <v>1</v>
      </c>
      <c r="D891" s="4">
        <v>3</v>
      </c>
      <c r="E891" s="4">
        <v>2</v>
      </c>
      <c r="F891" s="4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1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1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0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0</v>
      </c>
    </row>
    <row r="892" spans="1:65" x14ac:dyDescent="0.25">
      <c r="A892" s="2" t="s">
        <v>124</v>
      </c>
      <c r="B892" s="4">
        <v>50</v>
      </c>
      <c r="C892" s="4">
        <v>1</v>
      </c>
      <c r="D892" s="4">
        <v>3</v>
      </c>
      <c r="E892" s="4">
        <v>3</v>
      </c>
      <c r="F892" s="4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0</v>
      </c>
      <c r="BK892" s="3">
        <v>0</v>
      </c>
      <c r="BL892" s="3">
        <v>0</v>
      </c>
      <c r="BM892" s="3">
        <v>0</v>
      </c>
    </row>
    <row r="893" spans="1:65" x14ac:dyDescent="0.25">
      <c r="A893" s="2" t="s">
        <v>124</v>
      </c>
      <c r="B893" s="4">
        <v>50</v>
      </c>
      <c r="C893" s="4">
        <v>2</v>
      </c>
      <c r="D893" s="4">
        <v>1</v>
      </c>
      <c r="E893" s="4">
        <v>1</v>
      </c>
      <c r="F893" s="6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1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2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3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1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1</v>
      </c>
      <c r="BF893" s="3">
        <v>0</v>
      </c>
      <c r="BG893" s="3">
        <v>0</v>
      </c>
      <c r="BH893" s="3">
        <v>0</v>
      </c>
      <c r="BI893" s="3">
        <v>0</v>
      </c>
      <c r="BJ893" s="3">
        <v>0</v>
      </c>
      <c r="BK893" s="3">
        <v>0</v>
      </c>
      <c r="BL893" s="3">
        <v>1</v>
      </c>
      <c r="BM893" s="3">
        <v>0</v>
      </c>
    </row>
    <row r="894" spans="1:65" x14ac:dyDescent="0.25">
      <c r="A894" s="2" t="s">
        <v>124</v>
      </c>
      <c r="B894" s="4">
        <v>50</v>
      </c>
      <c r="C894" s="4">
        <v>2</v>
      </c>
      <c r="D894" s="4">
        <v>1</v>
      </c>
      <c r="E894" s="4">
        <v>2</v>
      </c>
      <c r="F894" s="6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1</v>
      </c>
      <c r="AC894" s="3">
        <v>0</v>
      </c>
      <c r="AD894" s="3">
        <v>0</v>
      </c>
      <c r="AE894" s="3">
        <v>0</v>
      </c>
      <c r="AF894" s="3">
        <v>1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1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0</v>
      </c>
    </row>
    <row r="895" spans="1:65" x14ac:dyDescent="0.25">
      <c r="A895" s="2" t="s">
        <v>124</v>
      </c>
      <c r="B895" s="4">
        <v>50</v>
      </c>
      <c r="C895" s="4">
        <v>2</v>
      </c>
      <c r="D895" s="4">
        <v>1</v>
      </c>
      <c r="E895" s="4">
        <v>3</v>
      </c>
      <c r="F895" s="6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</row>
    <row r="896" spans="1:65" x14ac:dyDescent="0.25">
      <c r="A896" s="2" t="s">
        <v>124</v>
      </c>
      <c r="B896" s="4">
        <v>50</v>
      </c>
      <c r="C896" s="4">
        <v>2</v>
      </c>
      <c r="D896" s="4">
        <v>2</v>
      </c>
      <c r="E896" s="4">
        <v>1</v>
      </c>
      <c r="F896" s="6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>
        <v>0</v>
      </c>
      <c r="BK896" s="3">
        <v>0</v>
      </c>
      <c r="BL896" s="3">
        <v>0</v>
      </c>
      <c r="BM896" s="3">
        <v>0</v>
      </c>
    </row>
    <row r="897" spans="1:65" x14ac:dyDescent="0.25">
      <c r="A897" s="2" t="s">
        <v>124</v>
      </c>
      <c r="B897" s="4">
        <v>50</v>
      </c>
      <c r="C897" s="4">
        <v>2</v>
      </c>
      <c r="D897" s="4">
        <v>2</v>
      </c>
      <c r="E897" s="4">
        <v>2</v>
      </c>
      <c r="F897" s="6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</row>
    <row r="898" spans="1:65" x14ac:dyDescent="0.25">
      <c r="A898" s="2" t="s">
        <v>124</v>
      </c>
      <c r="B898" s="4">
        <v>50</v>
      </c>
      <c r="C898" s="4">
        <v>2</v>
      </c>
      <c r="D898" s="4">
        <v>2</v>
      </c>
      <c r="E898" s="4">
        <v>3</v>
      </c>
      <c r="F898" s="6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</row>
    <row r="899" spans="1:65" x14ac:dyDescent="0.25">
      <c r="A899" s="2" t="s">
        <v>124</v>
      </c>
      <c r="B899" s="4">
        <v>50</v>
      </c>
      <c r="C899" s="4">
        <v>2</v>
      </c>
      <c r="D899" s="4">
        <v>3</v>
      </c>
      <c r="E899" s="4">
        <v>1</v>
      </c>
      <c r="F899" s="6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1</v>
      </c>
      <c r="BM899" s="3">
        <v>0</v>
      </c>
    </row>
    <row r="900" spans="1:65" x14ac:dyDescent="0.25">
      <c r="A900" s="2" t="s">
        <v>124</v>
      </c>
      <c r="B900" s="4">
        <v>50</v>
      </c>
      <c r="C900" s="4">
        <v>2</v>
      </c>
      <c r="D900" s="4">
        <v>3</v>
      </c>
      <c r="E900" s="4">
        <v>2</v>
      </c>
      <c r="F900" s="6">
        <v>0</v>
      </c>
      <c r="G900" s="3">
        <v>1</v>
      </c>
      <c r="H900" s="3">
        <v>0</v>
      </c>
      <c r="I900" s="3">
        <v>0</v>
      </c>
      <c r="J900" s="3">
        <v>0</v>
      </c>
      <c r="K900" s="3">
        <v>0</v>
      </c>
      <c r="L900" s="3">
        <v>1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0</v>
      </c>
      <c r="BK900" s="3">
        <v>0</v>
      </c>
      <c r="BL900" s="3">
        <v>0</v>
      </c>
      <c r="BM900" s="3">
        <v>0</v>
      </c>
    </row>
    <row r="901" spans="1:65" x14ac:dyDescent="0.25">
      <c r="A901" s="2" t="s">
        <v>124</v>
      </c>
      <c r="B901" s="4">
        <v>50</v>
      </c>
      <c r="C901" s="4">
        <v>2</v>
      </c>
      <c r="D901" s="4">
        <v>3</v>
      </c>
      <c r="E901" s="4">
        <v>3</v>
      </c>
      <c r="F901" s="6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</row>
    <row r="902" spans="1:65" x14ac:dyDescent="0.25">
      <c r="A902" s="2" t="s">
        <v>125</v>
      </c>
      <c r="B902" s="4">
        <v>51</v>
      </c>
      <c r="C902" s="4">
        <v>1</v>
      </c>
      <c r="D902" s="4">
        <v>1</v>
      </c>
      <c r="E902" s="4">
        <v>1</v>
      </c>
      <c r="F902" s="4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2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1</v>
      </c>
      <c r="Z902" s="3">
        <v>0</v>
      </c>
      <c r="AA902" s="3">
        <v>0</v>
      </c>
      <c r="AB902" s="3">
        <v>1</v>
      </c>
      <c r="AC902" s="3">
        <v>0</v>
      </c>
      <c r="AD902" s="3">
        <v>0</v>
      </c>
      <c r="AE902" s="3">
        <v>0</v>
      </c>
      <c r="AF902" s="3">
        <v>2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3">
        <v>0</v>
      </c>
      <c r="BK902" s="3">
        <v>0</v>
      </c>
      <c r="BL902" s="3">
        <v>2</v>
      </c>
      <c r="BM902" s="3">
        <v>0</v>
      </c>
    </row>
    <row r="903" spans="1:65" x14ac:dyDescent="0.25">
      <c r="A903" s="2" t="s">
        <v>125</v>
      </c>
      <c r="B903" s="4">
        <v>51</v>
      </c>
      <c r="C903" s="4">
        <v>1</v>
      </c>
      <c r="D903" s="4">
        <v>1</v>
      </c>
      <c r="E903" s="4">
        <v>2</v>
      </c>
      <c r="F903" s="4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1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0</v>
      </c>
      <c r="BK903" s="3">
        <v>0</v>
      </c>
      <c r="BL903" s="3">
        <v>0</v>
      </c>
      <c r="BM903" s="3">
        <v>0</v>
      </c>
    </row>
    <row r="904" spans="1:65" x14ac:dyDescent="0.25">
      <c r="A904" s="2" t="s">
        <v>125</v>
      </c>
      <c r="B904" s="4">
        <v>51</v>
      </c>
      <c r="C904" s="4">
        <v>1</v>
      </c>
      <c r="D904" s="4">
        <v>1</v>
      </c>
      <c r="E904" s="4">
        <v>3</v>
      </c>
      <c r="F904" s="4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0</v>
      </c>
      <c r="BK904" s="3">
        <v>0</v>
      </c>
      <c r="BL904" s="3">
        <v>0</v>
      </c>
      <c r="BM904" s="3">
        <v>0</v>
      </c>
    </row>
    <row r="905" spans="1:65" x14ac:dyDescent="0.25">
      <c r="A905" s="2" t="s">
        <v>125</v>
      </c>
      <c r="B905" s="4">
        <v>51</v>
      </c>
      <c r="C905" s="4">
        <v>1</v>
      </c>
      <c r="D905" s="4">
        <v>2</v>
      </c>
      <c r="E905" s="4">
        <v>1</v>
      </c>
      <c r="F905" s="4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0</v>
      </c>
      <c r="BK905" s="3">
        <v>0</v>
      </c>
      <c r="BL905" s="3">
        <v>1</v>
      </c>
      <c r="BM905" s="3">
        <v>0</v>
      </c>
    </row>
    <row r="906" spans="1:65" x14ac:dyDescent="0.25">
      <c r="A906" s="2" t="s">
        <v>125</v>
      </c>
      <c r="B906" s="4">
        <v>51</v>
      </c>
      <c r="C906" s="4">
        <v>1</v>
      </c>
      <c r="D906" s="4">
        <v>2</v>
      </c>
      <c r="E906" s="4">
        <v>2</v>
      </c>
      <c r="F906" s="4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0</v>
      </c>
      <c r="BL906" s="3">
        <v>0</v>
      </c>
      <c r="BM906" s="3">
        <v>0</v>
      </c>
    </row>
    <row r="907" spans="1:65" x14ac:dyDescent="0.25">
      <c r="A907" s="2" t="s">
        <v>125</v>
      </c>
      <c r="B907" s="4">
        <v>51</v>
      </c>
      <c r="C907" s="4">
        <v>1</v>
      </c>
      <c r="D907" s="4">
        <v>2</v>
      </c>
      <c r="E907" s="4">
        <v>3</v>
      </c>
      <c r="F907" s="4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3">
        <v>0</v>
      </c>
      <c r="BL907" s="3">
        <v>0</v>
      </c>
      <c r="BM907" s="3">
        <v>0</v>
      </c>
    </row>
    <row r="908" spans="1:65" x14ac:dyDescent="0.25">
      <c r="A908" s="2" t="s">
        <v>125</v>
      </c>
      <c r="B908" s="4">
        <v>51</v>
      </c>
      <c r="C908" s="4">
        <v>1</v>
      </c>
      <c r="D908" s="4">
        <v>3</v>
      </c>
      <c r="E908" s="4">
        <v>1</v>
      </c>
      <c r="F908" s="4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1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0</v>
      </c>
      <c r="BD908" s="3">
        <v>0</v>
      </c>
      <c r="BE908" s="3">
        <v>0</v>
      </c>
      <c r="BF908" s="3">
        <v>0</v>
      </c>
      <c r="BG908" s="3">
        <v>0</v>
      </c>
      <c r="BH908" s="3">
        <v>1</v>
      </c>
      <c r="BI908" s="3">
        <v>0</v>
      </c>
      <c r="BJ908" s="3">
        <v>0</v>
      </c>
      <c r="BK908" s="3">
        <v>0</v>
      </c>
      <c r="BL908" s="3">
        <v>0</v>
      </c>
      <c r="BM908" s="3">
        <v>0</v>
      </c>
    </row>
    <row r="909" spans="1:65" x14ac:dyDescent="0.25">
      <c r="A909" s="2" t="s">
        <v>125</v>
      </c>
      <c r="B909" s="4">
        <v>51</v>
      </c>
      <c r="C909" s="4">
        <v>1</v>
      </c>
      <c r="D909" s="4">
        <v>3</v>
      </c>
      <c r="E909" s="4">
        <v>2</v>
      </c>
      <c r="F909" s="4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0</v>
      </c>
    </row>
    <row r="910" spans="1:65" x14ac:dyDescent="0.25">
      <c r="A910" s="2" t="s">
        <v>125</v>
      </c>
      <c r="B910" s="4">
        <v>51</v>
      </c>
      <c r="C910" s="4">
        <v>1</v>
      </c>
      <c r="D910" s="4">
        <v>3</v>
      </c>
      <c r="E910" s="4">
        <v>3</v>
      </c>
      <c r="F910" s="4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0</v>
      </c>
      <c r="BK910" s="3">
        <v>0</v>
      </c>
      <c r="BL910" s="3">
        <v>0</v>
      </c>
      <c r="BM910" s="3">
        <v>0</v>
      </c>
    </row>
    <row r="911" spans="1:65" x14ac:dyDescent="0.25">
      <c r="A911" s="2" t="s">
        <v>125</v>
      </c>
      <c r="B911" s="4">
        <v>51</v>
      </c>
      <c r="C911" s="4">
        <v>2</v>
      </c>
      <c r="D911" s="4">
        <v>1</v>
      </c>
      <c r="E911" s="4">
        <v>1</v>
      </c>
      <c r="F911" s="6">
        <v>0</v>
      </c>
      <c r="G911" s="3">
        <v>2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1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1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2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0</v>
      </c>
      <c r="BD911" s="3">
        <v>0</v>
      </c>
      <c r="BE911" s="3">
        <v>1</v>
      </c>
      <c r="BF911" s="3">
        <v>0</v>
      </c>
      <c r="BG911" s="3">
        <v>0</v>
      </c>
      <c r="BH911" s="3">
        <v>0</v>
      </c>
      <c r="BI911" s="3">
        <v>0</v>
      </c>
      <c r="BJ911" s="3">
        <v>0</v>
      </c>
      <c r="BK911" s="3">
        <v>0</v>
      </c>
      <c r="BL911" s="3">
        <v>2</v>
      </c>
      <c r="BM911" s="3">
        <v>0</v>
      </c>
    </row>
    <row r="912" spans="1:65" x14ac:dyDescent="0.25">
      <c r="A912" s="2" t="s">
        <v>125</v>
      </c>
      <c r="B912" s="4">
        <v>51</v>
      </c>
      <c r="C912" s="4">
        <v>2</v>
      </c>
      <c r="D912" s="4">
        <v>1</v>
      </c>
      <c r="E912" s="4">
        <v>2</v>
      </c>
      <c r="F912" s="6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1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1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0</v>
      </c>
      <c r="BK912" s="3">
        <v>0</v>
      </c>
      <c r="BL912" s="3">
        <v>1</v>
      </c>
      <c r="BM912" s="3">
        <v>0</v>
      </c>
    </row>
    <row r="913" spans="1:65" x14ac:dyDescent="0.25">
      <c r="A913" s="2" t="s">
        <v>125</v>
      </c>
      <c r="B913" s="4">
        <v>51</v>
      </c>
      <c r="C913" s="4">
        <v>2</v>
      </c>
      <c r="D913" s="4">
        <v>1</v>
      </c>
      <c r="E913" s="4">
        <v>3</v>
      </c>
      <c r="F913" s="6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0</v>
      </c>
      <c r="BK913" s="3">
        <v>0</v>
      </c>
      <c r="BL913" s="3">
        <v>0</v>
      </c>
      <c r="BM913" s="3">
        <v>0</v>
      </c>
    </row>
    <row r="914" spans="1:65" x14ac:dyDescent="0.25">
      <c r="A914" s="2" t="s">
        <v>125</v>
      </c>
      <c r="B914" s="4">
        <v>51</v>
      </c>
      <c r="C914" s="4">
        <v>2</v>
      </c>
      <c r="D914" s="4">
        <v>2</v>
      </c>
      <c r="E914" s="4">
        <v>1</v>
      </c>
      <c r="F914" s="6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1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0</v>
      </c>
      <c r="BK914" s="3">
        <v>0</v>
      </c>
      <c r="BL914" s="3">
        <v>0</v>
      </c>
      <c r="BM914" s="3">
        <v>0</v>
      </c>
    </row>
    <row r="915" spans="1:65" x14ac:dyDescent="0.25">
      <c r="A915" s="2" t="s">
        <v>125</v>
      </c>
      <c r="B915" s="4">
        <v>51</v>
      </c>
      <c r="C915" s="4">
        <v>2</v>
      </c>
      <c r="D915" s="4">
        <v>2</v>
      </c>
      <c r="E915" s="4">
        <v>2</v>
      </c>
      <c r="F915" s="6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0</v>
      </c>
      <c r="BK915" s="3">
        <v>0</v>
      </c>
      <c r="BL915" s="3">
        <v>0</v>
      </c>
      <c r="BM915" s="3">
        <v>0</v>
      </c>
    </row>
    <row r="916" spans="1:65" x14ac:dyDescent="0.25">
      <c r="A916" s="2" t="s">
        <v>125</v>
      </c>
      <c r="B916" s="4">
        <v>51</v>
      </c>
      <c r="C916" s="4">
        <v>2</v>
      </c>
      <c r="D916" s="4">
        <v>2</v>
      </c>
      <c r="E916" s="4">
        <v>3</v>
      </c>
      <c r="F916" s="6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0</v>
      </c>
      <c r="BK916" s="3">
        <v>0</v>
      </c>
      <c r="BL916" s="3">
        <v>0</v>
      </c>
      <c r="BM916" s="3">
        <v>0</v>
      </c>
    </row>
    <row r="917" spans="1:65" x14ac:dyDescent="0.25">
      <c r="A917" s="2" t="s">
        <v>125</v>
      </c>
      <c r="B917" s="4">
        <v>51</v>
      </c>
      <c r="C917" s="4">
        <v>2</v>
      </c>
      <c r="D917" s="4">
        <v>3</v>
      </c>
      <c r="E917" s="4">
        <v>1</v>
      </c>
      <c r="F917" s="6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3">
        <v>0</v>
      </c>
      <c r="BI917" s="3">
        <v>0</v>
      </c>
      <c r="BJ917" s="3">
        <v>0</v>
      </c>
      <c r="BK917" s="3">
        <v>0</v>
      </c>
      <c r="BL917" s="3">
        <v>0</v>
      </c>
      <c r="BM917" s="3">
        <v>0</v>
      </c>
    </row>
    <row r="918" spans="1:65" x14ac:dyDescent="0.25">
      <c r="A918" s="2" t="s">
        <v>125</v>
      </c>
      <c r="B918" s="4">
        <v>51</v>
      </c>
      <c r="C918" s="4">
        <v>2</v>
      </c>
      <c r="D918" s="4">
        <v>3</v>
      </c>
      <c r="E918" s="4">
        <v>2</v>
      </c>
      <c r="F918" s="6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1</v>
      </c>
      <c r="M918" s="3">
        <v>0</v>
      </c>
      <c r="N918" s="3">
        <v>1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1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0</v>
      </c>
      <c r="BJ918" s="3">
        <v>0</v>
      </c>
      <c r="BK918" s="3">
        <v>0</v>
      </c>
      <c r="BL918" s="3">
        <v>0</v>
      </c>
      <c r="BM918" s="3">
        <v>0</v>
      </c>
    </row>
    <row r="919" spans="1:65" x14ac:dyDescent="0.25">
      <c r="A919" s="2" t="s">
        <v>125</v>
      </c>
      <c r="B919" s="4">
        <v>51</v>
      </c>
      <c r="C919" s="4">
        <v>2</v>
      </c>
      <c r="D919" s="4">
        <v>3</v>
      </c>
      <c r="E919" s="4">
        <v>3</v>
      </c>
      <c r="F919" s="6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3">
        <v>1</v>
      </c>
      <c r="BH919" s="3">
        <v>0</v>
      </c>
      <c r="BI919" s="3">
        <v>0</v>
      </c>
      <c r="BJ919" s="3">
        <v>0</v>
      </c>
      <c r="BK919" s="3">
        <v>0</v>
      </c>
      <c r="BL919" s="3">
        <v>0</v>
      </c>
      <c r="BM919" s="3">
        <v>0</v>
      </c>
    </row>
    <row r="920" spans="1:65" x14ac:dyDescent="0.25">
      <c r="A920" s="2" t="s">
        <v>126</v>
      </c>
      <c r="B920" s="4">
        <v>52</v>
      </c>
      <c r="C920" s="4">
        <v>1</v>
      </c>
      <c r="D920" s="4">
        <v>1</v>
      </c>
      <c r="E920" s="4">
        <v>1</v>
      </c>
      <c r="F920" s="4">
        <v>0</v>
      </c>
      <c r="G920" s="3">
        <v>0</v>
      </c>
      <c r="H920" s="3">
        <v>0</v>
      </c>
      <c r="I920" s="3">
        <v>1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1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2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1</v>
      </c>
      <c r="AF920" s="3">
        <v>2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0</v>
      </c>
      <c r="BK920" s="3">
        <v>0</v>
      </c>
      <c r="BL920" s="3">
        <v>4</v>
      </c>
      <c r="BM920" s="3">
        <v>0</v>
      </c>
    </row>
    <row r="921" spans="1:65" x14ac:dyDescent="0.25">
      <c r="A921" s="2" t="s">
        <v>126</v>
      </c>
      <c r="B921" s="4">
        <v>52</v>
      </c>
      <c r="C921" s="4">
        <v>1</v>
      </c>
      <c r="D921" s="4">
        <v>1</v>
      </c>
      <c r="E921" s="4">
        <v>2</v>
      </c>
      <c r="F921" s="4">
        <v>0</v>
      </c>
      <c r="G921" s="3">
        <v>0</v>
      </c>
      <c r="H921" s="3">
        <v>0</v>
      </c>
      <c r="I921" s="3">
        <v>1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1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0</v>
      </c>
      <c r="BK921" s="3">
        <v>0</v>
      </c>
      <c r="BL921" s="3">
        <v>0</v>
      </c>
      <c r="BM921" s="3">
        <v>0</v>
      </c>
    </row>
    <row r="922" spans="1:65" x14ac:dyDescent="0.25">
      <c r="A922" s="2" t="s">
        <v>126</v>
      </c>
      <c r="B922" s="4">
        <v>52</v>
      </c>
      <c r="C922" s="4">
        <v>1</v>
      </c>
      <c r="D922" s="4">
        <v>1</v>
      </c>
      <c r="E922" s="4">
        <v>3</v>
      </c>
      <c r="F922" s="4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>
        <v>0</v>
      </c>
      <c r="BK922" s="3">
        <v>0</v>
      </c>
      <c r="BL922" s="3">
        <v>0</v>
      </c>
      <c r="BM922" s="3">
        <v>0</v>
      </c>
    </row>
    <row r="923" spans="1:65" x14ac:dyDescent="0.25">
      <c r="A923" s="2" t="s">
        <v>126</v>
      </c>
      <c r="B923" s="4">
        <v>52</v>
      </c>
      <c r="C923" s="4">
        <v>1</v>
      </c>
      <c r="D923" s="4">
        <v>2</v>
      </c>
      <c r="E923" s="4">
        <v>1</v>
      </c>
      <c r="F923" s="4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2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0</v>
      </c>
      <c r="BK923" s="3">
        <v>0</v>
      </c>
      <c r="BL923" s="3">
        <v>0</v>
      </c>
      <c r="BM923" s="3">
        <v>0</v>
      </c>
    </row>
    <row r="924" spans="1:65" x14ac:dyDescent="0.25">
      <c r="A924" s="2" t="s">
        <v>126</v>
      </c>
      <c r="B924" s="4">
        <v>52</v>
      </c>
      <c r="C924" s="4">
        <v>1</v>
      </c>
      <c r="D924" s="4">
        <v>2</v>
      </c>
      <c r="E924" s="4">
        <v>2</v>
      </c>
      <c r="F924" s="4">
        <v>0</v>
      </c>
      <c r="G924" s="3">
        <v>1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0</v>
      </c>
      <c r="BK924" s="3">
        <v>0</v>
      </c>
      <c r="BL924" s="3">
        <v>0</v>
      </c>
      <c r="BM924" s="3">
        <v>0</v>
      </c>
    </row>
    <row r="925" spans="1:65" x14ac:dyDescent="0.25">
      <c r="A925" s="2" t="s">
        <v>126</v>
      </c>
      <c r="B925" s="4">
        <v>52</v>
      </c>
      <c r="C925" s="4">
        <v>1</v>
      </c>
      <c r="D925" s="4">
        <v>2</v>
      </c>
      <c r="E925" s="4">
        <v>3</v>
      </c>
      <c r="F925" s="4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</row>
    <row r="926" spans="1:65" x14ac:dyDescent="0.25">
      <c r="A926" s="2" t="s">
        <v>126</v>
      </c>
      <c r="B926" s="4">
        <v>52</v>
      </c>
      <c r="C926" s="4">
        <v>1</v>
      </c>
      <c r="D926" s="4">
        <v>3</v>
      </c>
      <c r="E926" s="4">
        <v>1</v>
      </c>
      <c r="F926" s="4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0</v>
      </c>
      <c r="BK926" s="3">
        <v>0</v>
      </c>
      <c r="BL926" s="3">
        <v>1</v>
      </c>
      <c r="BM926" s="3">
        <v>0</v>
      </c>
    </row>
    <row r="927" spans="1:65" x14ac:dyDescent="0.25">
      <c r="A927" s="2" t="s">
        <v>126</v>
      </c>
      <c r="B927" s="4">
        <v>52</v>
      </c>
      <c r="C927" s="4">
        <v>1</v>
      </c>
      <c r="D927" s="4">
        <v>3</v>
      </c>
      <c r="E927" s="4">
        <v>2</v>
      </c>
      <c r="F927" s="4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0</v>
      </c>
      <c r="BD927" s="3">
        <v>0</v>
      </c>
      <c r="BE927" s="3">
        <v>0</v>
      </c>
      <c r="BF927" s="3">
        <v>0</v>
      </c>
      <c r="BG927" s="3">
        <v>0</v>
      </c>
      <c r="BH927" s="3">
        <v>0</v>
      </c>
      <c r="BI927" s="3">
        <v>0</v>
      </c>
      <c r="BJ927" s="3">
        <v>0</v>
      </c>
      <c r="BK927" s="3">
        <v>0</v>
      </c>
      <c r="BL927" s="3">
        <v>0</v>
      </c>
      <c r="BM927" s="3">
        <v>0</v>
      </c>
    </row>
    <row r="928" spans="1:65" x14ac:dyDescent="0.25">
      <c r="A928" s="2" t="s">
        <v>126</v>
      </c>
      <c r="B928" s="4">
        <v>52</v>
      </c>
      <c r="C928" s="4">
        <v>1</v>
      </c>
      <c r="D928" s="4">
        <v>3</v>
      </c>
      <c r="E928" s="4">
        <v>3</v>
      </c>
      <c r="F928" s="4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0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0</v>
      </c>
      <c r="BK928" s="3">
        <v>0</v>
      </c>
      <c r="BL928" s="3">
        <v>0</v>
      </c>
      <c r="BM928" s="3">
        <v>0</v>
      </c>
    </row>
    <row r="929" spans="1:65" x14ac:dyDescent="0.25">
      <c r="A929" s="2" t="s">
        <v>126</v>
      </c>
      <c r="B929" s="4">
        <v>52</v>
      </c>
      <c r="C929" s="4">
        <v>2</v>
      </c>
      <c r="D929" s="4">
        <v>1</v>
      </c>
      <c r="E929" s="4">
        <v>1</v>
      </c>
      <c r="F929" s="6">
        <v>0</v>
      </c>
      <c r="G929" s="3">
        <v>1</v>
      </c>
      <c r="H929" s="3">
        <v>0</v>
      </c>
      <c r="I929" s="3">
        <v>1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5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1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0</v>
      </c>
      <c r="BK929" s="3">
        <v>0</v>
      </c>
      <c r="BL929" s="3">
        <v>2</v>
      </c>
      <c r="BM929" s="3">
        <v>0</v>
      </c>
    </row>
    <row r="930" spans="1:65" x14ac:dyDescent="0.25">
      <c r="A930" s="2" t="s">
        <v>126</v>
      </c>
      <c r="B930" s="4">
        <v>52</v>
      </c>
      <c r="C930" s="4">
        <v>2</v>
      </c>
      <c r="D930" s="4">
        <v>1</v>
      </c>
      <c r="E930" s="4">
        <v>2</v>
      </c>
      <c r="F930" s="6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1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  <c r="BM930" s="3">
        <v>0</v>
      </c>
    </row>
    <row r="931" spans="1:65" x14ac:dyDescent="0.25">
      <c r="A931" s="2" t="s">
        <v>126</v>
      </c>
      <c r="B931" s="4">
        <v>52</v>
      </c>
      <c r="C931" s="4">
        <v>2</v>
      </c>
      <c r="D931" s="4">
        <v>1</v>
      </c>
      <c r="E931" s="4">
        <v>3</v>
      </c>
      <c r="F931" s="6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1</v>
      </c>
      <c r="M931" s="3">
        <v>0</v>
      </c>
      <c r="N931" s="3">
        <v>0</v>
      </c>
      <c r="O931" s="3">
        <v>0</v>
      </c>
      <c r="P931" s="3">
        <v>1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  <c r="BK931" s="3">
        <v>0</v>
      </c>
      <c r="BL931" s="3">
        <v>0</v>
      </c>
      <c r="BM931" s="3">
        <v>0</v>
      </c>
    </row>
    <row r="932" spans="1:65" x14ac:dyDescent="0.25">
      <c r="A932" s="2" t="s">
        <v>126</v>
      </c>
      <c r="B932" s="4">
        <v>52</v>
      </c>
      <c r="C932" s="4">
        <v>2</v>
      </c>
      <c r="D932" s="4">
        <v>2</v>
      </c>
      <c r="E932" s="4">
        <v>1</v>
      </c>
      <c r="F932" s="6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1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</row>
    <row r="933" spans="1:65" x14ac:dyDescent="0.25">
      <c r="A933" s="2" t="s">
        <v>126</v>
      </c>
      <c r="B933" s="4">
        <v>52</v>
      </c>
      <c r="C933" s="4">
        <v>2</v>
      </c>
      <c r="D933" s="4">
        <v>2</v>
      </c>
      <c r="E933" s="4">
        <v>2</v>
      </c>
      <c r="F933" s="6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1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0</v>
      </c>
      <c r="BK933" s="3">
        <v>0</v>
      </c>
      <c r="BL933" s="3">
        <v>0</v>
      </c>
      <c r="BM933" s="3">
        <v>0</v>
      </c>
    </row>
    <row r="934" spans="1:65" x14ac:dyDescent="0.25">
      <c r="A934" s="2" t="s">
        <v>126</v>
      </c>
      <c r="B934" s="4">
        <v>52</v>
      </c>
      <c r="C934" s="4">
        <v>2</v>
      </c>
      <c r="D934" s="4">
        <v>2</v>
      </c>
      <c r="E934" s="4">
        <v>3</v>
      </c>
      <c r="F934" s="6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0</v>
      </c>
      <c r="BK934" s="3">
        <v>0</v>
      </c>
      <c r="BL934" s="3">
        <v>0</v>
      </c>
      <c r="BM934" s="3">
        <v>0</v>
      </c>
    </row>
    <row r="935" spans="1:65" x14ac:dyDescent="0.25">
      <c r="A935" s="2" t="s">
        <v>126</v>
      </c>
      <c r="B935" s="4">
        <v>52</v>
      </c>
      <c r="C935" s="4">
        <v>2</v>
      </c>
      <c r="D935" s="4">
        <v>3</v>
      </c>
      <c r="E935" s="4">
        <v>1</v>
      </c>
      <c r="F935" s="6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1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3">
        <v>0</v>
      </c>
    </row>
    <row r="936" spans="1:65" x14ac:dyDescent="0.25">
      <c r="A936" s="2" t="s">
        <v>126</v>
      </c>
      <c r="B936" s="4">
        <v>52</v>
      </c>
      <c r="C936" s="4">
        <v>2</v>
      </c>
      <c r="D936" s="4">
        <v>3</v>
      </c>
      <c r="E936" s="4">
        <v>2</v>
      </c>
      <c r="F936" s="6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3">
        <v>0</v>
      </c>
      <c r="BK936" s="3">
        <v>0</v>
      </c>
      <c r="BL936" s="3">
        <v>0</v>
      </c>
      <c r="BM936" s="3">
        <v>0</v>
      </c>
    </row>
    <row r="937" spans="1:65" x14ac:dyDescent="0.25">
      <c r="A937" s="2" t="s">
        <v>126</v>
      </c>
      <c r="B937" s="4">
        <v>52</v>
      </c>
      <c r="C937" s="4">
        <v>2</v>
      </c>
      <c r="D937" s="4">
        <v>3</v>
      </c>
      <c r="E937" s="4">
        <v>3</v>
      </c>
      <c r="F937" s="6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0</v>
      </c>
      <c r="BK937" s="3">
        <v>0</v>
      </c>
      <c r="BL937" s="3">
        <v>0</v>
      </c>
      <c r="BM937" s="3">
        <v>0</v>
      </c>
    </row>
    <row r="938" spans="1:65" x14ac:dyDescent="0.25">
      <c r="A938" s="2" t="s">
        <v>127</v>
      </c>
      <c r="B938" s="4">
        <v>53</v>
      </c>
      <c r="C938" s="4">
        <v>1</v>
      </c>
      <c r="D938" s="4">
        <v>1</v>
      </c>
      <c r="E938" s="4">
        <v>1</v>
      </c>
      <c r="F938" s="4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1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2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1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2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0</v>
      </c>
      <c r="BK938" s="3">
        <v>0</v>
      </c>
      <c r="BL938" s="3">
        <v>2</v>
      </c>
      <c r="BM938" s="3">
        <v>0</v>
      </c>
    </row>
    <row r="939" spans="1:65" x14ac:dyDescent="0.25">
      <c r="A939" s="2" t="s">
        <v>127</v>
      </c>
      <c r="B939" s="4">
        <v>53</v>
      </c>
      <c r="C939" s="4">
        <v>1</v>
      </c>
      <c r="D939" s="4">
        <v>1</v>
      </c>
      <c r="E939" s="4">
        <v>2</v>
      </c>
      <c r="F939" s="4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1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3">
        <v>0</v>
      </c>
      <c r="BK939" s="3">
        <v>0</v>
      </c>
      <c r="BL939" s="3">
        <v>0</v>
      </c>
      <c r="BM939" s="3">
        <v>0</v>
      </c>
    </row>
    <row r="940" spans="1:65" x14ac:dyDescent="0.25">
      <c r="A940" s="2" t="s">
        <v>127</v>
      </c>
      <c r="B940" s="4">
        <v>53</v>
      </c>
      <c r="C940" s="4">
        <v>1</v>
      </c>
      <c r="D940" s="4">
        <v>1</v>
      </c>
      <c r="E940" s="4">
        <v>3</v>
      </c>
      <c r="F940" s="4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1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1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>
        <v>0</v>
      </c>
      <c r="BK940" s="3">
        <v>0</v>
      </c>
      <c r="BL940" s="3">
        <v>0</v>
      </c>
      <c r="BM940" s="3">
        <v>0</v>
      </c>
    </row>
    <row r="941" spans="1:65" x14ac:dyDescent="0.25">
      <c r="A941" s="2" t="s">
        <v>127</v>
      </c>
      <c r="B941" s="4">
        <v>53</v>
      </c>
      <c r="C941" s="4">
        <v>1</v>
      </c>
      <c r="D941" s="4">
        <v>2</v>
      </c>
      <c r="E941" s="4">
        <v>1</v>
      </c>
      <c r="F941" s="4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0</v>
      </c>
      <c r="BB941" s="3">
        <v>0</v>
      </c>
      <c r="BC941" s="3">
        <v>0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0</v>
      </c>
      <c r="BK941" s="3">
        <v>0</v>
      </c>
      <c r="BL941" s="3">
        <v>0</v>
      </c>
      <c r="BM941" s="3">
        <v>0</v>
      </c>
    </row>
    <row r="942" spans="1:65" x14ac:dyDescent="0.25">
      <c r="A942" s="2" t="s">
        <v>127</v>
      </c>
      <c r="B942" s="4">
        <v>53</v>
      </c>
      <c r="C942" s="4">
        <v>1</v>
      </c>
      <c r="D942" s="4">
        <v>2</v>
      </c>
      <c r="E942" s="4">
        <v>2</v>
      </c>
      <c r="F942" s="4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1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0</v>
      </c>
      <c r="BK942" s="3">
        <v>0</v>
      </c>
      <c r="BL942" s="3">
        <v>0</v>
      </c>
      <c r="BM942" s="3">
        <v>0</v>
      </c>
    </row>
    <row r="943" spans="1:65" x14ac:dyDescent="0.25">
      <c r="A943" s="2" t="s">
        <v>127</v>
      </c>
      <c r="B943" s="4">
        <v>53</v>
      </c>
      <c r="C943" s="4">
        <v>1</v>
      </c>
      <c r="D943" s="4">
        <v>2</v>
      </c>
      <c r="E943" s="4">
        <v>3</v>
      </c>
      <c r="F943" s="4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3">
        <v>0</v>
      </c>
      <c r="BK943" s="3">
        <v>0</v>
      </c>
      <c r="BL943" s="3">
        <v>0</v>
      </c>
      <c r="BM943" s="3">
        <v>0</v>
      </c>
    </row>
    <row r="944" spans="1:65" x14ac:dyDescent="0.25">
      <c r="A944" s="2" t="s">
        <v>127</v>
      </c>
      <c r="B944" s="4">
        <v>53</v>
      </c>
      <c r="C944" s="4">
        <v>1</v>
      </c>
      <c r="D944" s="4">
        <v>3</v>
      </c>
      <c r="E944" s="4">
        <v>1</v>
      </c>
      <c r="F944" s="4">
        <v>0</v>
      </c>
      <c r="G944" s="3">
        <v>1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>
        <v>0</v>
      </c>
      <c r="BK944" s="3">
        <v>0</v>
      </c>
      <c r="BL944" s="3">
        <v>0</v>
      </c>
      <c r="BM944" s="3">
        <v>0</v>
      </c>
    </row>
    <row r="945" spans="1:65" x14ac:dyDescent="0.25">
      <c r="A945" s="2" t="s">
        <v>127</v>
      </c>
      <c r="B945" s="4">
        <v>53</v>
      </c>
      <c r="C945" s="4">
        <v>1</v>
      </c>
      <c r="D945" s="4">
        <v>3</v>
      </c>
      <c r="E945" s="4">
        <v>2</v>
      </c>
      <c r="F945" s="4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1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3">
        <v>0</v>
      </c>
      <c r="BK945" s="3">
        <v>0</v>
      </c>
      <c r="BL945" s="3">
        <v>0</v>
      </c>
      <c r="BM945" s="3">
        <v>0</v>
      </c>
    </row>
    <row r="946" spans="1:65" x14ac:dyDescent="0.25">
      <c r="A946" s="2" t="s">
        <v>127</v>
      </c>
      <c r="B946" s="4">
        <v>53</v>
      </c>
      <c r="C946" s="4">
        <v>1</v>
      </c>
      <c r="D946" s="4">
        <v>3</v>
      </c>
      <c r="E946" s="4">
        <v>3</v>
      </c>
      <c r="F946" s="4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1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0</v>
      </c>
      <c r="BI946" s="3">
        <v>0</v>
      </c>
      <c r="BJ946" s="3">
        <v>0</v>
      </c>
      <c r="BK946" s="3">
        <v>0</v>
      </c>
      <c r="BL946" s="3">
        <v>0</v>
      </c>
      <c r="BM946" s="3">
        <v>0</v>
      </c>
    </row>
    <row r="947" spans="1:65" x14ac:dyDescent="0.25">
      <c r="A947" s="2" t="s">
        <v>127</v>
      </c>
      <c r="B947" s="4">
        <v>53</v>
      </c>
      <c r="C947" s="4">
        <v>2</v>
      </c>
      <c r="D947" s="4">
        <v>1</v>
      </c>
      <c r="E947" s="4">
        <v>1</v>
      </c>
      <c r="F947" s="6">
        <v>0</v>
      </c>
      <c r="G947" s="3">
        <v>0</v>
      </c>
      <c r="H947" s="3">
        <v>0</v>
      </c>
      <c r="I947" s="3">
        <v>1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1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2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3">
        <v>0</v>
      </c>
      <c r="BL947" s="3">
        <v>1</v>
      </c>
      <c r="BM947" s="3">
        <v>0</v>
      </c>
    </row>
    <row r="948" spans="1:65" x14ac:dyDescent="0.25">
      <c r="A948" s="2" t="s">
        <v>127</v>
      </c>
      <c r="B948" s="4">
        <v>53</v>
      </c>
      <c r="C948" s="4">
        <v>2</v>
      </c>
      <c r="D948" s="4">
        <v>1</v>
      </c>
      <c r="E948" s="4">
        <v>2</v>
      </c>
      <c r="F948" s="6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1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>
        <v>0</v>
      </c>
      <c r="BK948" s="3">
        <v>0</v>
      </c>
      <c r="BL948" s="3">
        <v>1</v>
      </c>
      <c r="BM948" s="3">
        <v>0</v>
      </c>
    </row>
    <row r="949" spans="1:65" x14ac:dyDescent="0.25">
      <c r="A949" s="2" t="s">
        <v>127</v>
      </c>
      <c r="B949" s="4">
        <v>53</v>
      </c>
      <c r="C949" s="4">
        <v>2</v>
      </c>
      <c r="D949" s="4">
        <v>1</v>
      </c>
      <c r="E949" s="4">
        <v>3</v>
      </c>
      <c r="F949" s="6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1</v>
      </c>
      <c r="BA949" s="3">
        <v>0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3">
        <v>0</v>
      </c>
      <c r="BK949" s="3">
        <v>0</v>
      </c>
      <c r="BL949" s="3">
        <v>0</v>
      </c>
      <c r="BM949" s="3">
        <v>0</v>
      </c>
    </row>
    <row r="950" spans="1:65" x14ac:dyDescent="0.25">
      <c r="A950" s="2" t="s">
        <v>127</v>
      </c>
      <c r="B950" s="4">
        <v>53</v>
      </c>
      <c r="C950" s="4">
        <v>2</v>
      </c>
      <c r="D950" s="4">
        <v>2</v>
      </c>
      <c r="E950" s="4">
        <v>1</v>
      </c>
      <c r="F950" s="6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1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0</v>
      </c>
      <c r="BK950" s="3">
        <v>0</v>
      </c>
      <c r="BL950" s="3">
        <v>0</v>
      </c>
      <c r="BM950" s="3">
        <v>0</v>
      </c>
    </row>
    <row r="951" spans="1:65" x14ac:dyDescent="0.25">
      <c r="A951" s="2" t="s">
        <v>127</v>
      </c>
      <c r="B951" s="4">
        <v>53</v>
      </c>
      <c r="C951" s="4">
        <v>2</v>
      </c>
      <c r="D951" s="4">
        <v>2</v>
      </c>
      <c r="E951" s="4">
        <v>2</v>
      </c>
      <c r="F951" s="6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0</v>
      </c>
      <c r="BK951" s="3">
        <v>1</v>
      </c>
      <c r="BL951" s="3">
        <v>0</v>
      </c>
      <c r="BM951" s="3">
        <v>0</v>
      </c>
    </row>
    <row r="952" spans="1:65" x14ac:dyDescent="0.25">
      <c r="A952" s="2" t="s">
        <v>127</v>
      </c>
      <c r="B952" s="4">
        <v>53</v>
      </c>
      <c r="C952" s="4">
        <v>2</v>
      </c>
      <c r="D952" s="4">
        <v>2</v>
      </c>
      <c r="E952" s="4">
        <v>3</v>
      </c>
      <c r="F952" s="6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0</v>
      </c>
      <c r="BJ952" s="3">
        <v>0</v>
      </c>
      <c r="BK952" s="3">
        <v>0</v>
      </c>
      <c r="BL952" s="3">
        <v>0</v>
      </c>
      <c r="BM952" s="3">
        <v>0</v>
      </c>
    </row>
    <row r="953" spans="1:65" x14ac:dyDescent="0.25">
      <c r="A953" s="2" t="s">
        <v>127</v>
      </c>
      <c r="B953" s="4">
        <v>53</v>
      </c>
      <c r="C953" s="4">
        <v>2</v>
      </c>
      <c r="D953" s="4">
        <v>3</v>
      </c>
      <c r="E953" s="4">
        <v>1</v>
      </c>
      <c r="F953" s="6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0</v>
      </c>
    </row>
    <row r="954" spans="1:65" x14ac:dyDescent="0.25">
      <c r="A954" s="2" t="s">
        <v>127</v>
      </c>
      <c r="B954" s="4">
        <v>53</v>
      </c>
      <c r="C954" s="4">
        <v>2</v>
      </c>
      <c r="D954" s="4">
        <v>3</v>
      </c>
      <c r="E954" s="4">
        <v>2</v>
      </c>
      <c r="F954" s="6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0</v>
      </c>
      <c r="BK954" s="3">
        <v>0</v>
      </c>
      <c r="BL954" s="3">
        <v>0</v>
      </c>
      <c r="BM954" s="3">
        <v>0</v>
      </c>
    </row>
    <row r="955" spans="1:65" x14ac:dyDescent="0.25">
      <c r="A955" s="2" t="s">
        <v>127</v>
      </c>
      <c r="B955" s="4">
        <v>53</v>
      </c>
      <c r="C955" s="4">
        <v>2</v>
      </c>
      <c r="D955" s="4">
        <v>3</v>
      </c>
      <c r="E955" s="4">
        <v>3</v>
      </c>
      <c r="F955" s="6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0</v>
      </c>
      <c r="BK955" s="3">
        <v>0</v>
      </c>
      <c r="BL955" s="3">
        <v>0</v>
      </c>
      <c r="BM955" s="3">
        <v>0</v>
      </c>
    </row>
    <row r="956" spans="1:65" x14ac:dyDescent="0.25">
      <c r="A956" s="2" t="s">
        <v>128</v>
      </c>
      <c r="B956" s="4">
        <v>54</v>
      </c>
      <c r="C956" s="4">
        <v>1</v>
      </c>
      <c r="D956" s="4">
        <v>1</v>
      </c>
      <c r="E956" s="4">
        <v>1</v>
      </c>
      <c r="F956" s="4">
        <v>0</v>
      </c>
      <c r="G956" s="3">
        <v>3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1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1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0</v>
      </c>
      <c r="BJ956" s="3">
        <v>0</v>
      </c>
      <c r="BK956" s="3">
        <v>0</v>
      </c>
      <c r="BL956" s="3">
        <v>2</v>
      </c>
      <c r="BM956" s="3">
        <v>0</v>
      </c>
    </row>
    <row r="957" spans="1:65" x14ac:dyDescent="0.25">
      <c r="A957" s="2" t="s">
        <v>128</v>
      </c>
      <c r="B957" s="4">
        <v>54</v>
      </c>
      <c r="C957" s="4">
        <v>1</v>
      </c>
      <c r="D957" s="4">
        <v>1</v>
      </c>
      <c r="E957" s="4">
        <v>2</v>
      </c>
      <c r="F957" s="4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1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2</v>
      </c>
      <c r="AC957" s="3">
        <v>0</v>
      </c>
      <c r="AD957" s="3">
        <v>0</v>
      </c>
      <c r="AE957" s="3">
        <v>0</v>
      </c>
      <c r="AF957" s="3">
        <v>1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0</v>
      </c>
      <c r="BK957" s="3">
        <v>0</v>
      </c>
      <c r="BL957" s="3">
        <v>1</v>
      </c>
      <c r="BM957" s="3">
        <v>0</v>
      </c>
    </row>
    <row r="958" spans="1:65" x14ac:dyDescent="0.25">
      <c r="A958" s="2" t="s">
        <v>128</v>
      </c>
      <c r="B958" s="4">
        <v>54</v>
      </c>
      <c r="C958" s="4">
        <v>1</v>
      </c>
      <c r="D958" s="4">
        <v>1</v>
      </c>
      <c r="E958" s="4">
        <v>3</v>
      </c>
      <c r="F958" s="4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1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1</v>
      </c>
      <c r="BA958" s="3">
        <v>0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>
        <v>0</v>
      </c>
      <c r="BK958" s="3">
        <v>0</v>
      </c>
      <c r="BL958" s="3">
        <v>0</v>
      </c>
      <c r="BM958" s="3">
        <v>0</v>
      </c>
    </row>
    <row r="959" spans="1:65" x14ac:dyDescent="0.25">
      <c r="A959" s="2" t="s">
        <v>128</v>
      </c>
      <c r="B959" s="4">
        <v>54</v>
      </c>
      <c r="C959" s="4">
        <v>1</v>
      </c>
      <c r="D959" s="4">
        <v>2</v>
      </c>
      <c r="E959" s="4">
        <v>1</v>
      </c>
      <c r="F959" s="4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0</v>
      </c>
      <c r="BD959" s="3">
        <v>0</v>
      </c>
      <c r="BE959" s="3">
        <v>0</v>
      </c>
      <c r="BF959" s="3">
        <v>0</v>
      </c>
      <c r="BG959" s="3">
        <v>0</v>
      </c>
      <c r="BH959" s="3">
        <v>0</v>
      </c>
      <c r="BI959" s="3">
        <v>0</v>
      </c>
      <c r="BJ959" s="3">
        <v>0</v>
      </c>
      <c r="BK959" s="3">
        <v>0</v>
      </c>
      <c r="BL959" s="3">
        <v>0</v>
      </c>
      <c r="BM959" s="3">
        <v>0</v>
      </c>
    </row>
    <row r="960" spans="1:65" x14ac:dyDescent="0.25">
      <c r="A960" s="2" t="s">
        <v>128</v>
      </c>
      <c r="B960" s="4">
        <v>54</v>
      </c>
      <c r="C960" s="4">
        <v>1</v>
      </c>
      <c r="D960" s="4">
        <v>2</v>
      </c>
      <c r="E960" s="4">
        <v>2</v>
      </c>
      <c r="F960" s="4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>
        <v>0</v>
      </c>
      <c r="BK960" s="3">
        <v>0</v>
      </c>
      <c r="BL960" s="3">
        <v>1</v>
      </c>
      <c r="BM960" s="3">
        <v>0</v>
      </c>
    </row>
    <row r="961" spans="1:65" x14ac:dyDescent="0.25">
      <c r="A961" s="2" t="s">
        <v>128</v>
      </c>
      <c r="B961" s="4">
        <v>54</v>
      </c>
      <c r="C961" s="4">
        <v>1</v>
      </c>
      <c r="D961" s="4">
        <v>2</v>
      </c>
      <c r="E961" s="4">
        <v>3</v>
      </c>
      <c r="F961" s="4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1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0</v>
      </c>
      <c r="BD961" s="3">
        <v>0</v>
      </c>
      <c r="BE961" s="3">
        <v>0</v>
      </c>
      <c r="BF961" s="3">
        <v>0</v>
      </c>
      <c r="BG961" s="3">
        <v>0</v>
      </c>
      <c r="BH961" s="3">
        <v>0</v>
      </c>
      <c r="BI961" s="3">
        <v>0</v>
      </c>
      <c r="BJ961" s="3">
        <v>0</v>
      </c>
      <c r="BK961" s="3">
        <v>0</v>
      </c>
      <c r="BL961" s="3">
        <v>0</v>
      </c>
      <c r="BM961" s="3">
        <v>0</v>
      </c>
    </row>
    <row r="962" spans="1:65" x14ac:dyDescent="0.25">
      <c r="A962" s="2" t="s">
        <v>128</v>
      </c>
      <c r="B962" s="4">
        <v>54</v>
      </c>
      <c r="C962" s="4">
        <v>1</v>
      </c>
      <c r="D962" s="4">
        <v>3</v>
      </c>
      <c r="E962" s="4">
        <v>1</v>
      </c>
      <c r="F962" s="4">
        <v>0</v>
      </c>
      <c r="G962" s="3">
        <v>1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0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0</v>
      </c>
      <c r="BK962" s="3">
        <v>0</v>
      </c>
      <c r="BL962" s="3">
        <v>0</v>
      </c>
      <c r="BM962" s="3">
        <v>0</v>
      </c>
    </row>
    <row r="963" spans="1:65" x14ac:dyDescent="0.25">
      <c r="A963" s="2" t="s">
        <v>128</v>
      </c>
      <c r="B963" s="4">
        <v>54</v>
      </c>
      <c r="C963" s="4">
        <v>1</v>
      </c>
      <c r="D963" s="4">
        <v>3</v>
      </c>
      <c r="E963" s="4">
        <v>2</v>
      </c>
      <c r="F963" s="4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</row>
    <row r="964" spans="1:65" x14ac:dyDescent="0.25">
      <c r="A964" s="2" t="s">
        <v>128</v>
      </c>
      <c r="B964" s="4">
        <v>54</v>
      </c>
      <c r="C964" s="4">
        <v>1</v>
      </c>
      <c r="D964" s="4">
        <v>3</v>
      </c>
      <c r="E964" s="4">
        <v>3</v>
      </c>
      <c r="F964" s="4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0</v>
      </c>
      <c r="BD964" s="3">
        <v>0</v>
      </c>
      <c r="BE964" s="3">
        <v>0</v>
      </c>
      <c r="BF964" s="3">
        <v>0</v>
      </c>
      <c r="BG964" s="3">
        <v>0</v>
      </c>
      <c r="BH964" s="3">
        <v>1</v>
      </c>
      <c r="BI964" s="3">
        <v>0</v>
      </c>
      <c r="BJ964" s="3">
        <v>0</v>
      </c>
      <c r="BK964" s="3">
        <v>0</v>
      </c>
      <c r="BL964" s="3">
        <v>0</v>
      </c>
      <c r="BM964" s="3">
        <v>0</v>
      </c>
    </row>
    <row r="965" spans="1:65" x14ac:dyDescent="0.25">
      <c r="A965" s="2" t="s">
        <v>128</v>
      </c>
      <c r="B965" s="4">
        <v>54</v>
      </c>
      <c r="C965" s="4">
        <v>2</v>
      </c>
      <c r="D965" s="4">
        <v>1</v>
      </c>
      <c r="E965" s="4">
        <v>1</v>
      </c>
      <c r="F965" s="6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1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0</v>
      </c>
      <c r="BK965" s="3">
        <v>0</v>
      </c>
      <c r="BL965" s="3">
        <v>1</v>
      </c>
      <c r="BM965" s="3">
        <v>0</v>
      </c>
    </row>
    <row r="966" spans="1:65" x14ac:dyDescent="0.25">
      <c r="A966" s="2" t="s">
        <v>128</v>
      </c>
      <c r="B966" s="4">
        <v>54</v>
      </c>
      <c r="C966" s="4">
        <v>2</v>
      </c>
      <c r="D966" s="4">
        <v>1</v>
      </c>
      <c r="E966" s="4">
        <v>2</v>
      </c>
      <c r="F966" s="6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2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>
        <v>0</v>
      </c>
      <c r="BK966" s="3">
        <v>0</v>
      </c>
      <c r="BL966" s="3">
        <v>2</v>
      </c>
      <c r="BM966" s="3">
        <v>0</v>
      </c>
    </row>
    <row r="967" spans="1:65" x14ac:dyDescent="0.25">
      <c r="A967" s="2" t="s">
        <v>128</v>
      </c>
      <c r="B967" s="4">
        <v>54</v>
      </c>
      <c r="C967" s="4">
        <v>2</v>
      </c>
      <c r="D967" s="4">
        <v>1</v>
      </c>
      <c r="E967" s="4">
        <v>3</v>
      </c>
      <c r="F967" s="6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1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1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1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</v>
      </c>
      <c r="BF967" s="3">
        <v>0</v>
      </c>
      <c r="BG967" s="3">
        <v>0</v>
      </c>
      <c r="BH967" s="3">
        <v>1</v>
      </c>
      <c r="BI967" s="3">
        <v>0</v>
      </c>
      <c r="BJ967" s="3">
        <v>0</v>
      </c>
      <c r="BK967" s="3">
        <v>0</v>
      </c>
      <c r="BL967" s="3">
        <v>0</v>
      </c>
      <c r="BM967" s="3">
        <v>0</v>
      </c>
    </row>
    <row r="968" spans="1:65" x14ac:dyDescent="0.25">
      <c r="A968" s="2" t="s">
        <v>128</v>
      </c>
      <c r="B968" s="4">
        <v>54</v>
      </c>
      <c r="C968" s="4">
        <v>2</v>
      </c>
      <c r="D968" s="4">
        <v>2</v>
      </c>
      <c r="E968" s="4">
        <v>1</v>
      </c>
      <c r="F968" s="6">
        <v>0</v>
      </c>
      <c r="G968" s="3">
        <v>2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1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1</v>
      </c>
      <c r="BA968" s="3">
        <v>0</v>
      </c>
      <c r="BB968" s="3">
        <v>0</v>
      </c>
      <c r="BC968" s="3">
        <v>0</v>
      </c>
      <c r="BD968" s="3">
        <v>0</v>
      </c>
      <c r="BE968" s="3">
        <v>0</v>
      </c>
      <c r="BF968" s="3">
        <v>0</v>
      </c>
      <c r="BG968" s="3">
        <v>0</v>
      </c>
      <c r="BH968" s="3">
        <v>0</v>
      </c>
      <c r="BI968" s="3">
        <v>0</v>
      </c>
      <c r="BJ968" s="3">
        <v>0</v>
      </c>
      <c r="BK968" s="3">
        <v>0</v>
      </c>
      <c r="BL968" s="3">
        <v>0</v>
      </c>
      <c r="BM968" s="3">
        <v>0</v>
      </c>
    </row>
    <row r="969" spans="1:65" x14ac:dyDescent="0.25">
      <c r="A969" s="2" t="s">
        <v>128</v>
      </c>
      <c r="B969" s="4">
        <v>54</v>
      </c>
      <c r="C969" s="4">
        <v>2</v>
      </c>
      <c r="D969" s="4">
        <v>2</v>
      </c>
      <c r="E969" s="4">
        <v>2</v>
      </c>
      <c r="F969" s="6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1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1</v>
      </c>
      <c r="BC969" s="3">
        <v>0</v>
      </c>
      <c r="BD969" s="3">
        <v>0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3">
        <v>0</v>
      </c>
      <c r="BK969" s="3">
        <v>0</v>
      </c>
      <c r="BL969" s="3">
        <v>0</v>
      </c>
      <c r="BM969" s="3">
        <v>0</v>
      </c>
    </row>
    <row r="970" spans="1:65" x14ac:dyDescent="0.25">
      <c r="A970" s="2" t="s">
        <v>128</v>
      </c>
      <c r="B970" s="4">
        <v>54</v>
      </c>
      <c r="C970" s="4">
        <v>2</v>
      </c>
      <c r="D970" s="4">
        <v>2</v>
      </c>
      <c r="E970" s="4">
        <v>3</v>
      </c>
      <c r="F970" s="6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0</v>
      </c>
      <c r="BD970" s="3">
        <v>0</v>
      </c>
      <c r="BE970" s="3">
        <v>0</v>
      </c>
      <c r="BF970" s="3">
        <v>0</v>
      </c>
      <c r="BG970" s="3">
        <v>0</v>
      </c>
      <c r="BH970" s="3">
        <v>0</v>
      </c>
      <c r="BI970" s="3">
        <v>0</v>
      </c>
      <c r="BJ970" s="3">
        <v>0</v>
      </c>
      <c r="BK970" s="3">
        <v>0</v>
      </c>
      <c r="BL970" s="3">
        <v>0</v>
      </c>
      <c r="BM970" s="3">
        <v>0</v>
      </c>
    </row>
    <row r="971" spans="1:65" x14ac:dyDescent="0.25">
      <c r="A971" s="2" t="s">
        <v>128</v>
      </c>
      <c r="B971" s="4">
        <v>54</v>
      </c>
      <c r="C971" s="4">
        <v>2</v>
      </c>
      <c r="D971" s="4">
        <v>3</v>
      </c>
      <c r="E971" s="4">
        <v>1</v>
      </c>
      <c r="F971" s="6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>
        <v>0</v>
      </c>
      <c r="BK971" s="3">
        <v>0</v>
      </c>
      <c r="BL971" s="3">
        <v>0</v>
      </c>
      <c r="BM971" s="3">
        <v>0</v>
      </c>
    </row>
    <row r="972" spans="1:65" x14ac:dyDescent="0.25">
      <c r="A972" s="2" t="s">
        <v>128</v>
      </c>
      <c r="B972" s="4">
        <v>54</v>
      </c>
      <c r="C972" s="4">
        <v>2</v>
      </c>
      <c r="D972" s="4">
        <v>3</v>
      </c>
      <c r="E972" s="4">
        <v>2</v>
      </c>
      <c r="F972" s="6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0</v>
      </c>
      <c r="BK972" s="3">
        <v>0</v>
      </c>
      <c r="BL972" s="3">
        <v>0</v>
      </c>
      <c r="BM972" s="3">
        <v>0</v>
      </c>
    </row>
    <row r="973" spans="1:65" x14ac:dyDescent="0.25">
      <c r="A973" s="2" t="s">
        <v>128</v>
      </c>
      <c r="B973" s="4">
        <v>54</v>
      </c>
      <c r="C973" s="4">
        <v>2</v>
      </c>
      <c r="D973" s="4">
        <v>3</v>
      </c>
      <c r="E973" s="4">
        <v>3</v>
      </c>
      <c r="F973" s="6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1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3">
        <v>0</v>
      </c>
      <c r="BK973" s="3">
        <v>0</v>
      </c>
      <c r="BL973" s="3">
        <v>0</v>
      </c>
      <c r="BM973" s="3">
        <v>0</v>
      </c>
    </row>
    <row r="974" spans="1:65" x14ac:dyDescent="0.25">
      <c r="A974" s="2" t="s">
        <v>129</v>
      </c>
      <c r="B974" s="4">
        <v>55</v>
      </c>
      <c r="C974" s="4">
        <v>1</v>
      </c>
      <c r="D974" s="4">
        <v>1</v>
      </c>
      <c r="E974" s="4">
        <v>1</v>
      </c>
      <c r="F974" s="4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</row>
    <row r="975" spans="1:65" x14ac:dyDescent="0.25">
      <c r="A975" s="2" t="s">
        <v>129</v>
      </c>
      <c r="B975" s="4">
        <v>55</v>
      </c>
      <c r="C975" s="4">
        <v>1</v>
      </c>
      <c r="D975" s="4">
        <v>1</v>
      </c>
      <c r="E975" s="4">
        <v>2</v>
      </c>
      <c r="F975" s="4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2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1</v>
      </c>
      <c r="BB975" s="3">
        <v>0</v>
      </c>
      <c r="BC975" s="3">
        <v>0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0</v>
      </c>
      <c r="BK975" s="3">
        <v>0</v>
      </c>
      <c r="BL975" s="3">
        <v>1</v>
      </c>
      <c r="BM975" s="3">
        <v>0</v>
      </c>
    </row>
    <row r="976" spans="1:65" x14ac:dyDescent="0.25">
      <c r="A976" s="2" t="s">
        <v>129</v>
      </c>
      <c r="B976" s="4">
        <v>55</v>
      </c>
      <c r="C976" s="4">
        <v>1</v>
      </c>
      <c r="D976" s="4">
        <v>1</v>
      </c>
      <c r="E976" s="4">
        <v>3</v>
      </c>
      <c r="F976" s="4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1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1</v>
      </c>
      <c r="AC976" s="3">
        <v>0</v>
      </c>
      <c r="AD976" s="3">
        <v>0</v>
      </c>
      <c r="AE976" s="3">
        <v>0</v>
      </c>
      <c r="AF976" s="3">
        <v>1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3">
        <v>0</v>
      </c>
      <c r="BK976" s="3">
        <v>0</v>
      </c>
      <c r="BL976" s="3">
        <v>0</v>
      </c>
      <c r="BM976" s="3">
        <v>0</v>
      </c>
    </row>
    <row r="977" spans="1:65" x14ac:dyDescent="0.25">
      <c r="A977" s="2" t="s">
        <v>129</v>
      </c>
      <c r="B977" s="4">
        <v>55</v>
      </c>
      <c r="C977" s="4">
        <v>1</v>
      </c>
      <c r="D977" s="4">
        <v>2</v>
      </c>
      <c r="E977" s="4">
        <v>1</v>
      </c>
      <c r="F977" s="4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3">
        <v>0</v>
      </c>
      <c r="BK977" s="3">
        <v>0</v>
      </c>
      <c r="BL977" s="3">
        <v>0</v>
      </c>
      <c r="BM977" s="3">
        <v>0</v>
      </c>
    </row>
    <row r="978" spans="1:65" x14ac:dyDescent="0.25">
      <c r="A978" s="2" t="s">
        <v>129</v>
      </c>
      <c r="B978" s="4">
        <v>55</v>
      </c>
      <c r="C978" s="4">
        <v>1</v>
      </c>
      <c r="D978" s="4">
        <v>2</v>
      </c>
      <c r="E978" s="4">
        <v>2</v>
      </c>
      <c r="F978" s="4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>
        <v>0</v>
      </c>
      <c r="BK978" s="3">
        <v>0</v>
      </c>
      <c r="BL978" s="3">
        <v>1</v>
      </c>
      <c r="BM978" s="3">
        <v>0</v>
      </c>
    </row>
    <row r="979" spans="1:65" x14ac:dyDescent="0.25">
      <c r="A979" s="2" t="s">
        <v>129</v>
      </c>
      <c r="B979" s="4">
        <v>55</v>
      </c>
      <c r="C979" s="4">
        <v>1</v>
      </c>
      <c r="D979" s="4">
        <v>2</v>
      </c>
      <c r="E979" s="4">
        <v>3</v>
      </c>
      <c r="F979" s="4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1</v>
      </c>
      <c r="BA979" s="3">
        <v>1</v>
      </c>
      <c r="BB979" s="3">
        <v>0</v>
      </c>
      <c r="BC979" s="3">
        <v>0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0</v>
      </c>
      <c r="BK979" s="3">
        <v>0</v>
      </c>
      <c r="BL979" s="3">
        <v>1</v>
      </c>
      <c r="BM979" s="3">
        <v>0</v>
      </c>
    </row>
    <row r="980" spans="1:65" x14ac:dyDescent="0.25">
      <c r="A980" s="2" t="s">
        <v>129</v>
      </c>
      <c r="B980" s="4">
        <v>55</v>
      </c>
      <c r="C980" s="4">
        <v>1</v>
      </c>
      <c r="D980" s="4">
        <v>3</v>
      </c>
      <c r="E980" s="4">
        <v>1</v>
      </c>
      <c r="F980" s="4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0</v>
      </c>
      <c r="BK980" s="3">
        <v>0</v>
      </c>
      <c r="BL980" s="3">
        <v>0</v>
      </c>
      <c r="BM980" s="3">
        <v>0</v>
      </c>
    </row>
    <row r="981" spans="1:65" x14ac:dyDescent="0.25">
      <c r="A981" s="2" t="s">
        <v>129</v>
      </c>
      <c r="B981" s="4">
        <v>55</v>
      </c>
      <c r="C981" s="4">
        <v>1</v>
      </c>
      <c r="D981" s="4">
        <v>3</v>
      </c>
      <c r="E981" s="4">
        <v>2</v>
      </c>
      <c r="F981" s="4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1</v>
      </c>
      <c r="Q981" s="3">
        <v>0</v>
      </c>
      <c r="R981" s="3">
        <v>1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0</v>
      </c>
      <c r="BL981" s="3">
        <v>0</v>
      </c>
      <c r="BM981" s="3">
        <v>0</v>
      </c>
    </row>
    <row r="982" spans="1:65" x14ac:dyDescent="0.25">
      <c r="A982" s="2" t="s">
        <v>129</v>
      </c>
      <c r="B982" s="4">
        <v>55</v>
      </c>
      <c r="C982" s="4">
        <v>1</v>
      </c>
      <c r="D982" s="4">
        <v>3</v>
      </c>
      <c r="E982" s="4">
        <v>3</v>
      </c>
      <c r="F982" s="4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1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3">
        <v>0</v>
      </c>
      <c r="BK982" s="3">
        <v>0</v>
      </c>
      <c r="BL982" s="3">
        <v>0</v>
      </c>
      <c r="BM982" s="3">
        <v>0</v>
      </c>
    </row>
    <row r="983" spans="1:65" x14ac:dyDescent="0.25">
      <c r="A983" s="2" t="s">
        <v>129</v>
      </c>
      <c r="B983" s="4">
        <v>55</v>
      </c>
      <c r="C983" s="4">
        <v>2</v>
      </c>
      <c r="D983" s="4">
        <v>1</v>
      </c>
      <c r="E983" s="4">
        <v>1</v>
      </c>
      <c r="F983" s="6">
        <v>0</v>
      </c>
      <c r="G983" s="3">
        <v>4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1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2</v>
      </c>
      <c r="BC983" s="3">
        <v>0</v>
      </c>
      <c r="BD983" s="3">
        <v>0</v>
      </c>
      <c r="BE983" s="3">
        <v>0</v>
      </c>
      <c r="BF983" s="3">
        <v>0</v>
      </c>
      <c r="BG983" s="3">
        <v>0</v>
      </c>
      <c r="BH983" s="3">
        <v>0</v>
      </c>
      <c r="BI983" s="3">
        <v>0</v>
      </c>
      <c r="BJ983" s="3">
        <v>0</v>
      </c>
      <c r="BK983" s="3">
        <v>0</v>
      </c>
      <c r="BL983" s="3">
        <v>0</v>
      </c>
      <c r="BM983" s="3">
        <v>0</v>
      </c>
    </row>
    <row r="984" spans="1:65" x14ac:dyDescent="0.25">
      <c r="A984" s="2" t="s">
        <v>129</v>
      </c>
      <c r="B984" s="4">
        <v>55</v>
      </c>
      <c r="C984" s="4">
        <v>2</v>
      </c>
      <c r="D984" s="4">
        <v>1</v>
      </c>
      <c r="E984" s="4">
        <v>2</v>
      </c>
      <c r="F984" s="6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1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2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1</v>
      </c>
      <c r="BB984" s="3">
        <v>0</v>
      </c>
      <c r="BC984" s="3">
        <v>0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0</v>
      </c>
      <c r="BK984" s="3">
        <v>0</v>
      </c>
      <c r="BL984" s="3">
        <v>0</v>
      </c>
      <c r="BM984" s="3">
        <v>0</v>
      </c>
    </row>
    <row r="985" spans="1:65" x14ac:dyDescent="0.25">
      <c r="A985" s="2" t="s">
        <v>129</v>
      </c>
      <c r="B985" s="4">
        <v>55</v>
      </c>
      <c r="C985" s="4">
        <v>2</v>
      </c>
      <c r="D985" s="4">
        <v>1</v>
      </c>
      <c r="E985" s="4">
        <v>3</v>
      </c>
      <c r="F985" s="6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>
        <v>0</v>
      </c>
      <c r="BK985" s="3">
        <v>0</v>
      </c>
      <c r="BL985" s="3">
        <v>0</v>
      </c>
      <c r="BM985" s="3">
        <v>0</v>
      </c>
    </row>
    <row r="986" spans="1:65" x14ac:dyDescent="0.25">
      <c r="A986" s="2" t="s">
        <v>129</v>
      </c>
      <c r="B986" s="4">
        <v>55</v>
      </c>
      <c r="C986" s="4">
        <v>2</v>
      </c>
      <c r="D986" s="4">
        <v>2</v>
      </c>
      <c r="E986" s="4">
        <v>1</v>
      </c>
      <c r="F986" s="6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1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0</v>
      </c>
      <c r="BD986" s="3">
        <v>0</v>
      </c>
      <c r="BE986" s="3">
        <v>0</v>
      </c>
      <c r="BF986" s="3">
        <v>0</v>
      </c>
      <c r="BG986" s="3">
        <v>0</v>
      </c>
      <c r="BH986" s="3">
        <v>0</v>
      </c>
      <c r="BI986" s="3">
        <v>0</v>
      </c>
      <c r="BJ986" s="3">
        <v>0</v>
      </c>
      <c r="BK986" s="3">
        <v>0</v>
      </c>
      <c r="BL986" s="3">
        <v>0</v>
      </c>
      <c r="BM986" s="3">
        <v>0</v>
      </c>
    </row>
    <row r="987" spans="1:65" x14ac:dyDescent="0.25">
      <c r="A987" s="2" t="s">
        <v>129</v>
      </c>
      <c r="B987" s="4">
        <v>55</v>
      </c>
      <c r="C987" s="4">
        <v>2</v>
      </c>
      <c r="D987" s="4">
        <v>2</v>
      </c>
      <c r="E987" s="4">
        <v>2</v>
      </c>
      <c r="F987" s="6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1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1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>
        <v>0</v>
      </c>
      <c r="BK987" s="3">
        <v>0</v>
      </c>
      <c r="BL987" s="3">
        <v>1</v>
      </c>
      <c r="BM987" s="3">
        <v>0</v>
      </c>
    </row>
    <row r="988" spans="1:65" x14ac:dyDescent="0.25">
      <c r="A988" s="2" t="s">
        <v>129</v>
      </c>
      <c r="B988" s="4">
        <v>55</v>
      </c>
      <c r="C988" s="4">
        <v>2</v>
      </c>
      <c r="D988" s="4">
        <v>2</v>
      </c>
      <c r="E988" s="4">
        <v>3</v>
      </c>
      <c r="F988" s="6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0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0</v>
      </c>
      <c r="BJ988" s="3">
        <v>0</v>
      </c>
      <c r="BK988" s="3">
        <v>0</v>
      </c>
      <c r="BL988" s="3">
        <v>0</v>
      </c>
      <c r="BM988" s="3">
        <v>0</v>
      </c>
    </row>
    <row r="989" spans="1:65" x14ac:dyDescent="0.25">
      <c r="A989" s="2" t="s">
        <v>129</v>
      </c>
      <c r="B989" s="4">
        <v>55</v>
      </c>
      <c r="C989" s="4">
        <v>2</v>
      </c>
      <c r="D989" s="4">
        <v>3</v>
      </c>
      <c r="E989" s="4">
        <v>1</v>
      </c>
      <c r="F989" s="6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1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3">
        <v>0</v>
      </c>
      <c r="BK989" s="3">
        <v>0</v>
      </c>
      <c r="BL989" s="3">
        <v>0</v>
      </c>
      <c r="BM989" s="3">
        <v>0</v>
      </c>
    </row>
    <row r="990" spans="1:65" x14ac:dyDescent="0.25">
      <c r="A990" s="2" t="s">
        <v>129</v>
      </c>
      <c r="B990" s="4">
        <v>55</v>
      </c>
      <c r="C990" s="4">
        <v>2</v>
      </c>
      <c r="D990" s="4">
        <v>3</v>
      </c>
      <c r="E990" s="4">
        <v>2</v>
      </c>
      <c r="F990" s="6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3">
        <v>0</v>
      </c>
      <c r="BK990" s="3">
        <v>0</v>
      </c>
      <c r="BL990" s="3">
        <v>1</v>
      </c>
      <c r="BM990" s="3">
        <v>0</v>
      </c>
    </row>
    <row r="991" spans="1:65" x14ac:dyDescent="0.25">
      <c r="A991" s="2" t="s">
        <v>129</v>
      </c>
      <c r="B991" s="4">
        <v>55</v>
      </c>
      <c r="C991" s="4">
        <v>2</v>
      </c>
      <c r="D991" s="4">
        <v>3</v>
      </c>
      <c r="E991" s="4">
        <v>3</v>
      </c>
      <c r="F991" s="6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0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>
        <v>0</v>
      </c>
      <c r="BK991" s="3">
        <v>0</v>
      </c>
      <c r="BL991" s="3">
        <v>0</v>
      </c>
      <c r="BM991" s="3">
        <v>0</v>
      </c>
    </row>
    <row r="992" spans="1:65" x14ac:dyDescent="0.25">
      <c r="A992" s="2" t="s">
        <v>162</v>
      </c>
      <c r="B992" s="4">
        <v>56</v>
      </c>
      <c r="C992" s="4">
        <v>1</v>
      </c>
      <c r="D992" s="4">
        <v>1</v>
      </c>
      <c r="E992" s="4">
        <v>1</v>
      </c>
      <c r="F992" s="4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1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1</v>
      </c>
      <c r="BK992" s="3">
        <v>0</v>
      </c>
      <c r="BL992" s="3">
        <v>2</v>
      </c>
      <c r="BM992" s="3">
        <v>0</v>
      </c>
    </row>
    <row r="993" spans="1:65" x14ac:dyDescent="0.25">
      <c r="A993" s="2" t="s">
        <v>162</v>
      </c>
      <c r="B993" s="4">
        <v>56</v>
      </c>
      <c r="C993" s="4">
        <v>1</v>
      </c>
      <c r="D993" s="4">
        <v>1</v>
      </c>
      <c r="E993" s="4">
        <v>2</v>
      </c>
      <c r="F993" s="4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2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1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3">
        <v>0</v>
      </c>
      <c r="BK993" s="3">
        <v>0</v>
      </c>
      <c r="BL993" s="3">
        <v>0</v>
      </c>
      <c r="BM993" s="3">
        <v>0</v>
      </c>
    </row>
    <row r="994" spans="1:65" x14ac:dyDescent="0.25">
      <c r="A994" s="2" t="s">
        <v>162</v>
      </c>
      <c r="B994" s="4">
        <v>56</v>
      </c>
      <c r="C994" s="4">
        <v>1</v>
      </c>
      <c r="D994" s="4">
        <v>1</v>
      </c>
      <c r="E994" s="4">
        <v>3</v>
      </c>
      <c r="F994" s="4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3">
        <v>0</v>
      </c>
      <c r="BK994" s="3">
        <v>0</v>
      </c>
      <c r="BL994" s="3">
        <v>0</v>
      </c>
      <c r="BM994" s="3">
        <v>0</v>
      </c>
    </row>
    <row r="995" spans="1:65" x14ac:dyDescent="0.25">
      <c r="A995" s="2" t="s">
        <v>162</v>
      </c>
      <c r="B995" s="4">
        <v>56</v>
      </c>
      <c r="C995" s="4">
        <v>1</v>
      </c>
      <c r="D995" s="4">
        <v>2</v>
      </c>
      <c r="E995" s="4">
        <v>1</v>
      </c>
      <c r="F995" s="4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1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0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3">
        <v>0</v>
      </c>
      <c r="BK995" s="3">
        <v>0</v>
      </c>
      <c r="BL995" s="3">
        <v>0</v>
      </c>
      <c r="BM995" s="3">
        <v>0</v>
      </c>
    </row>
    <row r="996" spans="1:65" x14ac:dyDescent="0.25">
      <c r="A996" s="2" t="s">
        <v>162</v>
      </c>
      <c r="B996" s="4">
        <v>56</v>
      </c>
      <c r="C996" s="4">
        <v>1</v>
      </c>
      <c r="D996" s="4">
        <v>2</v>
      </c>
      <c r="E996" s="4">
        <v>2</v>
      </c>
      <c r="F996" s="4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1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1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1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0</v>
      </c>
      <c r="BK996" s="3">
        <v>0</v>
      </c>
      <c r="BL996" s="3">
        <v>0</v>
      </c>
      <c r="BM996" s="3">
        <v>0</v>
      </c>
    </row>
    <row r="997" spans="1:65" x14ac:dyDescent="0.25">
      <c r="A997" s="2" t="s">
        <v>162</v>
      </c>
      <c r="B997" s="4">
        <v>56</v>
      </c>
      <c r="C997" s="4">
        <v>1</v>
      </c>
      <c r="D997" s="4">
        <v>2</v>
      </c>
      <c r="E997" s="4">
        <v>3</v>
      </c>
      <c r="F997" s="4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3">
        <v>0</v>
      </c>
      <c r="BK997" s="3">
        <v>0</v>
      </c>
      <c r="BL997" s="3">
        <v>0</v>
      </c>
      <c r="BM997" s="3">
        <v>0</v>
      </c>
    </row>
    <row r="998" spans="1:65" x14ac:dyDescent="0.25">
      <c r="A998" s="2" t="s">
        <v>162</v>
      </c>
      <c r="B998" s="4">
        <v>56</v>
      </c>
      <c r="C998" s="4">
        <v>1</v>
      </c>
      <c r="D998" s="4">
        <v>3</v>
      </c>
      <c r="E998" s="4">
        <v>1</v>
      </c>
      <c r="F998" s="4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0</v>
      </c>
      <c r="BK998" s="3">
        <v>0</v>
      </c>
      <c r="BL998" s="3">
        <v>0</v>
      </c>
      <c r="BM998" s="3">
        <v>0</v>
      </c>
    </row>
    <row r="999" spans="1:65" x14ac:dyDescent="0.25">
      <c r="A999" s="2" t="s">
        <v>162</v>
      </c>
      <c r="B999" s="4">
        <v>56</v>
      </c>
      <c r="C999" s="4">
        <v>1</v>
      </c>
      <c r="D999" s="4">
        <v>3</v>
      </c>
      <c r="E999" s="4">
        <v>2</v>
      </c>
      <c r="F999" s="4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1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3">
        <v>0</v>
      </c>
      <c r="BK999" s="3">
        <v>0</v>
      </c>
      <c r="BL999" s="3">
        <v>0</v>
      </c>
      <c r="BM999" s="3">
        <v>0</v>
      </c>
    </row>
    <row r="1000" spans="1:65" x14ac:dyDescent="0.25">
      <c r="A1000" s="2" t="s">
        <v>162</v>
      </c>
      <c r="B1000" s="4">
        <v>56</v>
      </c>
      <c r="C1000" s="4">
        <v>1</v>
      </c>
      <c r="D1000" s="4">
        <v>3</v>
      </c>
      <c r="E1000" s="4">
        <v>3</v>
      </c>
      <c r="F1000" s="4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0</v>
      </c>
      <c r="BF1000" s="3">
        <v>0</v>
      </c>
      <c r="BG1000" s="3">
        <v>0</v>
      </c>
      <c r="BH1000" s="3">
        <v>0</v>
      </c>
      <c r="BI1000" s="3">
        <v>0</v>
      </c>
      <c r="BJ1000" s="3">
        <v>0</v>
      </c>
      <c r="BK1000" s="3">
        <v>0</v>
      </c>
      <c r="BL1000" s="3">
        <v>0</v>
      </c>
      <c r="BM1000" s="3">
        <v>0</v>
      </c>
    </row>
    <row r="1001" spans="1:65" x14ac:dyDescent="0.25">
      <c r="A1001" s="2" t="s">
        <v>162</v>
      </c>
      <c r="B1001" s="4">
        <v>56</v>
      </c>
      <c r="C1001" s="4">
        <v>2</v>
      </c>
      <c r="D1001" s="4">
        <v>1</v>
      </c>
      <c r="E1001" s="4">
        <v>1</v>
      </c>
      <c r="F1001" s="6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1</v>
      </c>
      <c r="Z1001" s="3">
        <v>0</v>
      </c>
      <c r="AA1001" s="3">
        <v>0</v>
      </c>
      <c r="AB1001" s="3">
        <v>1</v>
      </c>
      <c r="AC1001" s="3">
        <v>0</v>
      </c>
      <c r="AD1001" s="3">
        <v>0</v>
      </c>
      <c r="AE1001" s="3">
        <v>0</v>
      </c>
      <c r="AF1001" s="3">
        <v>2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3">
        <v>0</v>
      </c>
      <c r="BH1001" s="3">
        <v>0</v>
      </c>
      <c r="BI1001" s="3">
        <v>0</v>
      </c>
      <c r="BJ1001" s="3">
        <v>0</v>
      </c>
      <c r="BK1001" s="3">
        <v>0</v>
      </c>
      <c r="BL1001" s="3">
        <v>2</v>
      </c>
      <c r="BM1001" s="3">
        <v>0</v>
      </c>
    </row>
    <row r="1002" spans="1:65" x14ac:dyDescent="0.25">
      <c r="A1002" s="2" t="s">
        <v>162</v>
      </c>
      <c r="B1002" s="4">
        <v>56</v>
      </c>
      <c r="C1002" s="4">
        <v>2</v>
      </c>
      <c r="D1002" s="4">
        <v>1</v>
      </c>
      <c r="E1002" s="4">
        <v>2</v>
      </c>
      <c r="F1002" s="6">
        <v>0</v>
      </c>
      <c r="G1002" s="3">
        <v>0</v>
      </c>
      <c r="H1002" s="3">
        <v>0</v>
      </c>
      <c r="I1002" s="3">
        <v>1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1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0</v>
      </c>
      <c r="BD1002" s="3">
        <v>1</v>
      </c>
      <c r="BE1002" s="3">
        <v>0</v>
      </c>
      <c r="BF1002" s="3">
        <v>0</v>
      </c>
      <c r="BG1002" s="3">
        <v>0</v>
      </c>
      <c r="BH1002" s="3">
        <v>0</v>
      </c>
      <c r="BI1002" s="3">
        <v>0</v>
      </c>
      <c r="BJ1002" s="3">
        <v>0</v>
      </c>
      <c r="BK1002" s="3">
        <v>0</v>
      </c>
      <c r="BL1002" s="3">
        <v>0</v>
      </c>
      <c r="BM1002" s="3">
        <v>0</v>
      </c>
    </row>
    <row r="1003" spans="1:65" x14ac:dyDescent="0.25">
      <c r="A1003" s="2" t="s">
        <v>162</v>
      </c>
      <c r="B1003" s="4">
        <v>56</v>
      </c>
      <c r="C1003" s="4">
        <v>2</v>
      </c>
      <c r="D1003" s="4">
        <v>1</v>
      </c>
      <c r="E1003" s="4">
        <v>3</v>
      </c>
      <c r="F1003" s="6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0</v>
      </c>
      <c r="BD1003" s="3">
        <v>0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3">
        <v>0</v>
      </c>
      <c r="BK1003" s="3">
        <v>0</v>
      </c>
      <c r="BL1003" s="3">
        <v>0</v>
      </c>
      <c r="BM1003" s="3">
        <v>0</v>
      </c>
    </row>
    <row r="1004" spans="1:65" x14ac:dyDescent="0.25">
      <c r="A1004" s="2" t="s">
        <v>162</v>
      </c>
      <c r="B1004" s="4">
        <v>56</v>
      </c>
      <c r="C1004" s="4">
        <v>2</v>
      </c>
      <c r="D1004" s="4">
        <v>2</v>
      </c>
      <c r="E1004" s="4">
        <v>1</v>
      </c>
      <c r="F1004" s="6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0</v>
      </c>
      <c r="BB1004" s="3">
        <v>0</v>
      </c>
      <c r="BC1004" s="3">
        <v>0</v>
      </c>
      <c r="BD1004" s="3">
        <v>0</v>
      </c>
      <c r="BE1004" s="3">
        <v>0</v>
      </c>
      <c r="BF1004" s="3">
        <v>0</v>
      </c>
      <c r="BG1004" s="3">
        <v>0</v>
      </c>
      <c r="BH1004" s="3">
        <v>0</v>
      </c>
      <c r="BI1004" s="3">
        <v>0</v>
      </c>
      <c r="BJ1004" s="3">
        <v>0</v>
      </c>
      <c r="BK1004" s="3">
        <v>0</v>
      </c>
      <c r="BL1004" s="3">
        <v>0</v>
      </c>
      <c r="BM1004" s="3">
        <v>0</v>
      </c>
    </row>
    <row r="1005" spans="1:65" x14ac:dyDescent="0.25">
      <c r="A1005" s="2" t="s">
        <v>162</v>
      </c>
      <c r="B1005" s="4">
        <v>56</v>
      </c>
      <c r="C1005" s="4">
        <v>2</v>
      </c>
      <c r="D1005" s="4">
        <v>2</v>
      </c>
      <c r="E1005" s="4">
        <v>2</v>
      </c>
      <c r="F1005" s="6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0</v>
      </c>
      <c r="BD1005" s="3">
        <v>0</v>
      </c>
      <c r="BE1005" s="3">
        <v>0</v>
      </c>
      <c r="BF1005" s="3">
        <v>0</v>
      </c>
      <c r="BG1005" s="3">
        <v>0</v>
      </c>
      <c r="BH1005" s="3">
        <v>0</v>
      </c>
      <c r="BI1005" s="3">
        <v>0</v>
      </c>
      <c r="BJ1005" s="3">
        <v>1</v>
      </c>
      <c r="BK1005" s="3">
        <v>0</v>
      </c>
      <c r="BL1005" s="3">
        <v>0</v>
      </c>
      <c r="BM1005" s="3">
        <v>0</v>
      </c>
    </row>
    <row r="1006" spans="1:65" x14ac:dyDescent="0.25">
      <c r="A1006" s="2" t="s">
        <v>162</v>
      </c>
      <c r="B1006" s="4">
        <v>56</v>
      </c>
      <c r="C1006" s="4">
        <v>2</v>
      </c>
      <c r="D1006" s="4">
        <v>2</v>
      </c>
      <c r="E1006" s="4">
        <v>3</v>
      </c>
      <c r="F1006" s="6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3">
        <v>0</v>
      </c>
      <c r="BE1006" s="3">
        <v>0</v>
      </c>
      <c r="BF1006" s="3">
        <v>0</v>
      </c>
      <c r="BG1006" s="3">
        <v>0</v>
      </c>
      <c r="BH1006" s="3">
        <v>0</v>
      </c>
      <c r="BI1006" s="3">
        <v>0</v>
      </c>
      <c r="BJ1006" s="3">
        <v>0</v>
      </c>
      <c r="BK1006" s="3">
        <v>0</v>
      </c>
      <c r="BL1006" s="3">
        <v>0</v>
      </c>
      <c r="BM1006" s="3">
        <v>0</v>
      </c>
    </row>
    <row r="1007" spans="1:65" x14ac:dyDescent="0.25">
      <c r="A1007" s="2" t="s">
        <v>162</v>
      </c>
      <c r="B1007" s="4">
        <v>56</v>
      </c>
      <c r="C1007" s="4">
        <v>2</v>
      </c>
      <c r="D1007" s="4">
        <v>3</v>
      </c>
      <c r="E1007" s="4">
        <v>1</v>
      </c>
      <c r="F1007" s="6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0</v>
      </c>
      <c r="BD1007" s="3">
        <v>0</v>
      </c>
      <c r="BE1007" s="3">
        <v>0</v>
      </c>
      <c r="BF1007" s="3">
        <v>0</v>
      </c>
      <c r="BG1007" s="3">
        <v>0</v>
      </c>
      <c r="BH1007" s="3">
        <v>0</v>
      </c>
      <c r="BI1007" s="3">
        <v>0</v>
      </c>
      <c r="BJ1007" s="3">
        <v>0</v>
      </c>
      <c r="BK1007" s="3">
        <v>0</v>
      </c>
      <c r="BL1007" s="3">
        <v>0</v>
      </c>
      <c r="BM1007" s="3">
        <v>0</v>
      </c>
    </row>
    <row r="1008" spans="1:65" x14ac:dyDescent="0.25">
      <c r="A1008" s="2" t="s">
        <v>162</v>
      </c>
      <c r="B1008" s="4">
        <v>56</v>
      </c>
      <c r="C1008" s="4">
        <v>2</v>
      </c>
      <c r="D1008" s="4">
        <v>3</v>
      </c>
      <c r="E1008" s="4">
        <v>2</v>
      </c>
      <c r="F1008" s="6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0</v>
      </c>
      <c r="BD1008" s="3">
        <v>0</v>
      </c>
      <c r="BE1008" s="3">
        <v>0</v>
      </c>
      <c r="BF1008" s="3">
        <v>0</v>
      </c>
      <c r="BG1008" s="3">
        <v>0</v>
      </c>
      <c r="BH1008" s="3">
        <v>0</v>
      </c>
      <c r="BI1008" s="3">
        <v>0</v>
      </c>
      <c r="BJ1008" s="3">
        <v>0</v>
      </c>
      <c r="BK1008" s="3">
        <v>0</v>
      </c>
      <c r="BL1008" s="3">
        <v>0</v>
      </c>
      <c r="BM1008" s="3">
        <v>0</v>
      </c>
    </row>
    <row r="1009" spans="1:65" x14ac:dyDescent="0.25">
      <c r="A1009" s="2" t="s">
        <v>162</v>
      </c>
      <c r="B1009" s="4">
        <v>56</v>
      </c>
      <c r="C1009" s="4">
        <v>2</v>
      </c>
      <c r="D1009" s="4">
        <v>3</v>
      </c>
      <c r="E1009" s="4">
        <v>3</v>
      </c>
      <c r="F1009" s="6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0</v>
      </c>
      <c r="BJ1009" s="3">
        <v>0</v>
      </c>
      <c r="BK1009" s="3">
        <v>0</v>
      </c>
      <c r="BL1009" s="3">
        <v>0</v>
      </c>
      <c r="BM1009" s="3">
        <v>0</v>
      </c>
    </row>
    <row r="1010" spans="1:65" x14ac:dyDescent="0.25">
      <c r="A1010" s="2" t="s">
        <v>130</v>
      </c>
      <c r="B1010" s="4">
        <v>57</v>
      </c>
      <c r="C1010" s="4">
        <v>1</v>
      </c>
      <c r="D1010" s="4">
        <v>1</v>
      </c>
      <c r="E1010" s="4">
        <v>1</v>
      </c>
      <c r="F1010" s="4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1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1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0</v>
      </c>
      <c r="BD1010" s="3">
        <v>0</v>
      </c>
      <c r="BE1010" s="3">
        <v>0</v>
      </c>
      <c r="BF1010" s="3">
        <v>0</v>
      </c>
      <c r="BG1010" s="3">
        <v>0</v>
      </c>
      <c r="BH1010" s="3">
        <v>0</v>
      </c>
      <c r="BI1010" s="3">
        <v>0</v>
      </c>
      <c r="BJ1010" s="3">
        <v>0</v>
      </c>
      <c r="BK1010" s="3">
        <v>0</v>
      </c>
      <c r="BL1010" s="3">
        <v>1</v>
      </c>
      <c r="BM1010" s="3">
        <v>0</v>
      </c>
    </row>
    <row r="1011" spans="1:65" x14ac:dyDescent="0.25">
      <c r="A1011" s="2" t="s">
        <v>130</v>
      </c>
      <c r="B1011" s="4">
        <v>57</v>
      </c>
      <c r="C1011" s="4">
        <v>1</v>
      </c>
      <c r="D1011" s="4">
        <v>1</v>
      </c>
      <c r="E1011" s="4">
        <v>2</v>
      </c>
      <c r="F1011" s="4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1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1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1</v>
      </c>
      <c r="AC1011" s="3">
        <v>0</v>
      </c>
      <c r="AD1011" s="3">
        <v>0</v>
      </c>
      <c r="AE1011" s="3">
        <v>0</v>
      </c>
      <c r="AF1011" s="3">
        <v>1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0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0</v>
      </c>
      <c r="BJ1011" s="3">
        <v>0</v>
      </c>
      <c r="BK1011" s="3">
        <v>0</v>
      </c>
      <c r="BL1011" s="3">
        <v>1</v>
      </c>
      <c r="BM1011" s="3">
        <v>0</v>
      </c>
    </row>
    <row r="1012" spans="1:65" x14ac:dyDescent="0.25">
      <c r="A1012" s="2" t="s">
        <v>130</v>
      </c>
      <c r="B1012" s="4">
        <v>57</v>
      </c>
      <c r="C1012" s="4">
        <v>1</v>
      </c>
      <c r="D1012" s="4">
        <v>1</v>
      </c>
      <c r="E1012" s="4">
        <v>3</v>
      </c>
      <c r="F1012" s="4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0</v>
      </c>
      <c r="BD1012" s="3">
        <v>0</v>
      </c>
      <c r="BE1012" s="3">
        <v>0</v>
      </c>
      <c r="BF1012" s="3">
        <v>0</v>
      </c>
      <c r="BG1012" s="3">
        <v>0</v>
      </c>
      <c r="BH1012" s="3">
        <v>0</v>
      </c>
      <c r="BI1012" s="3">
        <v>0</v>
      </c>
      <c r="BJ1012" s="3">
        <v>0</v>
      </c>
      <c r="BK1012" s="3">
        <v>0</v>
      </c>
      <c r="BL1012" s="3">
        <v>0</v>
      </c>
      <c r="BM1012" s="3">
        <v>0</v>
      </c>
    </row>
    <row r="1013" spans="1:65" x14ac:dyDescent="0.25">
      <c r="A1013" s="2" t="s">
        <v>130</v>
      </c>
      <c r="B1013" s="4">
        <v>57</v>
      </c>
      <c r="C1013" s="4">
        <v>1</v>
      </c>
      <c r="D1013" s="4">
        <v>2</v>
      </c>
      <c r="E1013" s="4">
        <v>1</v>
      </c>
      <c r="F1013" s="4">
        <v>0</v>
      </c>
      <c r="G1013" s="3">
        <v>1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0</v>
      </c>
      <c r="BD1013" s="3">
        <v>0</v>
      </c>
      <c r="BE1013" s="3">
        <v>0</v>
      </c>
      <c r="BF1013" s="3">
        <v>0</v>
      </c>
      <c r="BG1013" s="3">
        <v>0</v>
      </c>
      <c r="BH1013" s="3">
        <v>0</v>
      </c>
      <c r="BI1013" s="3">
        <v>0</v>
      </c>
      <c r="BJ1013" s="3">
        <v>0</v>
      </c>
      <c r="BK1013" s="3">
        <v>0</v>
      </c>
      <c r="BL1013" s="3">
        <v>0</v>
      </c>
      <c r="BM1013" s="3">
        <v>0</v>
      </c>
    </row>
    <row r="1014" spans="1:65" x14ac:dyDescent="0.25">
      <c r="A1014" s="2" t="s">
        <v>130</v>
      </c>
      <c r="B1014" s="4">
        <v>57</v>
      </c>
      <c r="C1014" s="4">
        <v>1</v>
      </c>
      <c r="D1014" s="4">
        <v>2</v>
      </c>
      <c r="E1014" s="4">
        <v>2</v>
      </c>
      <c r="F1014" s="4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0</v>
      </c>
      <c r="BG1014" s="3">
        <v>0</v>
      </c>
      <c r="BH1014" s="3">
        <v>0</v>
      </c>
      <c r="BI1014" s="3">
        <v>0</v>
      </c>
      <c r="BJ1014" s="3">
        <v>0</v>
      </c>
      <c r="BK1014" s="3">
        <v>0</v>
      </c>
      <c r="BL1014" s="3">
        <v>0</v>
      </c>
      <c r="BM1014" s="3">
        <v>0</v>
      </c>
    </row>
    <row r="1015" spans="1:65" x14ac:dyDescent="0.25">
      <c r="A1015" s="2" t="s">
        <v>130</v>
      </c>
      <c r="B1015" s="4">
        <v>57</v>
      </c>
      <c r="C1015" s="4">
        <v>1</v>
      </c>
      <c r="D1015" s="4">
        <v>2</v>
      </c>
      <c r="E1015" s="4">
        <v>3</v>
      </c>
      <c r="F1015" s="4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>
        <v>0</v>
      </c>
      <c r="BD1015" s="3">
        <v>0</v>
      </c>
      <c r="BE1015" s="3">
        <v>0</v>
      </c>
      <c r="BF1015" s="3">
        <v>0</v>
      </c>
      <c r="BG1015" s="3">
        <v>0</v>
      </c>
      <c r="BH1015" s="3">
        <v>0</v>
      </c>
      <c r="BI1015" s="3">
        <v>0</v>
      </c>
      <c r="BJ1015" s="3">
        <v>0</v>
      </c>
      <c r="BK1015" s="3">
        <v>0</v>
      </c>
      <c r="BL1015" s="3">
        <v>0</v>
      </c>
      <c r="BM1015" s="3">
        <v>0</v>
      </c>
    </row>
    <row r="1016" spans="1:65" x14ac:dyDescent="0.25">
      <c r="A1016" s="2" t="s">
        <v>130</v>
      </c>
      <c r="B1016" s="4">
        <v>57</v>
      </c>
      <c r="C1016" s="4">
        <v>1</v>
      </c>
      <c r="D1016" s="4">
        <v>3</v>
      </c>
      <c r="E1016" s="4">
        <v>1</v>
      </c>
      <c r="F1016" s="4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1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3">
        <v>0</v>
      </c>
      <c r="BK1016" s="3">
        <v>0</v>
      </c>
      <c r="BL1016" s="3">
        <v>1</v>
      </c>
      <c r="BM1016" s="3">
        <v>0</v>
      </c>
    </row>
    <row r="1017" spans="1:65" x14ac:dyDescent="0.25">
      <c r="A1017" s="2" t="s">
        <v>130</v>
      </c>
      <c r="B1017" s="4">
        <v>57</v>
      </c>
      <c r="C1017" s="4">
        <v>1</v>
      </c>
      <c r="D1017" s="4">
        <v>3</v>
      </c>
      <c r="E1017" s="4">
        <v>2</v>
      </c>
      <c r="F1017" s="4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0</v>
      </c>
      <c r="BF1017" s="3">
        <v>0</v>
      </c>
      <c r="BG1017" s="3">
        <v>0</v>
      </c>
      <c r="BH1017" s="3">
        <v>0</v>
      </c>
      <c r="BI1017" s="3">
        <v>0</v>
      </c>
      <c r="BJ1017" s="3">
        <v>0</v>
      </c>
      <c r="BK1017" s="3">
        <v>0</v>
      </c>
      <c r="BL1017" s="3">
        <v>0</v>
      </c>
      <c r="BM1017" s="3">
        <v>0</v>
      </c>
    </row>
    <row r="1018" spans="1:65" x14ac:dyDescent="0.25">
      <c r="A1018" s="2" t="s">
        <v>130</v>
      </c>
      <c r="B1018" s="4">
        <v>57</v>
      </c>
      <c r="C1018" s="4">
        <v>1</v>
      </c>
      <c r="D1018" s="4">
        <v>3</v>
      </c>
      <c r="E1018" s="4">
        <v>3</v>
      </c>
      <c r="F1018" s="4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0</v>
      </c>
      <c r="BF1018" s="3">
        <v>0</v>
      </c>
      <c r="BG1018" s="3">
        <v>0</v>
      </c>
      <c r="BH1018" s="3">
        <v>0</v>
      </c>
      <c r="BI1018" s="3">
        <v>0</v>
      </c>
      <c r="BJ1018" s="3">
        <v>0</v>
      </c>
      <c r="BK1018" s="3">
        <v>0</v>
      </c>
      <c r="BL1018" s="3">
        <v>0</v>
      </c>
      <c r="BM1018" s="3">
        <v>0</v>
      </c>
    </row>
    <row r="1019" spans="1:65" x14ac:dyDescent="0.25">
      <c r="A1019" s="2" t="s">
        <v>130</v>
      </c>
      <c r="B1019" s="4">
        <v>57</v>
      </c>
      <c r="C1019" s="4">
        <v>2</v>
      </c>
      <c r="D1019" s="4">
        <v>1</v>
      </c>
      <c r="E1019" s="4">
        <v>1</v>
      </c>
      <c r="F1019" s="6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1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1</v>
      </c>
      <c r="AC1019" s="3">
        <v>0</v>
      </c>
      <c r="AD1019" s="3">
        <v>0</v>
      </c>
      <c r="AE1019" s="3">
        <v>0</v>
      </c>
      <c r="AF1019" s="3">
        <v>1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1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  <c r="BF1019" s="3">
        <v>0</v>
      </c>
      <c r="BG1019" s="3">
        <v>0</v>
      </c>
      <c r="BH1019" s="3">
        <v>0</v>
      </c>
      <c r="BI1019" s="3">
        <v>0</v>
      </c>
      <c r="BJ1019" s="3">
        <v>0</v>
      </c>
      <c r="BK1019" s="3">
        <v>0</v>
      </c>
      <c r="BL1019" s="3">
        <v>2</v>
      </c>
      <c r="BM1019" s="3">
        <v>0</v>
      </c>
    </row>
    <row r="1020" spans="1:65" x14ac:dyDescent="0.25">
      <c r="A1020" s="2" t="s">
        <v>130</v>
      </c>
      <c r="B1020" s="4">
        <v>57</v>
      </c>
      <c r="C1020" s="4">
        <v>2</v>
      </c>
      <c r="D1020" s="4">
        <v>1</v>
      </c>
      <c r="E1020" s="4">
        <v>2</v>
      </c>
      <c r="F1020" s="6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2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0</v>
      </c>
      <c r="BD1020" s="3">
        <v>0</v>
      </c>
      <c r="BE1020" s="3">
        <v>0</v>
      </c>
      <c r="BF1020" s="3">
        <v>0</v>
      </c>
      <c r="BG1020" s="3">
        <v>0</v>
      </c>
      <c r="BH1020" s="3">
        <v>0</v>
      </c>
      <c r="BI1020" s="3">
        <v>0</v>
      </c>
      <c r="BJ1020" s="3">
        <v>0</v>
      </c>
      <c r="BK1020" s="3">
        <v>0</v>
      </c>
      <c r="BL1020" s="3">
        <v>1</v>
      </c>
      <c r="BM1020" s="3">
        <v>0</v>
      </c>
    </row>
    <row r="1021" spans="1:65" x14ac:dyDescent="0.25">
      <c r="A1021" s="2" t="s">
        <v>130</v>
      </c>
      <c r="B1021" s="4">
        <v>57</v>
      </c>
      <c r="C1021" s="4">
        <v>2</v>
      </c>
      <c r="D1021" s="4">
        <v>1</v>
      </c>
      <c r="E1021" s="4">
        <v>3</v>
      </c>
      <c r="F1021" s="6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0</v>
      </c>
      <c r="BD1021" s="3">
        <v>0</v>
      </c>
      <c r="BE1021" s="3">
        <v>0</v>
      </c>
      <c r="BF1021" s="3">
        <v>0</v>
      </c>
      <c r="BG1021" s="3">
        <v>0</v>
      </c>
      <c r="BH1021" s="3">
        <v>0</v>
      </c>
      <c r="BI1021" s="3">
        <v>0</v>
      </c>
      <c r="BJ1021" s="3">
        <v>0</v>
      </c>
      <c r="BK1021" s="3">
        <v>0</v>
      </c>
      <c r="BL1021" s="3">
        <v>0</v>
      </c>
      <c r="BM1021" s="3">
        <v>0</v>
      </c>
    </row>
    <row r="1022" spans="1:65" x14ac:dyDescent="0.25">
      <c r="A1022" s="2" t="s">
        <v>130</v>
      </c>
      <c r="B1022" s="4">
        <v>57</v>
      </c>
      <c r="C1022" s="4">
        <v>2</v>
      </c>
      <c r="D1022" s="4">
        <v>2</v>
      </c>
      <c r="E1022" s="4">
        <v>1</v>
      </c>
      <c r="F1022" s="6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1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0</v>
      </c>
      <c r="BD1022" s="3">
        <v>0</v>
      </c>
      <c r="BE1022" s="3">
        <v>0</v>
      </c>
      <c r="BF1022" s="3">
        <v>0</v>
      </c>
      <c r="BG1022" s="3">
        <v>0</v>
      </c>
      <c r="BH1022" s="3">
        <v>0</v>
      </c>
      <c r="BI1022" s="3">
        <v>0</v>
      </c>
      <c r="BJ1022" s="3">
        <v>0</v>
      </c>
      <c r="BK1022" s="3">
        <v>0</v>
      </c>
      <c r="BL1022" s="3">
        <v>0</v>
      </c>
      <c r="BM1022" s="3">
        <v>0</v>
      </c>
    </row>
    <row r="1023" spans="1:65" x14ac:dyDescent="0.25">
      <c r="A1023" s="2" t="s">
        <v>130</v>
      </c>
      <c r="B1023" s="4">
        <v>57</v>
      </c>
      <c r="C1023" s="4">
        <v>2</v>
      </c>
      <c r="D1023" s="4">
        <v>2</v>
      </c>
      <c r="E1023" s="4">
        <v>2</v>
      </c>
      <c r="F1023" s="6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0</v>
      </c>
      <c r="BF1023" s="3">
        <v>0</v>
      </c>
      <c r="BG1023" s="3">
        <v>0</v>
      </c>
      <c r="BH1023" s="3">
        <v>0</v>
      </c>
      <c r="BI1023" s="3">
        <v>0</v>
      </c>
      <c r="BJ1023" s="3">
        <v>0</v>
      </c>
      <c r="BK1023" s="3">
        <v>0</v>
      </c>
      <c r="BL1023" s="3">
        <v>0</v>
      </c>
      <c r="BM1023" s="3">
        <v>0</v>
      </c>
    </row>
    <row r="1024" spans="1:65" x14ac:dyDescent="0.25">
      <c r="A1024" s="2" t="s">
        <v>130</v>
      </c>
      <c r="B1024" s="4">
        <v>57</v>
      </c>
      <c r="C1024" s="4">
        <v>2</v>
      </c>
      <c r="D1024" s="4">
        <v>2</v>
      </c>
      <c r="E1024" s="4">
        <v>3</v>
      </c>
      <c r="F1024" s="6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0</v>
      </c>
      <c r="BG1024" s="3">
        <v>0</v>
      </c>
      <c r="BH1024" s="3">
        <v>0</v>
      </c>
      <c r="BI1024" s="3">
        <v>0</v>
      </c>
      <c r="BJ1024" s="3">
        <v>0</v>
      </c>
      <c r="BK1024" s="3">
        <v>0</v>
      </c>
      <c r="BL1024" s="3">
        <v>0</v>
      </c>
      <c r="BM1024" s="3">
        <v>0</v>
      </c>
    </row>
    <row r="1025" spans="1:65" x14ac:dyDescent="0.25">
      <c r="A1025" s="2" t="s">
        <v>130</v>
      </c>
      <c r="B1025" s="4">
        <v>57</v>
      </c>
      <c r="C1025" s="4">
        <v>2</v>
      </c>
      <c r="D1025" s="4">
        <v>3</v>
      </c>
      <c r="E1025" s="4">
        <v>1</v>
      </c>
      <c r="F1025" s="6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1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1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0</v>
      </c>
      <c r="BF1025" s="3">
        <v>0</v>
      </c>
      <c r="BG1025" s="3">
        <v>0</v>
      </c>
      <c r="BH1025" s="3">
        <v>0</v>
      </c>
      <c r="BI1025" s="3">
        <v>0</v>
      </c>
      <c r="BJ1025" s="3">
        <v>0</v>
      </c>
      <c r="BK1025" s="3">
        <v>0</v>
      </c>
      <c r="BL1025" s="3">
        <v>1</v>
      </c>
      <c r="BM1025" s="3">
        <v>0</v>
      </c>
    </row>
    <row r="1026" spans="1:65" x14ac:dyDescent="0.25">
      <c r="A1026" s="2" t="s">
        <v>130</v>
      </c>
      <c r="B1026" s="4">
        <v>57</v>
      </c>
      <c r="C1026" s="4">
        <v>2</v>
      </c>
      <c r="D1026" s="4">
        <v>3</v>
      </c>
      <c r="E1026" s="4">
        <v>2</v>
      </c>
      <c r="F1026" s="6">
        <v>0</v>
      </c>
      <c r="G1026" s="3">
        <v>1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0</v>
      </c>
      <c r="BE1026" s="3">
        <v>0</v>
      </c>
      <c r="BF1026" s="3">
        <v>0</v>
      </c>
      <c r="BG1026" s="3">
        <v>0</v>
      </c>
      <c r="BH1026" s="3">
        <v>0</v>
      </c>
      <c r="BI1026" s="3">
        <v>0</v>
      </c>
      <c r="BJ1026" s="3">
        <v>0</v>
      </c>
      <c r="BK1026" s="3">
        <v>0</v>
      </c>
      <c r="BL1026" s="3">
        <v>0</v>
      </c>
      <c r="BM1026" s="3">
        <v>0</v>
      </c>
    </row>
    <row r="1027" spans="1:65" x14ac:dyDescent="0.25">
      <c r="A1027" s="2" t="s">
        <v>130</v>
      </c>
      <c r="B1027" s="4">
        <v>57</v>
      </c>
      <c r="C1027" s="4">
        <v>2</v>
      </c>
      <c r="D1027" s="4">
        <v>3</v>
      </c>
      <c r="E1027" s="4">
        <v>3</v>
      </c>
      <c r="F1027" s="6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0</v>
      </c>
      <c r="BJ1027" s="3">
        <v>0</v>
      </c>
      <c r="BK1027" s="3">
        <v>0</v>
      </c>
      <c r="BL1027" s="3">
        <v>0</v>
      </c>
      <c r="BM1027" s="3">
        <v>0</v>
      </c>
    </row>
    <row r="1028" spans="1:65" x14ac:dyDescent="0.25">
      <c r="A1028" s="2" t="s">
        <v>131</v>
      </c>
      <c r="B1028" s="4">
        <v>58</v>
      </c>
      <c r="C1028" s="4">
        <v>1</v>
      </c>
      <c r="D1028" s="4">
        <v>1</v>
      </c>
      <c r="E1028" s="4">
        <v>1</v>
      </c>
      <c r="F1028" s="4">
        <v>0</v>
      </c>
      <c r="G1028" s="3">
        <v>1</v>
      </c>
      <c r="H1028" s="3">
        <v>0</v>
      </c>
      <c r="I1028" s="3">
        <v>0</v>
      </c>
      <c r="J1028" s="3">
        <v>0</v>
      </c>
      <c r="K1028" s="3">
        <v>0</v>
      </c>
      <c r="L1028" s="3">
        <v>1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1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1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0</v>
      </c>
      <c r="BD1028" s="3">
        <v>0</v>
      </c>
      <c r="BE1028" s="3">
        <v>0</v>
      </c>
      <c r="BF1028" s="3">
        <v>0</v>
      </c>
      <c r="BG1028" s="3">
        <v>0</v>
      </c>
      <c r="BH1028" s="3">
        <v>0</v>
      </c>
      <c r="BI1028" s="3">
        <v>0</v>
      </c>
      <c r="BJ1028" s="3">
        <v>0</v>
      </c>
      <c r="BK1028" s="3">
        <v>0</v>
      </c>
      <c r="BL1028" s="3">
        <v>2</v>
      </c>
      <c r="BM1028" s="3">
        <v>0</v>
      </c>
    </row>
    <row r="1029" spans="1:65" x14ac:dyDescent="0.25">
      <c r="A1029" s="2" t="s">
        <v>131</v>
      </c>
      <c r="B1029" s="4">
        <v>58</v>
      </c>
      <c r="C1029" s="4">
        <v>1</v>
      </c>
      <c r="D1029" s="4">
        <v>1</v>
      </c>
      <c r="E1029" s="4">
        <v>2</v>
      </c>
      <c r="F1029" s="4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1</v>
      </c>
      <c r="Z1029" s="3">
        <v>0</v>
      </c>
      <c r="AA1029" s="3">
        <v>0</v>
      </c>
      <c r="AB1029" s="3">
        <v>2</v>
      </c>
      <c r="AC1029" s="3">
        <v>0</v>
      </c>
      <c r="AD1029" s="3">
        <v>0</v>
      </c>
      <c r="AE1029" s="3">
        <v>0</v>
      </c>
      <c r="AF1029" s="3">
        <v>1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0</v>
      </c>
      <c r="BJ1029" s="3">
        <v>0</v>
      </c>
      <c r="BK1029" s="3">
        <v>0</v>
      </c>
      <c r="BL1029" s="3">
        <v>0</v>
      </c>
      <c r="BM1029" s="3">
        <v>0</v>
      </c>
    </row>
    <row r="1030" spans="1:65" x14ac:dyDescent="0.25">
      <c r="A1030" s="2" t="s">
        <v>131</v>
      </c>
      <c r="B1030" s="4">
        <v>58</v>
      </c>
      <c r="C1030" s="4">
        <v>1</v>
      </c>
      <c r="D1030" s="4">
        <v>1</v>
      </c>
      <c r="E1030" s="4">
        <v>3</v>
      </c>
      <c r="F1030" s="4">
        <v>0</v>
      </c>
      <c r="G1030" s="3">
        <v>0</v>
      </c>
      <c r="H1030" s="3">
        <v>0</v>
      </c>
      <c r="I1030" s="3">
        <v>1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0</v>
      </c>
      <c r="BD1030" s="3">
        <v>0</v>
      </c>
      <c r="BE1030" s="3">
        <v>0</v>
      </c>
      <c r="BF1030" s="3">
        <v>0</v>
      </c>
      <c r="BG1030" s="3">
        <v>0</v>
      </c>
      <c r="BH1030" s="3">
        <v>0</v>
      </c>
      <c r="BI1030" s="3">
        <v>0</v>
      </c>
      <c r="BJ1030" s="3">
        <v>0</v>
      </c>
      <c r="BK1030" s="3">
        <v>0</v>
      </c>
      <c r="BL1030" s="3">
        <v>0</v>
      </c>
      <c r="BM1030" s="3">
        <v>0</v>
      </c>
    </row>
    <row r="1031" spans="1:65" x14ac:dyDescent="0.25">
      <c r="A1031" s="2" t="s">
        <v>131</v>
      </c>
      <c r="B1031" s="4">
        <v>58</v>
      </c>
      <c r="C1031" s="4">
        <v>1</v>
      </c>
      <c r="D1031" s="4">
        <v>2</v>
      </c>
      <c r="E1031" s="4">
        <v>1</v>
      </c>
      <c r="F1031" s="4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>
        <v>0</v>
      </c>
      <c r="BD1031" s="3">
        <v>0</v>
      </c>
      <c r="BE1031" s="3">
        <v>0</v>
      </c>
      <c r="BF1031" s="3">
        <v>0</v>
      </c>
      <c r="BG1031" s="3">
        <v>0</v>
      </c>
      <c r="BH1031" s="3">
        <v>0</v>
      </c>
      <c r="BI1031" s="3">
        <v>0</v>
      </c>
      <c r="BJ1031" s="3">
        <v>0</v>
      </c>
      <c r="BK1031" s="3">
        <v>0</v>
      </c>
      <c r="BL1031" s="3">
        <v>0</v>
      </c>
      <c r="BM1031" s="3">
        <v>0</v>
      </c>
    </row>
    <row r="1032" spans="1:65" x14ac:dyDescent="0.25">
      <c r="A1032" s="2" t="s">
        <v>131</v>
      </c>
      <c r="B1032" s="4">
        <v>58</v>
      </c>
      <c r="C1032" s="4">
        <v>1</v>
      </c>
      <c r="D1032" s="4">
        <v>2</v>
      </c>
      <c r="E1032" s="4">
        <v>2</v>
      </c>
      <c r="F1032" s="4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0</v>
      </c>
      <c r="BD1032" s="3">
        <v>0</v>
      </c>
      <c r="BE1032" s="3">
        <v>0</v>
      </c>
      <c r="BF1032" s="3">
        <v>0</v>
      </c>
      <c r="BG1032" s="3">
        <v>0</v>
      </c>
      <c r="BH1032" s="3">
        <v>0</v>
      </c>
      <c r="BI1032" s="3">
        <v>0</v>
      </c>
      <c r="BJ1032" s="3">
        <v>0</v>
      </c>
      <c r="BK1032" s="3">
        <v>0</v>
      </c>
      <c r="BL1032" s="3">
        <v>0</v>
      </c>
      <c r="BM1032" s="3">
        <v>0</v>
      </c>
    </row>
    <row r="1033" spans="1:65" x14ac:dyDescent="0.25">
      <c r="A1033" s="2" t="s">
        <v>131</v>
      </c>
      <c r="B1033" s="4">
        <v>58</v>
      </c>
      <c r="C1033" s="4">
        <v>1</v>
      </c>
      <c r="D1033" s="4">
        <v>2</v>
      </c>
      <c r="E1033" s="4">
        <v>3</v>
      </c>
      <c r="F1033" s="4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0</v>
      </c>
      <c r="BD1033" s="3">
        <v>0</v>
      </c>
      <c r="BE1033" s="3">
        <v>0</v>
      </c>
      <c r="BF1033" s="3">
        <v>0</v>
      </c>
      <c r="BG1033" s="3">
        <v>0</v>
      </c>
      <c r="BH1033" s="3">
        <v>0</v>
      </c>
      <c r="BI1033" s="3">
        <v>0</v>
      </c>
      <c r="BJ1033" s="3">
        <v>0</v>
      </c>
      <c r="BK1033" s="3">
        <v>0</v>
      </c>
      <c r="BL1033" s="3">
        <v>0</v>
      </c>
      <c r="BM1033" s="3">
        <v>0</v>
      </c>
    </row>
    <row r="1034" spans="1:65" x14ac:dyDescent="0.25">
      <c r="A1034" s="2" t="s">
        <v>131</v>
      </c>
      <c r="B1034" s="4">
        <v>58</v>
      </c>
      <c r="C1034" s="4">
        <v>1</v>
      </c>
      <c r="D1034" s="4">
        <v>3</v>
      </c>
      <c r="E1034" s="4">
        <v>1</v>
      </c>
      <c r="F1034" s="4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1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0</v>
      </c>
      <c r="BD1034" s="3">
        <v>0</v>
      </c>
      <c r="BE1034" s="3">
        <v>0</v>
      </c>
      <c r="BF1034" s="3">
        <v>0</v>
      </c>
      <c r="BG1034" s="3">
        <v>0</v>
      </c>
      <c r="BH1034" s="3">
        <v>0</v>
      </c>
      <c r="BI1034" s="3">
        <v>0</v>
      </c>
      <c r="BJ1034" s="3">
        <v>0</v>
      </c>
      <c r="BK1034" s="3">
        <v>0</v>
      </c>
      <c r="BL1034" s="3">
        <v>0</v>
      </c>
      <c r="BM1034" s="3">
        <v>0</v>
      </c>
    </row>
    <row r="1035" spans="1:65" x14ac:dyDescent="0.25">
      <c r="A1035" s="2" t="s">
        <v>131</v>
      </c>
      <c r="B1035" s="4">
        <v>58</v>
      </c>
      <c r="C1035" s="4">
        <v>1</v>
      </c>
      <c r="D1035" s="4">
        <v>3</v>
      </c>
      <c r="E1035" s="4">
        <v>2</v>
      </c>
      <c r="F1035" s="4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1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1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0</v>
      </c>
      <c r="BD1035" s="3">
        <v>0</v>
      </c>
      <c r="BE1035" s="3">
        <v>0</v>
      </c>
      <c r="BF1035" s="3">
        <v>0</v>
      </c>
      <c r="BG1035" s="3">
        <v>0</v>
      </c>
      <c r="BH1035" s="3">
        <v>0</v>
      </c>
      <c r="BI1035" s="3">
        <v>0</v>
      </c>
      <c r="BJ1035" s="3">
        <v>0</v>
      </c>
      <c r="BK1035" s="3">
        <v>0</v>
      </c>
      <c r="BL1035" s="3">
        <v>0</v>
      </c>
      <c r="BM1035" s="3">
        <v>0</v>
      </c>
    </row>
    <row r="1036" spans="1:65" x14ac:dyDescent="0.25">
      <c r="A1036" s="2" t="s">
        <v>131</v>
      </c>
      <c r="B1036" s="4">
        <v>58</v>
      </c>
      <c r="C1036" s="4">
        <v>1</v>
      </c>
      <c r="D1036" s="4">
        <v>3</v>
      </c>
      <c r="E1036" s="4">
        <v>3</v>
      </c>
      <c r="F1036" s="4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0</v>
      </c>
      <c r="BC1036" s="3">
        <v>0</v>
      </c>
      <c r="BD1036" s="3">
        <v>0</v>
      </c>
      <c r="BE1036" s="3">
        <v>0</v>
      </c>
      <c r="BF1036" s="3">
        <v>0</v>
      </c>
      <c r="BG1036" s="3">
        <v>0</v>
      </c>
      <c r="BH1036" s="3">
        <v>0</v>
      </c>
      <c r="BI1036" s="3">
        <v>0</v>
      </c>
      <c r="BJ1036" s="3">
        <v>0</v>
      </c>
      <c r="BK1036" s="3">
        <v>0</v>
      </c>
      <c r="BL1036" s="3">
        <v>0</v>
      </c>
      <c r="BM1036" s="3">
        <v>0</v>
      </c>
    </row>
    <row r="1037" spans="1:65" x14ac:dyDescent="0.25">
      <c r="A1037" s="2" t="s">
        <v>131</v>
      </c>
      <c r="B1037" s="4">
        <v>58</v>
      </c>
      <c r="C1037" s="4">
        <v>2</v>
      </c>
      <c r="D1037" s="4">
        <v>1</v>
      </c>
      <c r="E1037" s="4">
        <v>1</v>
      </c>
      <c r="F1037" s="6">
        <v>0</v>
      </c>
      <c r="G1037" s="3">
        <v>2</v>
      </c>
      <c r="H1037" s="3">
        <v>0</v>
      </c>
      <c r="I1037" s="3">
        <v>0</v>
      </c>
      <c r="J1037" s="3">
        <v>0</v>
      </c>
      <c r="K1037" s="3">
        <v>0</v>
      </c>
      <c r="L1037" s="3">
        <v>1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1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1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0</v>
      </c>
      <c r="BB1037" s="3">
        <v>0</v>
      </c>
      <c r="BC1037" s="3">
        <v>0</v>
      </c>
      <c r="BD1037" s="3">
        <v>0</v>
      </c>
      <c r="BE1037" s="3">
        <v>0</v>
      </c>
      <c r="BF1037" s="3">
        <v>0</v>
      </c>
      <c r="BG1037" s="3">
        <v>0</v>
      </c>
      <c r="BH1037" s="3">
        <v>0</v>
      </c>
      <c r="BI1037" s="3">
        <v>0</v>
      </c>
      <c r="BJ1037" s="3">
        <v>0</v>
      </c>
      <c r="BK1037" s="3">
        <v>0</v>
      </c>
      <c r="BL1037" s="3">
        <v>2</v>
      </c>
      <c r="BM1037" s="3">
        <v>0</v>
      </c>
    </row>
    <row r="1038" spans="1:65" x14ac:dyDescent="0.25">
      <c r="A1038" s="2" t="s">
        <v>131</v>
      </c>
      <c r="B1038" s="4">
        <v>58</v>
      </c>
      <c r="C1038" s="4">
        <v>2</v>
      </c>
      <c r="D1038" s="4">
        <v>1</v>
      </c>
      <c r="E1038" s="4">
        <v>2</v>
      </c>
      <c r="F1038" s="6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v>0</v>
      </c>
      <c r="BD1038" s="3">
        <v>0</v>
      </c>
      <c r="BE1038" s="3">
        <v>0</v>
      </c>
      <c r="BF1038" s="3">
        <v>0</v>
      </c>
      <c r="BG1038" s="3">
        <v>0</v>
      </c>
      <c r="BH1038" s="3">
        <v>0</v>
      </c>
      <c r="BI1038" s="3">
        <v>0</v>
      </c>
      <c r="BJ1038" s="3">
        <v>0</v>
      </c>
      <c r="BK1038" s="3">
        <v>0</v>
      </c>
      <c r="BL1038" s="3">
        <v>1</v>
      </c>
      <c r="BM1038" s="3">
        <v>0</v>
      </c>
    </row>
    <row r="1039" spans="1:65" x14ac:dyDescent="0.25">
      <c r="A1039" s="2" t="s">
        <v>131</v>
      </c>
      <c r="B1039" s="4">
        <v>58</v>
      </c>
      <c r="C1039" s="4">
        <v>2</v>
      </c>
      <c r="D1039" s="4">
        <v>1</v>
      </c>
      <c r="E1039" s="4">
        <v>3</v>
      </c>
      <c r="F1039" s="6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3">
        <v>0</v>
      </c>
      <c r="BB1039" s="3">
        <v>0</v>
      </c>
      <c r="BC1039" s="3">
        <v>0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0</v>
      </c>
      <c r="BJ1039" s="3">
        <v>0</v>
      </c>
      <c r="BK1039" s="3">
        <v>0</v>
      </c>
      <c r="BL1039" s="3">
        <v>0</v>
      </c>
      <c r="BM1039" s="3">
        <v>0</v>
      </c>
    </row>
    <row r="1040" spans="1:65" x14ac:dyDescent="0.25">
      <c r="A1040" s="2" t="s">
        <v>131</v>
      </c>
      <c r="B1040" s="4">
        <v>58</v>
      </c>
      <c r="C1040" s="4">
        <v>2</v>
      </c>
      <c r="D1040" s="4">
        <v>2</v>
      </c>
      <c r="E1040" s="4">
        <v>1</v>
      </c>
      <c r="F1040" s="6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1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>
        <v>0</v>
      </c>
      <c r="BD1040" s="3">
        <v>0</v>
      </c>
      <c r="BE1040" s="3">
        <v>0</v>
      </c>
      <c r="BF1040" s="3">
        <v>0</v>
      </c>
      <c r="BG1040" s="3">
        <v>0</v>
      </c>
      <c r="BH1040" s="3">
        <v>0</v>
      </c>
      <c r="BI1040" s="3">
        <v>0</v>
      </c>
      <c r="BJ1040" s="3">
        <v>0</v>
      </c>
      <c r="BK1040" s="3">
        <v>0</v>
      </c>
      <c r="BL1040" s="3">
        <v>0</v>
      </c>
      <c r="BM1040" s="3">
        <v>0</v>
      </c>
    </row>
    <row r="1041" spans="1:65" x14ac:dyDescent="0.25">
      <c r="A1041" s="2" t="s">
        <v>131</v>
      </c>
      <c r="B1041" s="4">
        <v>58</v>
      </c>
      <c r="C1041" s="4">
        <v>2</v>
      </c>
      <c r="D1041" s="4">
        <v>2</v>
      </c>
      <c r="E1041" s="4">
        <v>2</v>
      </c>
      <c r="F1041" s="6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>
        <v>0</v>
      </c>
      <c r="BD1041" s="3">
        <v>0</v>
      </c>
      <c r="BE1041" s="3">
        <v>0</v>
      </c>
      <c r="BF1041" s="3">
        <v>0</v>
      </c>
      <c r="BG1041" s="3">
        <v>0</v>
      </c>
      <c r="BH1041" s="3">
        <v>0</v>
      </c>
      <c r="BI1041" s="3">
        <v>0</v>
      </c>
      <c r="BJ1041" s="3">
        <v>0</v>
      </c>
      <c r="BK1041" s="3">
        <v>0</v>
      </c>
      <c r="BL1041" s="3">
        <v>0</v>
      </c>
      <c r="BM1041" s="3">
        <v>0</v>
      </c>
    </row>
    <row r="1042" spans="1:65" x14ac:dyDescent="0.25">
      <c r="A1042" s="2" t="s">
        <v>131</v>
      </c>
      <c r="B1042" s="4">
        <v>58</v>
      </c>
      <c r="C1042" s="4">
        <v>2</v>
      </c>
      <c r="D1042" s="4">
        <v>2</v>
      </c>
      <c r="E1042" s="4">
        <v>3</v>
      </c>
      <c r="F1042" s="6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1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3">
        <v>0</v>
      </c>
      <c r="AY1042" s="3">
        <v>0</v>
      </c>
      <c r="AZ1042" s="3">
        <v>0</v>
      </c>
      <c r="BA1042" s="3">
        <v>0</v>
      </c>
      <c r="BB1042" s="3">
        <v>0</v>
      </c>
      <c r="BC1042" s="3">
        <v>0</v>
      </c>
      <c r="BD1042" s="3">
        <v>0</v>
      </c>
      <c r="BE1042" s="3">
        <v>0</v>
      </c>
      <c r="BF1042" s="3">
        <v>0</v>
      </c>
      <c r="BG1042" s="3">
        <v>0</v>
      </c>
      <c r="BH1042" s="3">
        <v>0</v>
      </c>
      <c r="BI1042" s="3">
        <v>0</v>
      </c>
      <c r="BJ1042" s="3">
        <v>0</v>
      </c>
      <c r="BK1042" s="3">
        <v>0</v>
      </c>
      <c r="BL1042" s="3">
        <v>0</v>
      </c>
      <c r="BM1042" s="3">
        <v>0</v>
      </c>
    </row>
    <row r="1043" spans="1:65" x14ac:dyDescent="0.25">
      <c r="A1043" s="2" t="s">
        <v>131</v>
      </c>
      <c r="B1043" s="4">
        <v>58</v>
      </c>
      <c r="C1043" s="4">
        <v>2</v>
      </c>
      <c r="D1043" s="4">
        <v>3</v>
      </c>
      <c r="E1043" s="4">
        <v>1</v>
      </c>
      <c r="F1043" s="6">
        <v>0</v>
      </c>
      <c r="G1043" s="3">
        <v>2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1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3">
        <v>0</v>
      </c>
      <c r="BD1043" s="3">
        <v>0</v>
      </c>
      <c r="BE1043" s="3">
        <v>0</v>
      </c>
      <c r="BF1043" s="3">
        <v>0</v>
      </c>
      <c r="BG1043" s="3">
        <v>0</v>
      </c>
      <c r="BH1043" s="3">
        <v>0</v>
      </c>
      <c r="BI1043" s="3">
        <v>0</v>
      </c>
      <c r="BJ1043" s="3">
        <v>0</v>
      </c>
      <c r="BK1043" s="3">
        <v>0</v>
      </c>
      <c r="BL1043" s="3">
        <v>0</v>
      </c>
      <c r="BM1043" s="3">
        <v>0</v>
      </c>
    </row>
    <row r="1044" spans="1:65" x14ac:dyDescent="0.25">
      <c r="A1044" s="2" t="s">
        <v>131</v>
      </c>
      <c r="B1044" s="4">
        <v>58</v>
      </c>
      <c r="C1044" s="4">
        <v>2</v>
      </c>
      <c r="D1044" s="4">
        <v>3</v>
      </c>
      <c r="E1044" s="4">
        <v>2</v>
      </c>
      <c r="F1044" s="6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0</v>
      </c>
      <c r="AZ1044" s="3">
        <v>0</v>
      </c>
      <c r="BA1044" s="3">
        <v>0</v>
      </c>
      <c r="BB1044" s="3">
        <v>0</v>
      </c>
      <c r="BC1044" s="3">
        <v>0</v>
      </c>
      <c r="BD1044" s="3">
        <v>0</v>
      </c>
      <c r="BE1044" s="3">
        <v>0</v>
      </c>
      <c r="BF1044" s="3">
        <v>0</v>
      </c>
      <c r="BG1044" s="3">
        <v>0</v>
      </c>
      <c r="BH1044" s="3">
        <v>0</v>
      </c>
      <c r="BI1044" s="3">
        <v>0</v>
      </c>
      <c r="BJ1044" s="3">
        <v>0</v>
      </c>
      <c r="BK1044" s="3">
        <v>0</v>
      </c>
      <c r="BL1044" s="3">
        <v>0</v>
      </c>
      <c r="BM1044" s="3">
        <v>0</v>
      </c>
    </row>
    <row r="1045" spans="1:65" x14ac:dyDescent="0.25">
      <c r="A1045" s="2" t="s">
        <v>131</v>
      </c>
      <c r="B1045" s="4">
        <v>58</v>
      </c>
      <c r="C1045" s="4">
        <v>2</v>
      </c>
      <c r="D1045" s="4">
        <v>3</v>
      </c>
      <c r="E1045" s="4">
        <v>3</v>
      </c>
      <c r="F1045" s="6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1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>
        <v>0</v>
      </c>
      <c r="BD1045" s="3">
        <v>0</v>
      </c>
      <c r="BE1045" s="3">
        <v>0</v>
      </c>
      <c r="BF1045" s="3">
        <v>0</v>
      </c>
      <c r="BG1045" s="3">
        <v>0</v>
      </c>
      <c r="BH1045" s="3">
        <v>0</v>
      </c>
      <c r="BI1045" s="3">
        <v>0</v>
      </c>
      <c r="BJ1045" s="3">
        <v>0</v>
      </c>
      <c r="BK1045" s="3">
        <v>0</v>
      </c>
      <c r="BL1045" s="3">
        <v>0</v>
      </c>
      <c r="BM1045" s="3">
        <v>0</v>
      </c>
    </row>
    <row r="1046" spans="1:65" x14ac:dyDescent="0.25">
      <c r="A1046" s="2" t="s">
        <v>132</v>
      </c>
      <c r="B1046" s="4">
        <v>59</v>
      </c>
      <c r="C1046" s="4">
        <v>1</v>
      </c>
      <c r="D1046" s="4">
        <v>1</v>
      </c>
      <c r="E1046" s="4">
        <v>1</v>
      </c>
      <c r="F1046" s="4">
        <v>0</v>
      </c>
      <c r="G1046" s="3">
        <v>0</v>
      </c>
      <c r="H1046" s="3">
        <v>0</v>
      </c>
      <c r="I1046" s="3">
        <v>1</v>
      </c>
      <c r="J1046" s="3">
        <v>0</v>
      </c>
      <c r="K1046" s="3">
        <v>0</v>
      </c>
      <c r="L1046" s="3">
        <v>1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1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1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3">
        <v>0</v>
      </c>
      <c r="BB1046" s="3">
        <v>0</v>
      </c>
      <c r="BC1046" s="3">
        <v>0</v>
      </c>
      <c r="BD1046" s="3">
        <v>0</v>
      </c>
      <c r="BE1046" s="3">
        <v>0</v>
      </c>
      <c r="BF1046" s="3">
        <v>0</v>
      </c>
      <c r="BG1046" s="3">
        <v>0</v>
      </c>
      <c r="BH1046" s="3">
        <v>0</v>
      </c>
      <c r="BI1046" s="3">
        <v>0</v>
      </c>
      <c r="BJ1046" s="3">
        <v>0</v>
      </c>
      <c r="BK1046" s="3">
        <v>0</v>
      </c>
      <c r="BL1046" s="3">
        <v>0</v>
      </c>
      <c r="BM1046" s="3">
        <v>0</v>
      </c>
    </row>
    <row r="1047" spans="1:65" x14ac:dyDescent="0.25">
      <c r="A1047" s="2" t="s">
        <v>132</v>
      </c>
      <c r="B1047" s="4">
        <v>59</v>
      </c>
      <c r="C1047" s="4">
        <v>1</v>
      </c>
      <c r="D1047" s="4">
        <v>1</v>
      </c>
      <c r="E1047" s="4">
        <v>2</v>
      </c>
      <c r="F1047" s="4">
        <v>0</v>
      </c>
      <c r="G1047" s="3">
        <v>0</v>
      </c>
      <c r="H1047" s="3">
        <v>0</v>
      </c>
      <c r="I1047" s="3">
        <v>1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1</v>
      </c>
      <c r="Y1047" s="3">
        <v>0</v>
      </c>
      <c r="Z1047" s="3">
        <v>0</v>
      </c>
      <c r="AA1047" s="3">
        <v>0</v>
      </c>
      <c r="AB1047" s="3">
        <v>1</v>
      </c>
      <c r="AC1047" s="3">
        <v>0</v>
      </c>
      <c r="AD1047" s="3">
        <v>0</v>
      </c>
      <c r="AE1047" s="3">
        <v>0</v>
      </c>
      <c r="AF1047" s="3">
        <v>1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>
        <v>0</v>
      </c>
      <c r="BD1047" s="3">
        <v>0</v>
      </c>
      <c r="BE1047" s="3">
        <v>0</v>
      </c>
      <c r="BF1047" s="3">
        <v>0</v>
      </c>
      <c r="BG1047" s="3">
        <v>0</v>
      </c>
      <c r="BH1047" s="3">
        <v>0</v>
      </c>
      <c r="BI1047" s="3">
        <v>0</v>
      </c>
      <c r="BJ1047" s="3">
        <v>0</v>
      </c>
      <c r="BK1047" s="3">
        <v>0</v>
      </c>
      <c r="BL1047" s="3">
        <v>2</v>
      </c>
      <c r="BM1047" s="3">
        <v>0</v>
      </c>
    </row>
    <row r="1048" spans="1:65" x14ac:dyDescent="0.25">
      <c r="A1048" s="2" t="s">
        <v>132</v>
      </c>
      <c r="B1048" s="4">
        <v>59</v>
      </c>
      <c r="C1048" s="4">
        <v>1</v>
      </c>
      <c r="D1048" s="4">
        <v>1</v>
      </c>
      <c r="E1048" s="4">
        <v>3</v>
      </c>
      <c r="F1048" s="4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>
        <v>0</v>
      </c>
      <c r="BD1048" s="3">
        <v>0</v>
      </c>
      <c r="BE1048" s="3">
        <v>0</v>
      </c>
      <c r="BF1048" s="3">
        <v>0</v>
      </c>
      <c r="BG1048" s="3">
        <v>0</v>
      </c>
      <c r="BH1048" s="3">
        <v>0</v>
      </c>
      <c r="BI1048" s="3">
        <v>0</v>
      </c>
      <c r="BJ1048" s="3">
        <v>0</v>
      </c>
      <c r="BK1048" s="3">
        <v>0</v>
      </c>
      <c r="BL1048" s="3">
        <v>0</v>
      </c>
      <c r="BM1048" s="3">
        <v>0</v>
      </c>
    </row>
    <row r="1049" spans="1:65" x14ac:dyDescent="0.25">
      <c r="A1049" s="2" t="s">
        <v>132</v>
      </c>
      <c r="B1049" s="4">
        <v>59</v>
      </c>
      <c r="C1049" s="4">
        <v>1</v>
      </c>
      <c r="D1049" s="4">
        <v>2</v>
      </c>
      <c r="E1049" s="4">
        <v>1</v>
      </c>
      <c r="F1049" s="4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1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3">
        <v>0</v>
      </c>
      <c r="BB1049" s="3">
        <v>0</v>
      </c>
      <c r="BC1049" s="3">
        <v>0</v>
      </c>
      <c r="BD1049" s="3">
        <v>0</v>
      </c>
      <c r="BE1049" s="3">
        <v>0</v>
      </c>
      <c r="BF1049" s="3">
        <v>0</v>
      </c>
      <c r="BG1049" s="3">
        <v>0</v>
      </c>
      <c r="BH1049" s="3">
        <v>0</v>
      </c>
      <c r="BI1049" s="3">
        <v>0</v>
      </c>
      <c r="BJ1049" s="3">
        <v>0</v>
      </c>
      <c r="BK1049" s="3">
        <v>0</v>
      </c>
      <c r="BL1049" s="3">
        <v>1</v>
      </c>
      <c r="BM1049" s="3">
        <v>0</v>
      </c>
    </row>
    <row r="1050" spans="1:65" x14ac:dyDescent="0.25">
      <c r="A1050" s="2" t="s">
        <v>132</v>
      </c>
      <c r="B1050" s="4">
        <v>59</v>
      </c>
      <c r="C1050" s="4">
        <v>1</v>
      </c>
      <c r="D1050" s="4">
        <v>2</v>
      </c>
      <c r="E1050" s="4">
        <v>2</v>
      </c>
      <c r="F1050" s="4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0</v>
      </c>
      <c r="BB1050" s="3">
        <v>0</v>
      </c>
      <c r="BC1050" s="3">
        <v>0</v>
      </c>
      <c r="BD1050" s="3">
        <v>0</v>
      </c>
      <c r="BE1050" s="3">
        <v>0</v>
      </c>
      <c r="BF1050" s="3">
        <v>0</v>
      </c>
      <c r="BG1050" s="3">
        <v>0</v>
      </c>
      <c r="BH1050" s="3">
        <v>0</v>
      </c>
      <c r="BI1050" s="3">
        <v>0</v>
      </c>
      <c r="BJ1050" s="3">
        <v>0</v>
      </c>
      <c r="BK1050" s="3">
        <v>0</v>
      </c>
      <c r="BL1050" s="3">
        <v>0</v>
      </c>
      <c r="BM1050" s="3">
        <v>0</v>
      </c>
    </row>
    <row r="1051" spans="1:65" x14ac:dyDescent="0.25">
      <c r="A1051" s="2" t="s">
        <v>132</v>
      </c>
      <c r="B1051" s="4">
        <v>59</v>
      </c>
      <c r="C1051" s="4">
        <v>1</v>
      </c>
      <c r="D1051" s="4">
        <v>2</v>
      </c>
      <c r="E1051" s="4">
        <v>3</v>
      </c>
      <c r="F1051" s="4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0</v>
      </c>
      <c r="BB1051" s="3">
        <v>0</v>
      </c>
      <c r="BC1051" s="3">
        <v>0</v>
      </c>
      <c r="BD1051" s="3">
        <v>0</v>
      </c>
      <c r="BE1051" s="3">
        <v>0</v>
      </c>
      <c r="BF1051" s="3">
        <v>0</v>
      </c>
      <c r="BG1051" s="3">
        <v>0</v>
      </c>
      <c r="BH1051" s="3">
        <v>0</v>
      </c>
      <c r="BI1051" s="3">
        <v>0</v>
      </c>
      <c r="BJ1051" s="3">
        <v>0</v>
      </c>
      <c r="BK1051" s="3">
        <v>0</v>
      </c>
      <c r="BL1051" s="3">
        <v>0</v>
      </c>
      <c r="BM1051" s="3">
        <v>0</v>
      </c>
    </row>
    <row r="1052" spans="1:65" x14ac:dyDescent="0.25">
      <c r="A1052" s="2" t="s">
        <v>132</v>
      </c>
      <c r="B1052" s="4">
        <v>59</v>
      </c>
      <c r="C1052" s="4">
        <v>1</v>
      </c>
      <c r="D1052" s="4">
        <v>3</v>
      </c>
      <c r="E1052" s="4">
        <v>1</v>
      </c>
      <c r="F1052" s="4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0</v>
      </c>
      <c r="BD1052" s="3">
        <v>0</v>
      </c>
      <c r="BE1052" s="3">
        <v>0</v>
      </c>
      <c r="BF1052" s="3">
        <v>0</v>
      </c>
      <c r="BG1052" s="3">
        <v>0</v>
      </c>
      <c r="BH1052" s="3">
        <v>0</v>
      </c>
      <c r="BI1052" s="3">
        <v>0</v>
      </c>
      <c r="BJ1052" s="3">
        <v>0</v>
      </c>
      <c r="BK1052" s="3">
        <v>0</v>
      </c>
      <c r="BL1052" s="3">
        <v>0</v>
      </c>
      <c r="BM1052" s="3">
        <v>0</v>
      </c>
    </row>
    <row r="1053" spans="1:65" x14ac:dyDescent="0.25">
      <c r="A1053" s="2" t="s">
        <v>132</v>
      </c>
      <c r="B1053" s="4">
        <v>59</v>
      </c>
      <c r="C1053" s="4">
        <v>1</v>
      </c>
      <c r="D1053" s="4">
        <v>3</v>
      </c>
      <c r="E1053" s="4">
        <v>2</v>
      </c>
      <c r="F1053" s="4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1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1</v>
      </c>
      <c r="AW1053" s="3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>
        <v>0</v>
      </c>
      <c r="BD1053" s="3">
        <v>0</v>
      </c>
      <c r="BE1053" s="3">
        <v>0</v>
      </c>
      <c r="BF1053" s="3">
        <v>0</v>
      </c>
      <c r="BG1053" s="3">
        <v>0</v>
      </c>
      <c r="BH1053" s="3">
        <v>0</v>
      </c>
      <c r="BI1053" s="3">
        <v>0</v>
      </c>
      <c r="BJ1053" s="3">
        <v>0</v>
      </c>
      <c r="BK1053" s="3">
        <v>0</v>
      </c>
      <c r="BL1053" s="3">
        <v>0</v>
      </c>
      <c r="BM1053" s="3">
        <v>0</v>
      </c>
    </row>
    <row r="1054" spans="1:65" x14ac:dyDescent="0.25">
      <c r="A1054" s="2" t="s">
        <v>132</v>
      </c>
      <c r="B1054" s="4">
        <v>59</v>
      </c>
      <c r="C1054" s="4">
        <v>1</v>
      </c>
      <c r="D1054" s="4">
        <v>3</v>
      </c>
      <c r="E1054" s="4">
        <v>3</v>
      </c>
      <c r="F1054" s="4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1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3">
        <v>0</v>
      </c>
      <c r="BD1054" s="3">
        <v>0</v>
      </c>
      <c r="BE1054" s="3">
        <v>0</v>
      </c>
      <c r="BF1054" s="3">
        <v>0</v>
      </c>
      <c r="BG1054" s="3">
        <v>0</v>
      </c>
      <c r="BH1054" s="3">
        <v>0</v>
      </c>
      <c r="BI1054" s="3">
        <v>0</v>
      </c>
      <c r="BJ1054" s="3">
        <v>0</v>
      </c>
      <c r="BK1054" s="3">
        <v>1</v>
      </c>
      <c r="BL1054" s="3">
        <v>0</v>
      </c>
      <c r="BM1054" s="3">
        <v>0</v>
      </c>
    </row>
    <row r="1055" spans="1:65" x14ac:dyDescent="0.25">
      <c r="A1055" s="2" t="s">
        <v>132</v>
      </c>
      <c r="B1055" s="4">
        <v>59</v>
      </c>
      <c r="C1055" s="4">
        <v>2</v>
      </c>
      <c r="D1055" s="4">
        <v>1</v>
      </c>
      <c r="E1055" s="4">
        <v>1</v>
      </c>
      <c r="F1055" s="6">
        <v>2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1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2</v>
      </c>
      <c r="Y1055" s="3">
        <v>0</v>
      </c>
      <c r="Z1055" s="3">
        <v>0</v>
      </c>
      <c r="AA1055" s="3">
        <v>0</v>
      </c>
      <c r="AB1055" s="3">
        <v>2</v>
      </c>
      <c r="AC1055" s="3">
        <v>0</v>
      </c>
      <c r="AD1055" s="3">
        <v>0</v>
      </c>
      <c r="AE1055" s="3">
        <v>0</v>
      </c>
      <c r="AF1055" s="3">
        <v>2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0</v>
      </c>
      <c r="BB1055" s="3">
        <v>0</v>
      </c>
      <c r="BC1055" s="3">
        <v>0</v>
      </c>
      <c r="BD1055" s="3">
        <v>0</v>
      </c>
      <c r="BE1055" s="3">
        <v>0</v>
      </c>
      <c r="BF1055" s="3">
        <v>0</v>
      </c>
      <c r="BG1055" s="3">
        <v>0</v>
      </c>
      <c r="BH1055" s="3">
        <v>0</v>
      </c>
      <c r="BI1055" s="3">
        <v>0</v>
      </c>
      <c r="BJ1055" s="3">
        <v>0</v>
      </c>
      <c r="BK1055" s="3">
        <v>0</v>
      </c>
      <c r="BL1055" s="3">
        <v>0</v>
      </c>
      <c r="BM1055" s="3">
        <v>0</v>
      </c>
    </row>
    <row r="1056" spans="1:65" x14ac:dyDescent="0.25">
      <c r="A1056" s="2" t="s">
        <v>132</v>
      </c>
      <c r="B1056" s="4">
        <v>59</v>
      </c>
      <c r="C1056" s="4">
        <v>2</v>
      </c>
      <c r="D1056" s="4">
        <v>1</v>
      </c>
      <c r="E1056" s="4">
        <v>2</v>
      </c>
      <c r="F1056" s="6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1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1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0</v>
      </c>
      <c r="BB1056" s="3">
        <v>0</v>
      </c>
      <c r="BC1056" s="3">
        <v>0</v>
      </c>
      <c r="BD1056" s="3">
        <v>0</v>
      </c>
      <c r="BE1056" s="3">
        <v>0</v>
      </c>
      <c r="BF1056" s="3">
        <v>0</v>
      </c>
      <c r="BG1056" s="3">
        <v>0</v>
      </c>
      <c r="BH1056" s="3">
        <v>0</v>
      </c>
      <c r="BI1056" s="3">
        <v>0</v>
      </c>
      <c r="BJ1056" s="3">
        <v>0</v>
      </c>
      <c r="BK1056" s="3">
        <v>0</v>
      </c>
      <c r="BL1056" s="3">
        <v>1</v>
      </c>
      <c r="BM1056" s="3">
        <v>0</v>
      </c>
    </row>
    <row r="1057" spans="1:65" x14ac:dyDescent="0.25">
      <c r="A1057" s="2" t="s">
        <v>132</v>
      </c>
      <c r="B1057" s="4">
        <v>59</v>
      </c>
      <c r="C1057" s="4">
        <v>2</v>
      </c>
      <c r="D1057" s="4">
        <v>1</v>
      </c>
      <c r="E1057" s="4">
        <v>3</v>
      </c>
      <c r="F1057" s="6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1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>
        <v>0</v>
      </c>
      <c r="BD1057" s="3">
        <v>0</v>
      </c>
      <c r="BE1057" s="3">
        <v>0</v>
      </c>
      <c r="BF1057" s="3">
        <v>0</v>
      </c>
      <c r="BG1057" s="3">
        <v>0</v>
      </c>
      <c r="BH1057" s="3">
        <v>0</v>
      </c>
      <c r="BI1057" s="3">
        <v>0</v>
      </c>
      <c r="BJ1057" s="3">
        <v>0</v>
      </c>
      <c r="BK1057" s="3">
        <v>0</v>
      </c>
      <c r="BL1057" s="3">
        <v>0</v>
      </c>
      <c r="BM1057" s="3">
        <v>0</v>
      </c>
    </row>
    <row r="1058" spans="1:65" x14ac:dyDescent="0.25">
      <c r="A1058" s="2" t="s">
        <v>132</v>
      </c>
      <c r="B1058" s="4">
        <v>59</v>
      </c>
      <c r="C1058" s="4">
        <v>2</v>
      </c>
      <c r="D1058" s="4">
        <v>2</v>
      </c>
      <c r="E1058" s="4">
        <v>1</v>
      </c>
      <c r="F1058" s="6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0</v>
      </c>
      <c r="BB1058" s="3">
        <v>0</v>
      </c>
      <c r="BC1058" s="3">
        <v>0</v>
      </c>
      <c r="BD1058" s="3">
        <v>0</v>
      </c>
      <c r="BE1058" s="3">
        <v>0</v>
      </c>
      <c r="BF1058" s="3">
        <v>0</v>
      </c>
      <c r="BG1058" s="3">
        <v>0</v>
      </c>
      <c r="BH1058" s="3">
        <v>0</v>
      </c>
      <c r="BI1058" s="3">
        <v>0</v>
      </c>
      <c r="BJ1058" s="3">
        <v>0</v>
      </c>
      <c r="BK1058" s="3">
        <v>0</v>
      </c>
      <c r="BL1058" s="3">
        <v>0</v>
      </c>
      <c r="BM1058" s="3">
        <v>0</v>
      </c>
    </row>
    <row r="1059" spans="1:65" x14ac:dyDescent="0.25">
      <c r="A1059" s="2" t="s">
        <v>132</v>
      </c>
      <c r="B1059" s="4">
        <v>59</v>
      </c>
      <c r="C1059" s="4">
        <v>2</v>
      </c>
      <c r="D1059" s="4">
        <v>2</v>
      </c>
      <c r="E1059" s="4">
        <v>2</v>
      </c>
      <c r="F1059" s="6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0</v>
      </c>
      <c r="BB1059" s="3">
        <v>0</v>
      </c>
      <c r="BC1059" s="3">
        <v>0</v>
      </c>
      <c r="BD1059" s="3">
        <v>0</v>
      </c>
      <c r="BE1059" s="3">
        <v>0</v>
      </c>
      <c r="BF1059" s="3">
        <v>0</v>
      </c>
      <c r="BG1059" s="3">
        <v>0</v>
      </c>
      <c r="BH1059" s="3">
        <v>0</v>
      </c>
      <c r="BI1059" s="3">
        <v>0</v>
      </c>
      <c r="BJ1059" s="3">
        <v>0</v>
      </c>
      <c r="BK1059" s="3">
        <v>0</v>
      </c>
      <c r="BL1059" s="3">
        <v>0</v>
      </c>
      <c r="BM1059" s="3">
        <v>0</v>
      </c>
    </row>
    <row r="1060" spans="1:65" x14ac:dyDescent="0.25">
      <c r="A1060" s="2" t="s">
        <v>132</v>
      </c>
      <c r="B1060" s="4">
        <v>59</v>
      </c>
      <c r="C1060" s="4">
        <v>2</v>
      </c>
      <c r="D1060" s="4">
        <v>2</v>
      </c>
      <c r="E1060" s="4">
        <v>3</v>
      </c>
      <c r="F1060" s="6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1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0</v>
      </c>
      <c r="BB1060" s="3">
        <v>0</v>
      </c>
      <c r="BC1060" s="3">
        <v>0</v>
      </c>
      <c r="BD1060" s="3">
        <v>0</v>
      </c>
      <c r="BE1060" s="3">
        <v>0</v>
      </c>
      <c r="BF1060" s="3">
        <v>0</v>
      </c>
      <c r="BG1060" s="3">
        <v>0</v>
      </c>
      <c r="BH1060" s="3">
        <v>0</v>
      </c>
      <c r="BI1060" s="3">
        <v>0</v>
      </c>
      <c r="BJ1060" s="3">
        <v>0</v>
      </c>
      <c r="BK1060" s="3">
        <v>0</v>
      </c>
      <c r="BL1060" s="3">
        <v>0</v>
      </c>
      <c r="BM1060" s="3">
        <v>0</v>
      </c>
    </row>
    <row r="1061" spans="1:65" x14ac:dyDescent="0.25">
      <c r="A1061" s="2" t="s">
        <v>132</v>
      </c>
      <c r="B1061" s="4">
        <v>59</v>
      </c>
      <c r="C1061" s="4">
        <v>2</v>
      </c>
      <c r="D1061" s="4">
        <v>3</v>
      </c>
      <c r="E1061" s="4">
        <v>1</v>
      </c>
      <c r="F1061" s="6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0</v>
      </c>
      <c r="BD1061" s="3">
        <v>0</v>
      </c>
      <c r="BE1061" s="3">
        <v>0</v>
      </c>
      <c r="BF1061" s="3">
        <v>0</v>
      </c>
      <c r="BG1061" s="3">
        <v>0</v>
      </c>
      <c r="BH1061" s="3">
        <v>0</v>
      </c>
      <c r="BI1061" s="3">
        <v>0</v>
      </c>
      <c r="BJ1061" s="3">
        <v>0</v>
      </c>
      <c r="BK1061" s="3">
        <v>0</v>
      </c>
      <c r="BL1061" s="3">
        <v>0</v>
      </c>
      <c r="BM1061" s="3">
        <v>0</v>
      </c>
    </row>
    <row r="1062" spans="1:65" x14ac:dyDescent="0.25">
      <c r="A1062" s="2" t="s">
        <v>132</v>
      </c>
      <c r="B1062" s="4">
        <v>59</v>
      </c>
      <c r="C1062" s="4">
        <v>2</v>
      </c>
      <c r="D1062" s="4">
        <v>3</v>
      </c>
      <c r="E1062" s="4">
        <v>2</v>
      </c>
      <c r="F1062" s="6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0</v>
      </c>
      <c r="BD1062" s="3">
        <v>0</v>
      </c>
      <c r="BE1062" s="3">
        <v>0</v>
      </c>
      <c r="BF1062" s="3">
        <v>0</v>
      </c>
      <c r="BG1062" s="3">
        <v>0</v>
      </c>
      <c r="BH1062" s="3">
        <v>0</v>
      </c>
      <c r="BI1062" s="3">
        <v>0</v>
      </c>
      <c r="BJ1062" s="3">
        <v>0</v>
      </c>
      <c r="BK1062" s="3">
        <v>0</v>
      </c>
      <c r="BL1062" s="3">
        <v>0</v>
      </c>
      <c r="BM1062" s="3">
        <v>0</v>
      </c>
    </row>
    <row r="1063" spans="1:65" x14ac:dyDescent="0.25">
      <c r="A1063" s="2" t="s">
        <v>132</v>
      </c>
      <c r="B1063" s="4">
        <v>59</v>
      </c>
      <c r="C1063" s="4">
        <v>2</v>
      </c>
      <c r="D1063" s="4">
        <v>3</v>
      </c>
      <c r="E1063" s="4">
        <v>3</v>
      </c>
      <c r="F1063" s="6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3">
        <v>0</v>
      </c>
      <c r="BB1063" s="3">
        <v>0</v>
      </c>
      <c r="BC1063" s="3">
        <v>0</v>
      </c>
      <c r="BD1063" s="3">
        <v>0</v>
      </c>
      <c r="BE1063" s="3">
        <v>0</v>
      </c>
      <c r="BF1063" s="3">
        <v>0</v>
      </c>
      <c r="BG1063" s="3">
        <v>0</v>
      </c>
      <c r="BH1063" s="3">
        <v>0</v>
      </c>
      <c r="BI1063" s="3">
        <v>0</v>
      </c>
      <c r="BJ1063" s="3">
        <v>0</v>
      </c>
      <c r="BK1063" s="3">
        <v>0</v>
      </c>
      <c r="BL1063" s="3">
        <v>0</v>
      </c>
      <c r="BM1063" s="3">
        <v>0</v>
      </c>
    </row>
    <row r="1064" spans="1:65" x14ac:dyDescent="0.25">
      <c r="A1064" s="2" t="s">
        <v>133</v>
      </c>
      <c r="B1064" s="4">
        <v>60</v>
      </c>
      <c r="C1064" s="4">
        <v>1</v>
      </c>
      <c r="D1064" s="4">
        <v>1</v>
      </c>
      <c r="E1064" s="4">
        <v>1</v>
      </c>
      <c r="F1064" s="4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1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0</v>
      </c>
      <c r="BD1064" s="3">
        <v>0</v>
      </c>
      <c r="BE1064" s="3">
        <v>0</v>
      </c>
      <c r="BF1064" s="3">
        <v>0</v>
      </c>
      <c r="BG1064" s="3">
        <v>0</v>
      </c>
      <c r="BH1064" s="3">
        <v>0</v>
      </c>
      <c r="BI1064" s="3">
        <v>0</v>
      </c>
      <c r="BJ1064" s="3">
        <v>0</v>
      </c>
      <c r="BK1064" s="3">
        <v>0</v>
      </c>
      <c r="BL1064" s="3">
        <v>1</v>
      </c>
      <c r="BM1064" s="3">
        <v>0</v>
      </c>
    </row>
    <row r="1065" spans="1:65" x14ac:dyDescent="0.25">
      <c r="A1065" s="2" t="s">
        <v>133</v>
      </c>
      <c r="B1065" s="4">
        <v>60</v>
      </c>
      <c r="C1065" s="4">
        <v>1</v>
      </c>
      <c r="D1065" s="4">
        <v>1</v>
      </c>
      <c r="E1065" s="4">
        <v>2</v>
      </c>
      <c r="F1065" s="4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2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1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2</v>
      </c>
      <c r="AS1065" s="3">
        <v>0</v>
      </c>
      <c r="AT1065" s="3">
        <v>0</v>
      </c>
      <c r="AU1065" s="3">
        <v>0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3">
        <v>0</v>
      </c>
      <c r="BB1065" s="3">
        <v>0</v>
      </c>
      <c r="BC1065" s="3">
        <v>0</v>
      </c>
      <c r="BD1065" s="3">
        <v>0</v>
      </c>
      <c r="BE1065" s="3">
        <v>0</v>
      </c>
      <c r="BF1065" s="3">
        <v>0</v>
      </c>
      <c r="BG1065" s="3">
        <v>0</v>
      </c>
      <c r="BH1065" s="3">
        <v>0</v>
      </c>
      <c r="BI1065" s="3">
        <v>0</v>
      </c>
      <c r="BJ1065" s="3">
        <v>0</v>
      </c>
      <c r="BK1065" s="3">
        <v>0</v>
      </c>
      <c r="BL1065" s="3">
        <v>1</v>
      </c>
      <c r="BM1065" s="3">
        <v>0</v>
      </c>
    </row>
    <row r="1066" spans="1:65" x14ac:dyDescent="0.25">
      <c r="A1066" s="2" t="s">
        <v>133</v>
      </c>
      <c r="B1066" s="4">
        <v>60</v>
      </c>
      <c r="C1066" s="4">
        <v>1</v>
      </c>
      <c r="D1066" s="4">
        <v>1</v>
      </c>
      <c r="E1066" s="4">
        <v>3</v>
      </c>
      <c r="F1066" s="4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1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0</v>
      </c>
      <c r="BD1066" s="3">
        <v>0</v>
      </c>
      <c r="BE1066" s="3">
        <v>0</v>
      </c>
      <c r="BF1066" s="3">
        <v>0</v>
      </c>
      <c r="BG1066" s="3">
        <v>0</v>
      </c>
      <c r="BH1066" s="3">
        <v>0</v>
      </c>
      <c r="BI1066" s="3">
        <v>0</v>
      </c>
      <c r="BJ1066" s="3">
        <v>0</v>
      </c>
      <c r="BK1066" s="3">
        <v>0</v>
      </c>
      <c r="BL1066" s="3">
        <v>0</v>
      </c>
      <c r="BM1066" s="3">
        <v>0</v>
      </c>
    </row>
    <row r="1067" spans="1:65" x14ac:dyDescent="0.25">
      <c r="A1067" s="2" t="s">
        <v>133</v>
      </c>
      <c r="B1067" s="4">
        <v>60</v>
      </c>
      <c r="C1067" s="4">
        <v>1</v>
      </c>
      <c r="D1067" s="4">
        <v>2</v>
      </c>
      <c r="E1067" s="4">
        <v>1</v>
      </c>
      <c r="F1067" s="4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  <c r="BC1067" s="3">
        <v>0</v>
      </c>
      <c r="BD1067" s="3">
        <v>0</v>
      </c>
      <c r="BE1067" s="3">
        <v>0</v>
      </c>
      <c r="BF1067" s="3">
        <v>0</v>
      </c>
      <c r="BG1067" s="3">
        <v>0</v>
      </c>
      <c r="BH1067" s="3">
        <v>0</v>
      </c>
      <c r="BI1067" s="3">
        <v>0</v>
      </c>
      <c r="BJ1067" s="3">
        <v>0</v>
      </c>
      <c r="BK1067" s="3">
        <v>0</v>
      </c>
      <c r="BL1067" s="3">
        <v>0</v>
      </c>
      <c r="BM1067" s="3">
        <v>0</v>
      </c>
    </row>
    <row r="1068" spans="1:65" x14ac:dyDescent="0.25">
      <c r="A1068" s="2" t="s">
        <v>133</v>
      </c>
      <c r="B1068" s="4">
        <v>60</v>
      </c>
      <c r="C1068" s="4">
        <v>1</v>
      </c>
      <c r="D1068" s="4">
        <v>2</v>
      </c>
      <c r="E1068" s="4">
        <v>2</v>
      </c>
      <c r="F1068" s="4">
        <v>0</v>
      </c>
      <c r="G1068" s="3">
        <v>1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0</v>
      </c>
      <c r="BB1068" s="3">
        <v>0</v>
      </c>
      <c r="BC1068" s="3">
        <v>0</v>
      </c>
      <c r="BD1068" s="3">
        <v>0</v>
      </c>
      <c r="BE1068" s="3">
        <v>0</v>
      </c>
      <c r="BF1068" s="3">
        <v>0</v>
      </c>
      <c r="BG1068" s="3">
        <v>0</v>
      </c>
      <c r="BH1068" s="3">
        <v>0</v>
      </c>
      <c r="BI1068" s="3">
        <v>0</v>
      </c>
      <c r="BJ1068" s="3">
        <v>0</v>
      </c>
      <c r="BK1068" s="3">
        <v>0</v>
      </c>
      <c r="BL1068" s="3">
        <v>0</v>
      </c>
      <c r="BM1068" s="3">
        <v>0</v>
      </c>
    </row>
    <row r="1069" spans="1:65" x14ac:dyDescent="0.25">
      <c r="A1069" s="2" t="s">
        <v>133</v>
      </c>
      <c r="B1069" s="4">
        <v>60</v>
      </c>
      <c r="C1069" s="4">
        <v>1</v>
      </c>
      <c r="D1069" s="4">
        <v>2</v>
      </c>
      <c r="E1069" s="4">
        <v>3</v>
      </c>
      <c r="F1069" s="4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  <c r="AX1069" s="3">
        <v>0</v>
      </c>
      <c r="AY1069" s="3">
        <v>0</v>
      </c>
      <c r="AZ1069" s="3">
        <v>0</v>
      </c>
      <c r="BA1069" s="3">
        <v>0</v>
      </c>
      <c r="BB1069" s="3">
        <v>0</v>
      </c>
      <c r="BC1069" s="3">
        <v>0</v>
      </c>
      <c r="BD1069" s="3">
        <v>0</v>
      </c>
      <c r="BE1069" s="3">
        <v>0</v>
      </c>
      <c r="BF1069" s="3">
        <v>0</v>
      </c>
      <c r="BG1069" s="3">
        <v>0</v>
      </c>
      <c r="BH1069" s="3">
        <v>0</v>
      </c>
      <c r="BI1069" s="3">
        <v>0</v>
      </c>
      <c r="BJ1069" s="3">
        <v>0</v>
      </c>
      <c r="BK1069" s="3">
        <v>0</v>
      </c>
      <c r="BL1069" s="3">
        <v>0</v>
      </c>
      <c r="BM1069" s="3">
        <v>0</v>
      </c>
    </row>
    <row r="1070" spans="1:65" x14ac:dyDescent="0.25">
      <c r="A1070" s="2" t="s">
        <v>133</v>
      </c>
      <c r="B1070" s="4">
        <v>60</v>
      </c>
      <c r="C1070" s="4">
        <v>1</v>
      </c>
      <c r="D1070" s="4">
        <v>3</v>
      </c>
      <c r="E1070" s="4">
        <v>1</v>
      </c>
      <c r="F1070" s="4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2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0</v>
      </c>
      <c r="AY1070" s="3">
        <v>0</v>
      </c>
      <c r="AZ1070" s="3">
        <v>0</v>
      </c>
      <c r="BA1070" s="3">
        <v>0</v>
      </c>
      <c r="BB1070" s="3">
        <v>0</v>
      </c>
      <c r="BC1070" s="3">
        <v>0</v>
      </c>
      <c r="BD1070" s="3">
        <v>0</v>
      </c>
      <c r="BE1070" s="3">
        <v>0</v>
      </c>
      <c r="BF1070" s="3">
        <v>0</v>
      </c>
      <c r="BG1070" s="3">
        <v>0</v>
      </c>
      <c r="BH1070" s="3">
        <v>0</v>
      </c>
      <c r="BI1070" s="3">
        <v>0</v>
      </c>
      <c r="BJ1070" s="3">
        <v>0</v>
      </c>
      <c r="BK1070" s="3">
        <v>0</v>
      </c>
      <c r="BL1070" s="3">
        <v>0</v>
      </c>
      <c r="BM1070" s="3">
        <v>0</v>
      </c>
    </row>
    <row r="1071" spans="1:65" x14ac:dyDescent="0.25">
      <c r="A1071" s="2" t="s">
        <v>133</v>
      </c>
      <c r="B1071" s="4">
        <v>60</v>
      </c>
      <c r="C1071" s="4">
        <v>1</v>
      </c>
      <c r="D1071" s="4">
        <v>3</v>
      </c>
      <c r="E1071" s="4">
        <v>2</v>
      </c>
      <c r="F1071" s="4">
        <v>0</v>
      </c>
      <c r="G1071" s="3">
        <v>1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0</v>
      </c>
      <c r="BB1071" s="3">
        <v>0</v>
      </c>
      <c r="BC1071" s="3">
        <v>0</v>
      </c>
      <c r="BD1071" s="3">
        <v>0</v>
      </c>
      <c r="BE1071" s="3">
        <v>0</v>
      </c>
      <c r="BF1071" s="3">
        <v>0</v>
      </c>
      <c r="BG1071" s="3">
        <v>0</v>
      </c>
      <c r="BH1071" s="3">
        <v>0</v>
      </c>
      <c r="BI1071" s="3">
        <v>0</v>
      </c>
      <c r="BJ1071" s="3">
        <v>0</v>
      </c>
      <c r="BK1071" s="3">
        <v>0</v>
      </c>
      <c r="BL1071" s="3">
        <v>0</v>
      </c>
      <c r="BM1071" s="3">
        <v>0</v>
      </c>
    </row>
    <row r="1072" spans="1:65" x14ac:dyDescent="0.25">
      <c r="A1072" s="2" t="s">
        <v>133</v>
      </c>
      <c r="B1072" s="4">
        <v>60</v>
      </c>
      <c r="C1072" s="4">
        <v>1</v>
      </c>
      <c r="D1072" s="4">
        <v>3</v>
      </c>
      <c r="E1072" s="4">
        <v>3</v>
      </c>
      <c r="F1072" s="4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0</v>
      </c>
      <c r="BB1072" s="3">
        <v>0</v>
      </c>
      <c r="BC1072" s="3">
        <v>0</v>
      </c>
      <c r="BD1072" s="3">
        <v>0</v>
      </c>
      <c r="BE1072" s="3">
        <v>0</v>
      </c>
      <c r="BF1072" s="3">
        <v>0</v>
      </c>
      <c r="BG1072" s="3">
        <v>0</v>
      </c>
      <c r="BH1072" s="3">
        <v>0</v>
      </c>
      <c r="BI1072" s="3">
        <v>0</v>
      </c>
      <c r="BJ1072" s="3">
        <v>1</v>
      </c>
      <c r="BK1072" s="3">
        <v>0</v>
      </c>
      <c r="BL1072" s="3">
        <v>0</v>
      </c>
      <c r="BM1072" s="3">
        <v>0</v>
      </c>
    </row>
    <row r="1073" spans="1:65" x14ac:dyDescent="0.25">
      <c r="A1073" s="2" t="s">
        <v>133</v>
      </c>
      <c r="B1073" s="4">
        <v>60</v>
      </c>
      <c r="C1073" s="4">
        <v>2</v>
      </c>
      <c r="D1073" s="4">
        <v>1</v>
      </c>
      <c r="E1073" s="4">
        <v>1</v>
      </c>
      <c r="F1073" s="6">
        <v>0</v>
      </c>
      <c r="G1073" s="3">
        <v>0</v>
      </c>
      <c r="H1073" s="3">
        <v>0</v>
      </c>
      <c r="I1073" s="3">
        <v>1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1</v>
      </c>
      <c r="Z1073" s="3">
        <v>0</v>
      </c>
      <c r="AA1073" s="3">
        <v>0</v>
      </c>
      <c r="AB1073" s="3">
        <v>1</v>
      </c>
      <c r="AC1073" s="3">
        <v>0</v>
      </c>
      <c r="AD1073" s="3">
        <v>0</v>
      </c>
      <c r="AE1073" s="3">
        <v>0</v>
      </c>
      <c r="AF1073" s="3">
        <v>2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  <c r="BA1073" s="3">
        <v>0</v>
      </c>
      <c r="BB1073" s="3">
        <v>0</v>
      </c>
      <c r="BC1073" s="3">
        <v>0</v>
      </c>
      <c r="BD1073" s="3">
        <v>0</v>
      </c>
      <c r="BE1073" s="3">
        <v>1</v>
      </c>
      <c r="BF1073" s="3">
        <v>0</v>
      </c>
      <c r="BG1073" s="3">
        <v>0</v>
      </c>
      <c r="BH1073" s="3">
        <v>0</v>
      </c>
      <c r="BI1073" s="3">
        <v>0</v>
      </c>
      <c r="BJ1073" s="3">
        <v>0</v>
      </c>
      <c r="BK1073" s="3">
        <v>0</v>
      </c>
      <c r="BL1073" s="3">
        <v>1</v>
      </c>
      <c r="BM1073" s="3">
        <v>0</v>
      </c>
    </row>
    <row r="1074" spans="1:65" x14ac:dyDescent="0.25">
      <c r="A1074" s="2" t="s">
        <v>133</v>
      </c>
      <c r="B1074" s="4">
        <v>60</v>
      </c>
      <c r="C1074" s="4">
        <v>2</v>
      </c>
      <c r="D1074" s="4">
        <v>1</v>
      </c>
      <c r="E1074" s="4">
        <v>2</v>
      </c>
      <c r="F1074" s="6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1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0</v>
      </c>
      <c r="BB1074" s="3">
        <v>0</v>
      </c>
      <c r="BC1074" s="3">
        <v>0</v>
      </c>
      <c r="BD1074" s="3">
        <v>0</v>
      </c>
      <c r="BE1074" s="3">
        <v>0</v>
      </c>
      <c r="BF1074" s="3">
        <v>0</v>
      </c>
      <c r="BG1074" s="3">
        <v>0</v>
      </c>
      <c r="BH1074" s="3">
        <v>0</v>
      </c>
      <c r="BI1074" s="3">
        <v>0</v>
      </c>
      <c r="BJ1074" s="3">
        <v>0</v>
      </c>
      <c r="BK1074" s="3">
        <v>0</v>
      </c>
      <c r="BL1074" s="3">
        <v>0</v>
      </c>
      <c r="BM1074" s="3">
        <v>0</v>
      </c>
    </row>
    <row r="1075" spans="1:65" x14ac:dyDescent="0.25">
      <c r="A1075" s="2" t="s">
        <v>133</v>
      </c>
      <c r="B1075" s="4">
        <v>60</v>
      </c>
      <c r="C1075" s="4">
        <v>2</v>
      </c>
      <c r="D1075" s="4">
        <v>1</v>
      </c>
      <c r="E1075" s="4">
        <v>3</v>
      </c>
      <c r="F1075" s="6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0</v>
      </c>
      <c r="AY1075" s="3">
        <v>0</v>
      </c>
      <c r="AZ1075" s="3">
        <v>0</v>
      </c>
      <c r="BA1075" s="3">
        <v>0</v>
      </c>
      <c r="BB1075" s="3">
        <v>0</v>
      </c>
      <c r="BC1075" s="3">
        <v>0</v>
      </c>
      <c r="BD1075" s="3">
        <v>0</v>
      </c>
      <c r="BE1075" s="3">
        <v>0</v>
      </c>
      <c r="BF1075" s="3">
        <v>0</v>
      </c>
      <c r="BG1075" s="3">
        <v>0</v>
      </c>
      <c r="BH1075" s="3">
        <v>0</v>
      </c>
      <c r="BI1075" s="3">
        <v>0</v>
      </c>
      <c r="BJ1075" s="3">
        <v>0</v>
      </c>
      <c r="BK1075" s="3">
        <v>0</v>
      </c>
      <c r="BL1075" s="3">
        <v>0</v>
      </c>
      <c r="BM1075" s="3">
        <v>0</v>
      </c>
    </row>
    <row r="1076" spans="1:65" x14ac:dyDescent="0.25">
      <c r="A1076" s="2" t="s">
        <v>133</v>
      </c>
      <c r="B1076" s="4">
        <v>60</v>
      </c>
      <c r="C1076" s="4">
        <v>2</v>
      </c>
      <c r="D1076" s="4">
        <v>2</v>
      </c>
      <c r="E1076" s="4">
        <v>1</v>
      </c>
      <c r="F1076" s="6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1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1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  <c r="BA1076" s="3">
        <v>0</v>
      </c>
      <c r="BB1076" s="3">
        <v>0</v>
      </c>
      <c r="BC1076" s="3">
        <v>0</v>
      </c>
      <c r="BD1076" s="3">
        <v>0</v>
      </c>
      <c r="BE1076" s="3">
        <v>0</v>
      </c>
      <c r="BF1076" s="3">
        <v>0</v>
      </c>
      <c r="BG1076" s="3">
        <v>0</v>
      </c>
      <c r="BH1076" s="3">
        <v>0</v>
      </c>
      <c r="BI1076" s="3">
        <v>0</v>
      </c>
      <c r="BJ1076" s="3">
        <v>0</v>
      </c>
      <c r="BK1076" s="3">
        <v>0</v>
      </c>
      <c r="BL1076" s="3">
        <v>0</v>
      </c>
      <c r="BM1076" s="3">
        <v>0</v>
      </c>
    </row>
    <row r="1077" spans="1:65" x14ac:dyDescent="0.25">
      <c r="A1077" s="2" t="s">
        <v>133</v>
      </c>
      <c r="B1077" s="4">
        <v>60</v>
      </c>
      <c r="C1077" s="4">
        <v>2</v>
      </c>
      <c r="D1077" s="4">
        <v>2</v>
      </c>
      <c r="E1077" s="4">
        <v>2</v>
      </c>
      <c r="F1077" s="6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  <c r="AX1077" s="3">
        <v>0</v>
      </c>
      <c r="AY1077" s="3">
        <v>0</v>
      </c>
      <c r="AZ1077" s="3">
        <v>0</v>
      </c>
      <c r="BA1077" s="3">
        <v>0</v>
      </c>
      <c r="BB1077" s="3">
        <v>0</v>
      </c>
      <c r="BC1077" s="3">
        <v>0</v>
      </c>
      <c r="BD1077" s="3">
        <v>0</v>
      </c>
      <c r="BE1077" s="3">
        <v>0</v>
      </c>
      <c r="BF1077" s="3">
        <v>0</v>
      </c>
      <c r="BG1077" s="3">
        <v>0</v>
      </c>
      <c r="BH1077" s="3">
        <v>0</v>
      </c>
      <c r="BI1077" s="3">
        <v>0</v>
      </c>
      <c r="BJ1077" s="3">
        <v>0</v>
      </c>
      <c r="BK1077" s="3">
        <v>0</v>
      </c>
      <c r="BL1077" s="3">
        <v>0</v>
      </c>
      <c r="BM1077" s="3">
        <v>0</v>
      </c>
    </row>
    <row r="1078" spans="1:65" x14ac:dyDescent="0.25">
      <c r="A1078" s="2" t="s">
        <v>133</v>
      </c>
      <c r="B1078" s="4">
        <v>60</v>
      </c>
      <c r="C1078" s="4">
        <v>2</v>
      </c>
      <c r="D1078" s="4">
        <v>2</v>
      </c>
      <c r="E1078" s="4">
        <v>3</v>
      </c>
      <c r="F1078" s="6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v>0</v>
      </c>
      <c r="BD1078" s="3">
        <v>0</v>
      </c>
      <c r="BE1078" s="3">
        <v>0</v>
      </c>
      <c r="BF1078" s="3">
        <v>0</v>
      </c>
      <c r="BG1078" s="3">
        <v>0</v>
      </c>
      <c r="BH1078" s="3">
        <v>0</v>
      </c>
      <c r="BI1078" s="3">
        <v>0</v>
      </c>
      <c r="BJ1078" s="3">
        <v>1</v>
      </c>
      <c r="BK1078" s="3">
        <v>0</v>
      </c>
      <c r="BL1078" s="3">
        <v>0</v>
      </c>
      <c r="BM1078" s="3">
        <v>0</v>
      </c>
    </row>
    <row r="1079" spans="1:65" x14ac:dyDescent="0.25">
      <c r="A1079" s="2" t="s">
        <v>133</v>
      </c>
      <c r="B1079" s="4">
        <v>60</v>
      </c>
      <c r="C1079" s="4">
        <v>2</v>
      </c>
      <c r="D1079" s="4">
        <v>3</v>
      </c>
      <c r="E1079" s="4">
        <v>1</v>
      </c>
      <c r="F1079" s="6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0</v>
      </c>
      <c r="BB1079" s="3">
        <v>0</v>
      </c>
      <c r="BC1079" s="3">
        <v>0</v>
      </c>
      <c r="BD1079" s="3">
        <v>0</v>
      </c>
      <c r="BE1079" s="3">
        <v>0</v>
      </c>
      <c r="BF1079" s="3">
        <v>0</v>
      </c>
      <c r="BG1079" s="3">
        <v>0</v>
      </c>
      <c r="BH1079" s="3">
        <v>0</v>
      </c>
      <c r="BI1079" s="3">
        <v>0</v>
      </c>
      <c r="BJ1079" s="3">
        <v>0</v>
      </c>
      <c r="BK1079" s="3">
        <v>0</v>
      </c>
      <c r="BL1079" s="3">
        <v>0</v>
      </c>
      <c r="BM1079" s="3">
        <v>0</v>
      </c>
    </row>
    <row r="1080" spans="1:65" x14ac:dyDescent="0.25">
      <c r="A1080" s="2" t="s">
        <v>133</v>
      </c>
      <c r="B1080" s="4">
        <v>60</v>
      </c>
      <c r="C1080" s="4">
        <v>2</v>
      </c>
      <c r="D1080" s="4">
        <v>3</v>
      </c>
      <c r="E1080" s="4">
        <v>2</v>
      </c>
      <c r="F1080" s="6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0</v>
      </c>
      <c r="BD1080" s="3">
        <v>0</v>
      </c>
      <c r="BE1080" s="3">
        <v>0</v>
      </c>
      <c r="BF1080" s="3">
        <v>0</v>
      </c>
      <c r="BG1080" s="3">
        <v>0</v>
      </c>
      <c r="BH1080" s="3">
        <v>0</v>
      </c>
      <c r="BI1080" s="3">
        <v>0</v>
      </c>
      <c r="BJ1080" s="3">
        <v>0</v>
      </c>
      <c r="BK1080" s="3">
        <v>0</v>
      </c>
      <c r="BL1080" s="3">
        <v>0</v>
      </c>
      <c r="BM1080" s="3">
        <v>0</v>
      </c>
    </row>
    <row r="1081" spans="1:65" x14ac:dyDescent="0.25">
      <c r="A1081" s="2" t="s">
        <v>133</v>
      </c>
      <c r="B1081" s="4">
        <v>60</v>
      </c>
      <c r="C1081" s="4">
        <v>2</v>
      </c>
      <c r="D1081" s="4">
        <v>3</v>
      </c>
      <c r="E1081" s="4">
        <v>3</v>
      </c>
      <c r="F1081" s="6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0</v>
      </c>
      <c r="BB1081" s="3">
        <v>0</v>
      </c>
      <c r="BC1081" s="3">
        <v>0</v>
      </c>
      <c r="BD1081" s="3">
        <v>0</v>
      </c>
      <c r="BE1081" s="3">
        <v>0</v>
      </c>
      <c r="BF1081" s="3">
        <v>0</v>
      </c>
      <c r="BG1081" s="3">
        <v>0</v>
      </c>
      <c r="BH1081" s="3">
        <v>0</v>
      </c>
      <c r="BI1081" s="3">
        <v>0</v>
      </c>
      <c r="BJ1081" s="3">
        <v>0</v>
      </c>
      <c r="BK1081" s="3">
        <v>0</v>
      </c>
      <c r="BL1081" s="3">
        <v>0</v>
      </c>
      <c r="BM1081" s="3">
        <v>0</v>
      </c>
    </row>
    <row r="1082" spans="1:65" x14ac:dyDescent="0.25">
      <c r="A1082" s="2" t="s">
        <v>134</v>
      </c>
      <c r="B1082" s="4">
        <v>61</v>
      </c>
      <c r="C1082" s="4">
        <v>1</v>
      </c>
      <c r="D1082" s="4">
        <v>1</v>
      </c>
      <c r="E1082" s="4">
        <v>1</v>
      </c>
      <c r="F1082" s="4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0</v>
      </c>
      <c r="BJ1082" s="3">
        <v>0</v>
      </c>
      <c r="BK1082" s="3">
        <v>0</v>
      </c>
      <c r="BL1082" s="3">
        <v>0</v>
      </c>
      <c r="BM1082" s="3">
        <v>0</v>
      </c>
    </row>
    <row r="1083" spans="1:65" x14ac:dyDescent="0.25">
      <c r="A1083" s="2" t="s">
        <v>134</v>
      </c>
      <c r="B1083" s="4">
        <v>61</v>
      </c>
      <c r="C1083" s="4">
        <v>1</v>
      </c>
      <c r="D1083" s="4">
        <v>1</v>
      </c>
      <c r="E1083" s="4">
        <v>2</v>
      </c>
      <c r="F1083" s="4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2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3">
        <v>0</v>
      </c>
      <c r="BB1083" s="3">
        <v>0</v>
      </c>
      <c r="BC1083" s="3">
        <v>0</v>
      </c>
      <c r="BD1083" s="3">
        <v>0</v>
      </c>
      <c r="BE1083" s="3">
        <v>0</v>
      </c>
      <c r="BF1083" s="3">
        <v>0</v>
      </c>
      <c r="BG1083" s="3">
        <v>0</v>
      </c>
      <c r="BH1083" s="3">
        <v>0</v>
      </c>
      <c r="BI1083" s="3">
        <v>0</v>
      </c>
      <c r="BJ1083" s="3">
        <v>0</v>
      </c>
      <c r="BK1083" s="3">
        <v>0</v>
      </c>
      <c r="BL1083" s="3">
        <v>2</v>
      </c>
      <c r="BM1083" s="3">
        <v>0</v>
      </c>
    </row>
    <row r="1084" spans="1:65" x14ac:dyDescent="0.25">
      <c r="A1084" s="2" t="s">
        <v>134</v>
      </c>
      <c r="B1084" s="4">
        <v>61</v>
      </c>
      <c r="C1084" s="4">
        <v>1</v>
      </c>
      <c r="D1084" s="4">
        <v>1</v>
      </c>
      <c r="E1084" s="4">
        <v>3</v>
      </c>
      <c r="F1084" s="4">
        <v>0</v>
      </c>
      <c r="G1084" s="3">
        <v>0</v>
      </c>
      <c r="H1084" s="3">
        <v>0</v>
      </c>
      <c r="I1084" s="3">
        <v>0</v>
      </c>
      <c r="J1084" s="3">
        <v>1</v>
      </c>
      <c r="K1084" s="3">
        <v>0</v>
      </c>
      <c r="L1084" s="3">
        <v>1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1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0</v>
      </c>
      <c r="BB1084" s="3">
        <v>0</v>
      </c>
      <c r="BC1084" s="3">
        <v>0</v>
      </c>
      <c r="BD1084" s="3">
        <v>0</v>
      </c>
      <c r="BE1084" s="3">
        <v>0</v>
      </c>
      <c r="BF1084" s="3">
        <v>0</v>
      </c>
      <c r="BG1084" s="3">
        <v>0</v>
      </c>
      <c r="BH1084" s="3">
        <v>0</v>
      </c>
      <c r="BI1084" s="3">
        <v>0</v>
      </c>
      <c r="BJ1084" s="3">
        <v>0</v>
      </c>
      <c r="BK1084" s="3">
        <v>0</v>
      </c>
      <c r="BL1084" s="3">
        <v>0</v>
      </c>
      <c r="BM1084" s="3">
        <v>0</v>
      </c>
    </row>
    <row r="1085" spans="1:65" x14ac:dyDescent="0.25">
      <c r="A1085" s="2" t="s">
        <v>134</v>
      </c>
      <c r="B1085" s="4">
        <v>61</v>
      </c>
      <c r="C1085" s="4">
        <v>1</v>
      </c>
      <c r="D1085" s="4">
        <v>2</v>
      </c>
      <c r="E1085" s="4">
        <v>1</v>
      </c>
      <c r="F1085" s="4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0</v>
      </c>
      <c r="BB1085" s="3">
        <v>0</v>
      </c>
      <c r="BC1085" s="3">
        <v>0</v>
      </c>
      <c r="BD1085" s="3">
        <v>0</v>
      </c>
      <c r="BE1085" s="3">
        <v>0</v>
      </c>
      <c r="BF1085" s="3">
        <v>0</v>
      </c>
      <c r="BG1085" s="3">
        <v>0</v>
      </c>
      <c r="BH1085" s="3">
        <v>0</v>
      </c>
      <c r="BI1085" s="3">
        <v>0</v>
      </c>
      <c r="BJ1085" s="3">
        <v>0</v>
      </c>
      <c r="BK1085" s="3">
        <v>0</v>
      </c>
      <c r="BL1085" s="3">
        <v>0</v>
      </c>
      <c r="BM1085" s="3">
        <v>0</v>
      </c>
    </row>
    <row r="1086" spans="1:65" x14ac:dyDescent="0.25">
      <c r="A1086" s="2" t="s">
        <v>134</v>
      </c>
      <c r="B1086" s="4">
        <v>61</v>
      </c>
      <c r="C1086" s="4">
        <v>1</v>
      </c>
      <c r="D1086" s="4">
        <v>2</v>
      </c>
      <c r="E1086" s="4">
        <v>2</v>
      </c>
      <c r="F1086" s="4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1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>
        <v>0</v>
      </c>
      <c r="BD1086" s="3">
        <v>0</v>
      </c>
      <c r="BE1086" s="3">
        <v>0</v>
      </c>
      <c r="BF1086" s="3">
        <v>0</v>
      </c>
      <c r="BG1086" s="3">
        <v>0</v>
      </c>
      <c r="BH1086" s="3">
        <v>0</v>
      </c>
      <c r="BI1086" s="3">
        <v>0</v>
      </c>
      <c r="BJ1086" s="3">
        <v>0</v>
      </c>
      <c r="BK1086" s="3">
        <v>0</v>
      </c>
      <c r="BL1086" s="3">
        <v>0</v>
      </c>
      <c r="BM1086" s="3">
        <v>0</v>
      </c>
    </row>
    <row r="1087" spans="1:65" x14ac:dyDescent="0.25">
      <c r="A1087" s="2" t="s">
        <v>134</v>
      </c>
      <c r="B1087" s="4">
        <v>61</v>
      </c>
      <c r="C1087" s="4">
        <v>1</v>
      </c>
      <c r="D1087" s="4">
        <v>2</v>
      </c>
      <c r="E1087" s="4">
        <v>3</v>
      </c>
      <c r="F1087" s="4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1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1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0</v>
      </c>
      <c r="BB1087" s="3">
        <v>0</v>
      </c>
      <c r="BC1087" s="3">
        <v>0</v>
      </c>
      <c r="BD1087" s="3">
        <v>0</v>
      </c>
      <c r="BE1087" s="3">
        <v>0</v>
      </c>
      <c r="BF1087" s="3">
        <v>0</v>
      </c>
      <c r="BG1087" s="3">
        <v>0</v>
      </c>
      <c r="BH1087" s="3">
        <v>0</v>
      </c>
      <c r="BI1087" s="3">
        <v>0</v>
      </c>
      <c r="BJ1087" s="3">
        <v>0</v>
      </c>
      <c r="BK1087" s="3">
        <v>0</v>
      </c>
      <c r="BL1087" s="3">
        <v>0</v>
      </c>
      <c r="BM1087" s="3">
        <v>0</v>
      </c>
    </row>
    <row r="1088" spans="1:65" x14ac:dyDescent="0.25">
      <c r="A1088" s="2" t="s">
        <v>134</v>
      </c>
      <c r="B1088" s="4">
        <v>61</v>
      </c>
      <c r="C1088" s="4">
        <v>1</v>
      </c>
      <c r="D1088" s="4">
        <v>3</v>
      </c>
      <c r="E1088" s="4">
        <v>1</v>
      </c>
      <c r="F1088" s="4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0</v>
      </c>
      <c r="BD1088" s="3">
        <v>0</v>
      </c>
      <c r="BE1088" s="3">
        <v>0</v>
      </c>
      <c r="BF1088" s="3">
        <v>0</v>
      </c>
      <c r="BG1088" s="3">
        <v>0</v>
      </c>
      <c r="BH1088" s="3">
        <v>0</v>
      </c>
      <c r="BI1088" s="3">
        <v>0</v>
      </c>
      <c r="BJ1088" s="3">
        <v>0</v>
      </c>
      <c r="BK1088" s="3">
        <v>0</v>
      </c>
      <c r="BL1088" s="3">
        <v>0</v>
      </c>
      <c r="BM1088" s="3">
        <v>0</v>
      </c>
    </row>
    <row r="1089" spans="1:65" x14ac:dyDescent="0.25">
      <c r="A1089" s="2" t="s">
        <v>134</v>
      </c>
      <c r="B1089" s="4">
        <v>61</v>
      </c>
      <c r="C1089" s="4">
        <v>1</v>
      </c>
      <c r="D1089" s="4">
        <v>3</v>
      </c>
      <c r="E1089" s="4">
        <v>2</v>
      </c>
      <c r="F1089" s="4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0</v>
      </c>
      <c r="BB1089" s="3">
        <v>0</v>
      </c>
      <c r="BC1089" s="3">
        <v>0</v>
      </c>
      <c r="BD1089" s="3">
        <v>0</v>
      </c>
      <c r="BE1089" s="3">
        <v>0</v>
      </c>
      <c r="BF1089" s="3">
        <v>0</v>
      </c>
      <c r="BG1089" s="3">
        <v>0</v>
      </c>
      <c r="BH1089" s="3">
        <v>0</v>
      </c>
      <c r="BI1089" s="3">
        <v>0</v>
      </c>
      <c r="BJ1089" s="3">
        <v>0</v>
      </c>
      <c r="BK1089" s="3">
        <v>0</v>
      </c>
      <c r="BL1089" s="3">
        <v>0</v>
      </c>
      <c r="BM1089" s="3">
        <v>0</v>
      </c>
    </row>
    <row r="1090" spans="1:65" x14ac:dyDescent="0.25">
      <c r="A1090" s="2" t="s">
        <v>134</v>
      </c>
      <c r="B1090" s="4">
        <v>61</v>
      </c>
      <c r="C1090" s="4">
        <v>1</v>
      </c>
      <c r="D1090" s="4">
        <v>3</v>
      </c>
      <c r="E1090" s="4">
        <v>3</v>
      </c>
      <c r="F1090" s="4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1</v>
      </c>
      <c r="N1090" s="3">
        <v>0</v>
      </c>
      <c r="O1090" s="3">
        <v>0</v>
      </c>
      <c r="P1090" s="3">
        <v>1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0</v>
      </c>
      <c r="BB1090" s="3">
        <v>0</v>
      </c>
      <c r="BC1090" s="3">
        <v>0</v>
      </c>
      <c r="BD1090" s="3">
        <v>0</v>
      </c>
      <c r="BE1090" s="3">
        <v>0</v>
      </c>
      <c r="BF1090" s="3">
        <v>0</v>
      </c>
      <c r="BG1090" s="3">
        <v>0</v>
      </c>
      <c r="BH1090" s="3">
        <v>0</v>
      </c>
      <c r="BI1090" s="3">
        <v>0</v>
      </c>
      <c r="BJ1090" s="3">
        <v>0</v>
      </c>
      <c r="BK1090" s="3">
        <v>0</v>
      </c>
      <c r="BL1090" s="3">
        <v>0</v>
      </c>
      <c r="BM1090" s="3">
        <v>0</v>
      </c>
    </row>
    <row r="1091" spans="1:65" x14ac:dyDescent="0.25">
      <c r="A1091" s="2" t="s">
        <v>134</v>
      </c>
      <c r="B1091" s="4">
        <v>61</v>
      </c>
      <c r="C1091" s="4">
        <v>2</v>
      </c>
      <c r="D1091" s="4">
        <v>1</v>
      </c>
      <c r="E1091" s="4">
        <v>1</v>
      </c>
      <c r="F1091" s="6">
        <v>0</v>
      </c>
      <c r="G1091" s="3">
        <v>2</v>
      </c>
      <c r="H1091" s="3">
        <v>0</v>
      </c>
      <c r="I1091" s="3">
        <v>0</v>
      </c>
      <c r="J1091" s="3">
        <v>0</v>
      </c>
      <c r="K1091" s="3">
        <v>0</v>
      </c>
      <c r="L1091" s="3">
        <v>1</v>
      </c>
      <c r="M1091" s="3">
        <v>0</v>
      </c>
      <c r="N1091" s="3">
        <v>0</v>
      </c>
      <c r="O1091" s="3">
        <v>1</v>
      </c>
      <c r="P1091" s="3">
        <v>0</v>
      </c>
      <c r="Q1091" s="3">
        <v>0</v>
      </c>
      <c r="R1091" s="3">
        <v>1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0</v>
      </c>
      <c r="BD1091" s="3">
        <v>0</v>
      </c>
      <c r="BE1091" s="3">
        <v>0</v>
      </c>
      <c r="BF1091" s="3">
        <v>0</v>
      </c>
      <c r="BG1091" s="3">
        <v>0</v>
      </c>
      <c r="BH1091" s="3">
        <v>0</v>
      </c>
      <c r="BI1091" s="3">
        <v>0</v>
      </c>
      <c r="BJ1091" s="3">
        <v>0</v>
      </c>
      <c r="BK1091" s="3">
        <v>0</v>
      </c>
      <c r="BL1091" s="3">
        <v>1</v>
      </c>
      <c r="BM1091" s="3">
        <v>0</v>
      </c>
    </row>
    <row r="1092" spans="1:65" x14ac:dyDescent="0.25">
      <c r="A1092" s="2" t="s">
        <v>134</v>
      </c>
      <c r="B1092" s="4">
        <v>61</v>
      </c>
      <c r="C1092" s="4">
        <v>2</v>
      </c>
      <c r="D1092" s="4">
        <v>1</v>
      </c>
      <c r="E1092" s="4">
        <v>2</v>
      </c>
      <c r="F1092" s="6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1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1</v>
      </c>
      <c r="AC1092" s="3">
        <v>0</v>
      </c>
      <c r="AD1092" s="3">
        <v>0</v>
      </c>
      <c r="AE1092" s="3">
        <v>0</v>
      </c>
      <c r="AF1092" s="3">
        <v>1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3">
        <v>0</v>
      </c>
      <c r="AY1092" s="3">
        <v>0</v>
      </c>
      <c r="AZ1092" s="3">
        <v>0</v>
      </c>
      <c r="BA1092" s="3">
        <v>0</v>
      </c>
      <c r="BB1092" s="3">
        <v>0</v>
      </c>
      <c r="BC1092" s="3">
        <v>0</v>
      </c>
      <c r="BD1092" s="3">
        <v>0</v>
      </c>
      <c r="BE1092" s="3">
        <v>0</v>
      </c>
      <c r="BF1092" s="3">
        <v>0</v>
      </c>
      <c r="BG1092" s="3">
        <v>0</v>
      </c>
      <c r="BH1092" s="3">
        <v>0</v>
      </c>
      <c r="BI1092" s="3">
        <v>0</v>
      </c>
      <c r="BJ1092" s="3">
        <v>0</v>
      </c>
      <c r="BK1092" s="3">
        <v>0</v>
      </c>
      <c r="BL1092" s="3">
        <v>2</v>
      </c>
      <c r="BM1092" s="3">
        <v>0</v>
      </c>
    </row>
    <row r="1093" spans="1:65" x14ac:dyDescent="0.25">
      <c r="A1093" s="2" t="s">
        <v>134</v>
      </c>
      <c r="B1093" s="4">
        <v>61</v>
      </c>
      <c r="C1093" s="4">
        <v>2</v>
      </c>
      <c r="D1093" s="4">
        <v>1</v>
      </c>
      <c r="E1093" s="4">
        <v>3</v>
      </c>
      <c r="F1093" s="6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3">
        <v>0</v>
      </c>
      <c r="BB1093" s="3">
        <v>0</v>
      </c>
      <c r="BC1093" s="3">
        <v>0</v>
      </c>
      <c r="BD1093" s="3">
        <v>0</v>
      </c>
      <c r="BE1093" s="3">
        <v>0</v>
      </c>
      <c r="BF1093" s="3">
        <v>0</v>
      </c>
      <c r="BG1093" s="3">
        <v>0</v>
      </c>
      <c r="BH1093" s="3">
        <v>0</v>
      </c>
      <c r="BI1093" s="3">
        <v>0</v>
      </c>
      <c r="BJ1093" s="3">
        <v>0</v>
      </c>
      <c r="BK1093" s="3">
        <v>0</v>
      </c>
      <c r="BL1093" s="3">
        <v>0</v>
      </c>
      <c r="BM1093" s="3">
        <v>0</v>
      </c>
    </row>
    <row r="1094" spans="1:65" x14ac:dyDescent="0.25">
      <c r="A1094" s="2" t="s">
        <v>134</v>
      </c>
      <c r="B1094" s="4">
        <v>61</v>
      </c>
      <c r="C1094" s="4">
        <v>2</v>
      </c>
      <c r="D1094" s="4">
        <v>2</v>
      </c>
      <c r="E1094" s="4">
        <v>1</v>
      </c>
      <c r="F1094" s="6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1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0</v>
      </c>
      <c r="BD1094" s="3">
        <v>0</v>
      </c>
      <c r="BE1094" s="3">
        <v>0</v>
      </c>
      <c r="BF1094" s="3">
        <v>0</v>
      </c>
      <c r="BG1094" s="3">
        <v>0</v>
      </c>
      <c r="BH1094" s="3">
        <v>0</v>
      </c>
      <c r="BI1094" s="3">
        <v>0</v>
      </c>
      <c r="BJ1094" s="3">
        <v>0</v>
      </c>
      <c r="BK1094" s="3">
        <v>0</v>
      </c>
      <c r="BL1094" s="3">
        <v>0</v>
      </c>
      <c r="BM1094" s="3">
        <v>0</v>
      </c>
    </row>
    <row r="1095" spans="1:65" x14ac:dyDescent="0.25">
      <c r="A1095" s="2" t="s">
        <v>134</v>
      </c>
      <c r="B1095" s="4">
        <v>61</v>
      </c>
      <c r="C1095" s="4">
        <v>2</v>
      </c>
      <c r="D1095" s="4">
        <v>2</v>
      </c>
      <c r="E1095" s="4">
        <v>2</v>
      </c>
      <c r="F1095" s="6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0</v>
      </c>
      <c r="AY1095" s="3">
        <v>0</v>
      </c>
      <c r="AZ1095" s="3">
        <v>0</v>
      </c>
      <c r="BA1095" s="3">
        <v>0</v>
      </c>
      <c r="BB1095" s="3">
        <v>0</v>
      </c>
      <c r="BC1095" s="3">
        <v>0</v>
      </c>
      <c r="BD1095" s="3">
        <v>0</v>
      </c>
      <c r="BE1095" s="3">
        <v>0</v>
      </c>
      <c r="BF1095" s="3">
        <v>0</v>
      </c>
      <c r="BG1095" s="3">
        <v>0</v>
      </c>
      <c r="BH1095" s="3">
        <v>0</v>
      </c>
      <c r="BI1095" s="3">
        <v>0</v>
      </c>
      <c r="BJ1095" s="3">
        <v>0</v>
      </c>
      <c r="BK1095" s="3">
        <v>0</v>
      </c>
      <c r="BL1095" s="3">
        <v>0</v>
      </c>
      <c r="BM1095" s="3">
        <v>0</v>
      </c>
    </row>
    <row r="1096" spans="1:65" x14ac:dyDescent="0.25">
      <c r="A1096" s="2" t="s">
        <v>134</v>
      </c>
      <c r="B1096" s="4">
        <v>61</v>
      </c>
      <c r="C1096" s="4">
        <v>2</v>
      </c>
      <c r="D1096" s="4">
        <v>2</v>
      </c>
      <c r="E1096" s="4">
        <v>3</v>
      </c>
      <c r="F1096" s="6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1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0</v>
      </c>
      <c r="AX1096" s="3">
        <v>0</v>
      </c>
      <c r="AY1096" s="3">
        <v>0</v>
      </c>
      <c r="AZ1096" s="3">
        <v>0</v>
      </c>
      <c r="BA1096" s="3">
        <v>0</v>
      </c>
      <c r="BB1096" s="3">
        <v>0</v>
      </c>
      <c r="BC1096" s="3">
        <v>0</v>
      </c>
      <c r="BD1096" s="3">
        <v>0</v>
      </c>
      <c r="BE1096" s="3">
        <v>0</v>
      </c>
      <c r="BF1096" s="3">
        <v>0</v>
      </c>
      <c r="BG1096" s="3">
        <v>0</v>
      </c>
      <c r="BH1096" s="3">
        <v>0</v>
      </c>
      <c r="BI1096" s="3">
        <v>0</v>
      </c>
      <c r="BJ1096" s="3">
        <v>0</v>
      </c>
      <c r="BK1096" s="3">
        <v>0</v>
      </c>
      <c r="BL1096" s="3">
        <v>0</v>
      </c>
      <c r="BM1096" s="3">
        <v>0</v>
      </c>
    </row>
    <row r="1097" spans="1:65" x14ac:dyDescent="0.25">
      <c r="A1097" s="2" t="s">
        <v>134</v>
      </c>
      <c r="B1097" s="4">
        <v>61</v>
      </c>
      <c r="C1097" s="4">
        <v>2</v>
      </c>
      <c r="D1097" s="4">
        <v>3</v>
      </c>
      <c r="E1097" s="4">
        <v>1</v>
      </c>
      <c r="F1097" s="6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  <c r="BA1097" s="3">
        <v>0</v>
      </c>
      <c r="BB1097" s="3">
        <v>0</v>
      </c>
      <c r="BC1097" s="3">
        <v>0</v>
      </c>
      <c r="BD1097" s="3">
        <v>0</v>
      </c>
      <c r="BE1097" s="3">
        <v>0</v>
      </c>
      <c r="BF1097" s="3">
        <v>0</v>
      </c>
      <c r="BG1097" s="3">
        <v>0</v>
      </c>
      <c r="BH1097" s="3">
        <v>0</v>
      </c>
      <c r="BI1097" s="3">
        <v>0</v>
      </c>
      <c r="BJ1097" s="3">
        <v>0</v>
      </c>
      <c r="BK1097" s="3">
        <v>0</v>
      </c>
      <c r="BL1097" s="3">
        <v>0</v>
      </c>
      <c r="BM1097" s="3">
        <v>0</v>
      </c>
    </row>
    <row r="1098" spans="1:65" x14ac:dyDescent="0.25">
      <c r="A1098" s="2" t="s">
        <v>134</v>
      </c>
      <c r="B1098" s="4">
        <v>61</v>
      </c>
      <c r="C1098" s="4">
        <v>2</v>
      </c>
      <c r="D1098" s="4">
        <v>3</v>
      </c>
      <c r="E1098" s="4">
        <v>2</v>
      </c>
      <c r="F1098" s="6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1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1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0</v>
      </c>
      <c r="BB1098" s="3">
        <v>0</v>
      </c>
      <c r="BC1098" s="3">
        <v>0</v>
      </c>
      <c r="BD1098" s="3">
        <v>0</v>
      </c>
      <c r="BE1098" s="3">
        <v>0</v>
      </c>
      <c r="BF1098" s="3">
        <v>0</v>
      </c>
      <c r="BG1098" s="3">
        <v>0</v>
      </c>
      <c r="BH1098" s="3">
        <v>0</v>
      </c>
      <c r="BI1098" s="3">
        <v>0</v>
      </c>
      <c r="BJ1098" s="3">
        <v>0</v>
      </c>
      <c r="BK1098" s="3">
        <v>0</v>
      </c>
      <c r="BL1098" s="3">
        <v>0</v>
      </c>
      <c r="BM1098" s="3">
        <v>0</v>
      </c>
    </row>
    <row r="1099" spans="1:65" x14ac:dyDescent="0.25">
      <c r="A1099" s="2" t="s">
        <v>134</v>
      </c>
      <c r="B1099" s="4">
        <v>61</v>
      </c>
      <c r="C1099" s="4">
        <v>2</v>
      </c>
      <c r="D1099" s="4">
        <v>3</v>
      </c>
      <c r="E1099" s="4">
        <v>3</v>
      </c>
      <c r="F1099" s="6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0</v>
      </c>
      <c r="AY1099" s="3">
        <v>0</v>
      </c>
      <c r="AZ1099" s="3">
        <v>0</v>
      </c>
      <c r="BA1099" s="3">
        <v>0</v>
      </c>
      <c r="BB1099" s="3">
        <v>0</v>
      </c>
      <c r="BC1099" s="3">
        <v>0</v>
      </c>
      <c r="BD1099" s="3">
        <v>0</v>
      </c>
      <c r="BE1099" s="3">
        <v>0</v>
      </c>
      <c r="BF1099" s="3">
        <v>0</v>
      </c>
      <c r="BG1099" s="3">
        <v>0</v>
      </c>
      <c r="BH1099" s="3">
        <v>0</v>
      </c>
      <c r="BI1099" s="3">
        <v>0</v>
      </c>
      <c r="BJ1099" s="3">
        <v>0</v>
      </c>
      <c r="BK1099" s="3">
        <v>0</v>
      </c>
      <c r="BL1099" s="3">
        <v>0</v>
      </c>
      <c r="BM1099" s="3">
        <v>0</v>
      </c>
    </row>
    <row r="1100" spans="1:65" x14ac:dyDescent="0.25">
      <c r="A1100" s="2" t="s">
        <v>135</v>
      </c>
      <c r="B1100" s="4">
        <v>62</v>
      </c>
      <c r="C1100" s="4">
        <v>1</v>
      </c>
      <c r="D1100" s="4">
        <v>1</v>
      </c>
      <c r="E1100" s="4">
        <v>1</v>
      </c>
      <c r="F1100" s="4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2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2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0</v>
      </c>
      <c r="BD1100" s="3">
        <v>0</v>
      </c>
      <c r="BE1100" s="3">
        <v>0</v>
      </c>
      <c r="BF1100" s="3">
        <v>0</v>
      </c>
      <c r="BG1100" s="3">
        <v>0</v>
      </c>
      <c r="BH1100" s="3">
        <v>0</v>
      </c>
      <c r="BI1100" s="3">
        <v>0</v>
      </c>
      <c r="BJ1100" s="3">
        <v>0</v>
      </c>
      <c r="BK1100" s="3">
        <v>0</v>
      </c>
      <c r="BL1100" s="3">
        <v>0</v>
      </c>
      <c r="BM1100" s="3">
        <v>0</v>
      </c>
    </row>
    <row r="1101" spans="1:65" x14ac:dyDescent="0.25">
      <c r="A1101" s="2" t="s">
        <v>135</v>
      </c>
      <c r="B1101" s="4">
        <v>62</v>
      </c>
      <c r="C1101" s="4">
        <v>1</v>
      </c>
      <c r="D1101" s="4">
        <v>1</v>
      </c>
      <c r="E1101" s="4">
        <v>2</v>
      </c>
      <c r="F1101" s="4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1</v>
      </c>
      <c r="M1101" s="3">
        <v>0</v>
      </c>
      <c r="N1101" s="3">
        <v>0</v>
      </c>
      <c r="O1101" s="3">
        <v>1</v>
      </c>
      <c r="P1101" s="3">
        <v>0</v>
      </c>
      <c r="Q1101" s="3">
        <v>0</v>
      </c>
      <c r="R1101" s="3">
        <v>1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1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0</v>
      </c>
      <c r="BB1101" s="3">
        <v>0</v>
      </c>
      <c r="BC1101" s="3">
        <v>0</v>
      </c>
      <c r="BD1101" s="3">
        <v>0</v>
      </c>
      <c r="BE1101" s="3">
        <v>0</v>
      </c>
      <c r="BF1101" s="3">
        <v>0</v>
      </c>
      <c r="BG1101" s="3">
        <v>0</v>
      </c>
      <c r="BH1101" s="3">
        <v>0</v>
      </c>
      <c r="BI1101" s="3">
        <v>0</v>
      </c>
      <c r="BJ1101" s="3">
        <v>0</v>
      </c>
      <c r="BK1101" s="3">
        <v>0</v>
      </c>
      <c r="BL1101" s="3">
        <v>2</v>
      </c>
      <c r="BM1101" s="3">
        <v>0</v>
      </c>
    </row>
    <row r="1102" spans="1:65" x14ac:dyDescent="0.25">
      <c r="A1102" s="2" t="s">
        <v>135</v>
      </c>
      <c r="B1102" s="4">
        <v>62</v>
      </c>
      <c r="C1102" s="4">
        <v>1</v>
      </c>
      <c r="D1102" s="4">
        <v>1</v>
      </c>
      <c r="E1102" s="4">
        <v>3</v>
      </c>
      <c r="F1102" s="4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1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0</v>
      </c>
      <c r="BB1102" s="3">
        <v>0</v>
      </c>
      <c r="BC1102" s="3">
        <v>0</v>
      </c>
      <c r="BD1102" s="3">
        <v>0</v>
      </c>
      <c r="BE1102" s="3">
        <v>0</v>
      </c>
      <c r="BF1102" s="3">
        <v>0</v>
      </c>
      <c r="BG1102" s="3">
        <v>0</v>
      </c>
      <c r="BH1102" s="3">
        <v>0</v>
      </c>
      <c r="BI1102" s="3">
        <v>0</v>
      </c>
      <c r="BJ1102" s="3">
        <v>0</v>
      </c>
      <c r="BK1102" s="3">
        <v>0</v>
      </c>
      <c r="BL1102" s="3">
        <v>0</v>
      </c>
      <c r="BM1102" s="3">
        <v>0</v>
      </c>
    </row>
    <row r="1103" spans="1:65" x14ac:dyDescent="0.25">
      <c r="A1103" s="2" t="s">
        <v>135</v>
      </c>
      <c r="B1103" s="4">
        <v>62</v>
      </c>
      <c r="C1103" s="4">
        <v>1</v>
      </c>
      <c r="D1103" s="4">
        <v>2</v>
      </c>
      <c r="E1103" s="4">
        <v>1</v>
      </c>
      <c r="F1103" s="4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0</v>
      </c>
      <c r="BD1103" s="3">
        <v>0</v>
      </c>
      <c r="BE1103" s="3">
        <v>0</v>
      </c>
      <c r="BF1103" s="3">
        <v>0</v>
      </c>
      <c r="BG1103" s="3">
        <v>0</v>
      </c>
      <c r="BH1103" s="3">
        <v>0</v>
      </c>
      <c r="BI1103" s="3">
        <v>0</v>
      </c>
      <c r="BJ1103" s="3">
        <v>0</v>
      </c>
      <c r="BK1103" s="3">
        <v>0</v>
      </c>
      <c r="BL1103" s="3">
        <v>0</v>
      </c>
      <c r="BM1103" s="3">
        <v>0</v>
      </c>
    </row>
    <row r="1104" spans="1:65" x14ac:dyDescent="0.25">
      <c r="A1104" s="2" t="s">
        <v>135</v>
      </c>
      <c r="B1104" s="4">
        <v>62</v>
      </c>
      <c r="C1104" s="4">
        <v>1</v>
      </c>
      <c r="D1104" s="4">
        <v>2</v>
      </c>
      <c r="E1104" s="4">
        <v>2</v>
      </c>
      <c r="F1104" s="4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1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0</v>
      </c>
      <c r="AX1104" s="3">
        <v>0</v>
      </c>
      <c r="AY1104" s="3">
        <v>0</v>
      </c>
      <c r="AZ1104" s="3">
        <v>0</v>
      </c>
      <c r="BA1104" s="3">
        <v>0</v>
      </c>
      <c r="BB1104" s="3">
        <v>0</v>
      </c>
      <c r="BC1104" s="3">
        <v>0</v>
      </c>
      <c r="BD1104" s="3">
        <v>0</v>
      </c>
      <c r="BE1104" s="3">
        <v>0</v>
      </c>
      <c r="BF1104" s="3">
        <v>0</v>
      </c>
      <c r="BG1104" s="3">
        <v>0</v>
      </c>
      <c r="BH1104" s="3">
        <v>0</v>
      </c>
      <c r="BI1104" s="3">
        <v>0</v>
      </c>
      <c r="BJ1104" s="3">
        <v>0</v>
      </c>
      <c r="BK1104" s="3">
        <v>0</v>
      </c>
      <c r="BL1104" s="3">
        <v>0</v>
      </c>
      <c r="BM1104" s="3">
        <v>0</v>
      </c>
    </row>
    <row r="1105" spans="1:65" x14ac:dyDescent="0.25">
      <c r="A1105" s="2" t="s">
        <v>135</v>
      </c>
      <c r="B1105" s="4">
        <v>62</v>
      </c>
      <c r="C1105" s="4">
        <v>1</v>
      </c>
      <c r="D1105" s="4">
        <v>2</v>
      </c>
      <c r="E1105" s="4">
        <v>3</v>
      </c>
      <c r="F1105" s="4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  <c r="BA1105" s="3">
        <v>0</v>
      </c>
      <c r="BB1105" s="3">
        <v>0</v>
      </c>
      <c r="BC1105" s="3">
        <v>0</v>
      </c>
      <c r="BD1105" s="3">
        <v>1</v>
      </c>
      <c r="BE1105" s="3">
        <v>0</v>
      </c>
      <c r="BF1105" s="3">
        <v>0</v>
      </c>
      <c r="BG1105" s="3">
        <v>0</v>
      </c>
      <c r="BH1105" s="3">
        <v>0</v>
      </c>
      <c r="BI1105" s="3">
        <v>0</v>
      </c>
      <c r="BJ1105" s="3">
        <v>0</v>
      </c>
      <c r="BK1105" s="3">
        <v>0</v>
      </c>
      <c r="BL1105" s="3">
        <v>0</v>
      </c>
      <c r="BM1105" s="3">
        <v>0</v>
      </c>
    </row>
    <row r="1106" spans="1:65" x14ac:dyDescent="0.25">
      <c r="A1106" s="2" t="s">
        <v>135</v>
      </c>
      <c r="B1106" s="4">
        <v>62</v>
      </c>
      <c r="C1106" s="4">
        <v>1</v>
      </c>
      <c r="D1106" s="4">
        <v>3</v>
      </c>
      <c r="E1106" s="4">
        <v>1</v>
      </c>
      <c r="F1106" s="4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0</v>
      </c>
      <c r="BB1106" s="3">
        <v>0</v>
      </c>
      <c r="BC1106" s="3">
        <v>0</v>
      </c>
      <c r="BD1106" s="3">
        <v>0</v>
      </c>
      <c r="BE1106" s="3">
        <v>0</v>
      </c>
      <c r="BF1106" s="3">
        <v>0</v>
      </c>
      <c r="BG1106" s="3">
        <v>0</v>
      </c>
      <c r="BH1106" s="3">
        <v>0</v>
      </c>
      <c r="BI1106" s="3">
        <v>0</v>
      </c>
      <c r="BJ1106" s="3">
        <v>0</v>
      </c>
      <c r="BK1106" s="3">
        <v>0</v>
      </c>
      <c r="BL1106" s="3">
        <v>0</v>
      </c>
      <c r="BM1106" s="3">
        <v>0</v>
      </c>
    </row>
    <row r="1107" spans="1:65" x14ac:dyDescent="0.25">
      <c r="A1107" s="2" t="s">
        <v>135</v>
      </c>
      <c r="B1107" s="4">
        <v>62</v>
      </c>
      <c r="C1107" s="4">
        <v>1</v>
      </c>
      <c r="D1107" s="4">
        <v>3</v>
      </c>
      <c r="E1107" s="4">
        <v>2</v>
      </c>
      <c r="F1107" s="4">
        <v>0</v>
      </c>
      <c r="G1107" s="3">
        <v>1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3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0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0</v>
      </c>
      <c r="BD1107" s="3">
        <v>0</v>
      </c>
      <c r="BE1107" s="3">
        <v>0</v>
      </c>
      <c r="BF1107" s="3">
        <v>0</v>
      </c>
      <c r="BG1107" s="3">
        <v>0</v>
      </c>
      <c r="BH1107" s="3">
        <v>0</v>
      </c>
      <c r="BI1107" s="3">
        <v>0</v>
      </c>
      <c r="BJ1107" s="3">
        <v>0</v>
      </c>
      <c r="BK1107" s="3">
        <v>0</v>
      </c>
      <c r="BL1107" s="3">
        <v>0</v>
      </c>
      <c r="BM1107" s="3">
        <v>0</v>
      </c>
    </row>
    <row r="1108" spans="1:65" x14ac:dyDescent="0.25">
      <c r="A1108" s="2" t="s">
        <v>135</v>
      </c>
      <c r="B1108" s="4">
        <v>62</v>
      </c>
      <c r="C1108" s="4">
        <v>1</v>
      </c>
      <c r="D1108" s="4">
        <v>3</v>
      </c>
      <c r="E1108" s="4">
        <v>3</v>
      </c>
      <c r="F1108" s="4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1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  <c r="BA1108" s="3">
        <v>0</v>
      </c>
      <c r="BB1108" s="3">
        <v>0</v>
      </c>
      <c r="BC1108" s="3">
        <v>0</v>
      </c>
      <c r="BD1108" s="3">
        <v>0</v>
      </c>
      <c r="BE1108" s="3">
        <v>0</v>
      </c>
      <c r="BF1108" s="3">
        <v>0</v>
      </c>
      <c r="BG1108" s="3">
        <v>0</v>
      </c>
      <c r="BH1108" s="3">
        <v>0</v>
      </c>
      <c r="BI1108" s="3">
        <v>0</v>
      </c>
      <c r="BJ1108" s="3">
        <v>0</v>
      </c>
      <c r="BK1108" s="3">
        <v>0</v>
      </c>
      <c r="BL1108" s="3">
        <v>0</v>
      </c>
      <c r="BM1108" s="3">
        <v>0</v>
      </c>
    </row>
    <row r="1109" spans="1:65" x14ac:dyDescent="0.25">
      <c r="A1109" s="2" t="s">
        <v>135</v>
      </c>
      <c r="B1109" s="4">
        <v>62</v>
      </c>
      <c r="C1109" s="4">
        <v>2</v>
      </c>
      <c r="D1109" s="4">
        <v>1</v>
      </c>
      <c r="E1109" s="4">
        <v>1</v>
      </c>
      <c r="F1109" s="6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2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1</v>
      </c>
      <c r="AC1109" s="3">
        <v>0</v>
      </c>
      <c r="AD1109" s="3">
        <v>0</v>
      </c>
      <c r="AE1109" s="3">
        <v>0</v>
      </c>
      <c r="AF1109" s="3">
        <v>1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>
        <v>0</v>
      </c>
      <c r="BD1109" s="3">
        <v>0</v>
      </c>
      <c r="BE1109" s="3">
        <v>0</v>
      </c>
      <c r="BF1109" s="3">
        <v>0</v>
      </c>
      <c r="BG1109" s="3">
        <v>0</v>
      </c>
      <c r="BH1109" s="3">
        <v>0</v>
      </c>
      <c r="BI1109" s="3">
        <v>0</v>
      </c>
      <c r="BJ1109" s="3">
        <v>0</v>
      </c>
      <c r="BK1109" s="3">
        <v>0</v>
      </c>
      <c r="BL1109" s="3">
        <v>1</v>
      </c>
      <c r="BM1109" s="3">
        <v>0</v>
      </c>
    </row>
    <row r="1110" spans="1:65" x14ac:dyDescent="0.25">
      <c r="A1110" s="2" t="s">
        <v>135</v>
      </c>
      <c r="B1110" s="4">
        <v>62</v>
      </c>
      <c r="C1110" s="4">
        <v>2</v>
      </c>
      <c r="D1110" s="4">
        <v>1</v>
      </c>
      <c r="E1110" s="4">
        <v>2</v>
      </c>
      <c r="F1110" s="6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1</v>
      </c>
      <c r="M1110" s="3">
        <v>0</v>
      </c>
      <c r="N1110" s="3">
        <v>1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1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1</v>
      </c>
      <c r="BC1110" s="3">
        <v>0</v>
      </c>
      <c r="BD1110" s="3">
        <v>0</v>
      </c>
      <c r="BE1110" s="3">
        <v>0</v>
      </c>
      <c r="BF1110" s="3">
        <v>0</v>
      </c>
      <c r="BG1110" s="3">
        <v>0</v>
      </c>
      <c r="BH1110" s="3">
        <v>0</v>
      </c>
      <c r="BI1110" s="3">
        <v>0</v>
      </c>
      <c r="BJ1110" s="3">
        <v>0</v>
      </c>
      <c r="BK1110" s="3">
        <v>0</v>
      </c>
      <c r="BL1110" s="3">
        <v>0</v>
      </c>
      <c r="BM1110" s="3">
        <v>0</v>
      </c>
    </row>
    <row r="1111" spans="1:65" x14ac:dyDescent="0.25">
      <c r="A1111" s="2" t="s">
        <v>135</v>
      </c>
      <c r="B1111" s="4">
        <v>62</v>
      </c>
      <c r="C1111" s="4">
        <v>2</v>
      </c>
      <c r="D1111" s="4">
        <v>1</v>
      </c>
      <c r="E1111" s="4">
        <v>3</v>
      </c>
      <c r="F1111" s="6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0</v>
      </c>
      <c r="BC1111" s="3">
        <v>0</v>
      </c>
      <c r="BD1111" s="3">
        <v>0</v>
      </c>
      <c r="BE1111" s="3">
        <v>1</v>
      </c>
      <c r="BF1111" s="3">
        <v>0</v>
      </c>
      <c r="BG1111" s="3">
        <v>0</v>
      </c>
      <c r="BH1111" s="3">
        <v>0</v>
      </c>
      <c r="BI1111" s="3">
        <v>0</v>
      </c>
      <c r="BJ1111" s="3">
        <v>0</v>
      </c>
      <c r="BK1111" s="3">
        <v>0</v>
      </c>
      <c r="BL1111" s="3">
        <v>0</v>
      </c>
      <c r="BM1111" s="3">
        <v>0</v>
      </c>
    </row>
    <row r="1112" spans="1:65" x14ac:dyDescent="0.25">
      <c r="A1112" s="2" t="s">
        <v>135</v>
      </c>
      <c r="B1112" s="4">
        <v>62</v>
      </c>
      <c r="C1112" s="4">
        <v>2</v>
      </c>
      <c r="D1112" s="4">
        <v>2</v>
      </c>
      <c r="E1112" s="4">
        <v>1</v>
      </c>
      <c r="F1112" s="6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0</v>
      </c>
      <c r="BB1112" s="3">
        <v>0</v>
      </c>
      <c r="BC1112" s="3">
        <v>0</v>
      </c>
      <c r="BD1112" s="3">
        <v>0</v>
      </c>
      <c r="BE1112" s="3">
        <v>0</v>
      </c>
      <c r="BF1112" s="3">
        <v>0</v>
      </c>
      <c r="BG1112" s="3">
        <v>0</v>
      </c>
      <c r="BH1112" s="3">
        <v>0</v>
      </c>
      <c r="BI1112" s="3">
        <v>0</v>
      </c>
      <c r="BJ1112" s="3">
        <v>0</v>
      </c>
      <c r="BK1112" s="3">
        <v>0</v>
      </c>
      <c r="BL1112" s="3">
        <v>1</v>
      </c>
      <c r="BM1112" s="3">
        <v>0</v>
      </c>
    </row>
    <row r="1113" spans="1:65" x14ac:dyDescent="0.25">
      <c r="A1113" s="2" t="s">
        <v>135</v>
      </c>
      <c r="B1113" s="4">
        <v>62</v>
      </c>
      <c r="C1113" s="4">
        <v>2</v>
      </c>
      <c r="D1113" s="4">
        <v>2</v>
      </c>
      <c r="E1113" s="4">
        <v>2</v>
      </c>
      <c r="F1113" s="6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1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1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0</v>
      </c>
      <c r="BB1113" s="3">
        <v>0</v>
      </c>
      <c r="BC1113" s="3">
        <v>0</v>
      </c>
      <c r="BD1113" s="3">
        <v>0</v>
      </c>
      <c r="BE1113" s="3">
        <v>0</v>
      </c>
      <c r="BF1113" s="3">
        <v>0</v>
      </c>
      <c r="BG1113" s="3">
        <v>0</v>
      </c>
      <c r="BH1113" s="3">
        <v>0</v>
      </c>
      <c r="BI1113" s="3">
        <v>0</v>
      </c>
      <c r="BJ1113" s="3">
        <v>0</v>
      </c>
      <c r="BK1113" s="3">
        <v>0</v>
      </c>
      <c r="BL1113" s="3">
        <v>0</v>
      </c>
      <c r="BM1113" s="3">
        <v>0</v>
      </c>
    </row>
    <row r="1114" spans="1:65" x14ac:dyDescent="0.25">
      <c r="A1114" s="2" t="s">
        <v>135</v>
      </c>
      <c r="B1114" s="4">
        <v>62</v>
      </c>
      <c r="C1114" s="4">
        <v>2</v>
      </c>
      <c r="D1114" s="4">
        <v>2</v>
      </c>
      <c r="E1114" s="4">
        <v>3</v>
      </c>
      <c r="F1114" s="6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0</v>
      </c>
      <c r="BD1114" s="3">
        <v>0</v>
      </c>
      <c r="BE1114" s="3">
        <v>0</v>
      </c>
      <c r="BF1114" s="3">
        <v>0</v>
      </c>
      <c r="BG1114" s="3">
        <v>0</v>
      </c>
      <c r="BH1114" s="3">
        <v>0</v>
      </c>
      <c r="BI1114" s="3">
        <v>0</v>
      </c>
      <c r="BJ1114" s="3">
        <v>0</v>
      </c>
      <c r="BK1114" s="3">
        <v>0</v>
      </c>
      <c r="BL1114" s="3">
        <v>0</v>
      </c>
      <c r="BM1114" s="3">
        <v>0</v>
      </c>
    </row>
    <row r="1115" spans="1:65" x14ac:dyDescent="0.25">
      <c r="A1115" s="2" t="s">
        <v>135</v>
      </c>
      <c r="B1115" s="4">
        <v>62</v>
      </c>
      <c r="C1115" s="4">
        <v>2</v>
      </c>
      <c r="D1115" s="4">
        <v>3</v>
      </c>
      <c r="E1115" s="4">
        <v>1</v>
      </c>
      <c r="F1115" s="6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1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  <c r="BC1115" s="3">
        <v>0</v>
      </c>
      <c r="BD1115" s="3">
        <v>0</v>
      </c>
      <c r="BE1115" s="3">
        <v>0</v>
      </c>
      <c r="BF1115" s="3">
        <v>0</v>
      </c>
      <c r="BG1115" s="3">
        <v>0</v>
      </c>
      <c r="BH1115" s="3">
        <v>0</v>
      </c>
      <c r="BI1115" s="3">
        <v>0</v>
      </c>
      <c r="BJ1115" s="3">
        <v>0</v>
      </c>
      <c r="BK1115" s="3">
        <v>0</v>
      </c>
      <c r="BL1115" s="3">
        <v>0</v>
      </c>
      <c r="BM1115" s="3">
        <v>0</v>
      </c>
    </row>
    <row r="1116" spans="1:65" x14ac:dyDescent="0.25">
      <c r="A1116" s="2" t="s">
        <v>135</v>
      </c>
      <c r="B1116" s="4">
        <v>62</v>
      </c>
      <c r="C1116" s="4">
        <v>2</v>
      </c>
      <c r="D1116" s="4">
        <v>3</v>
      </c>
      <c r="E1116" s="4">
        <v>2</v>
      </c>
      <c r="F1116" s="6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0</v>
      </c>
      <c r="BB1116" s="3">
        <v>0</v>
      </c>
      <c r="BC1116" s="3">
        <v>0</v>
      </c>
      <c r="BD1116" s="3">
        <v>0</v>
      </c>
      <c r="BE1116" s="3">
        <v>0</v>
      </c>
      <c r="BF1116" s="3">
        <v>0</v>
      </c>
      <c r="BG1116" s="3">
        <v>0</v>
      </c>
      <c r="BH1116" s="3">
        <v>0</v>
      </c>
      <c r="BI1116" s="3">
        <v>0</v>
      </c>
      <c r="BJ1116" s="3">
        <v>0</v>
      </c>
      <c r="BK1116" s="3">
        <v>0</v>
      </c>
      <c r="BL1116" s="3">
        <v>0</v>
      </c>
      <c r="BM1116" s="3">
        <v>0</v>
      </c>
    </row>
    <row r="1117" spans="1:65" x14ac:dyDescent="0.25">
      <c r="A1117" s="2" t="s">
        <v>135</v>
      </c>
      <c r="B1117" s="4">
        <v>62</v>
      </c>
      <c r="C1117" s="4">
        <v>2</v>
      </c>
      <c r="D1117" s="4">
        <v>3</v>
      </c>
      <c r="E1117" s="4">
        <v>3</v>
      </c>
      <c r="F1117" s="6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3">
        <v>0</v>
      </c>
      <c r="AY1117" s="3">
        <v>0</v>
      </c>
      <c r="AZ1117" s="3">
        <v>0</v>
      </c>
      <c r="BA1117" s="3">
        <v>0</v>
      </c>
      <c r="BB1117" s="3">
        <v>0</v>
      </c>
      <c r="BC1117" s="3">
        <v>0</v>
      </c>
      <c r="BD1117" s="3">
        <v>0</v>
      </c>
      <c r="BE1117" s="3">
        <v>0</v>
      </c>
      <c r="BF1117" s="3">
        <v>0</v>
      </c>
      <c r="BG1117" s="3">
        <v>0</v>
      </c>
      <c r="BH1117" s="3">
        <v>0</v>
      </c>
      <c r="BI1117" s="3">
        <v>0</v>
      </c>
      <c r="BJ1117" s="3">
        <v>0</v>
      </c>
      <c r="BK1117" s="3">
        <v>0</v>
      </c>
      <c r="BL1117" s="3">
        <v>0</v>
      </c>
      <c r="BM1117" s="3">
        <v>0</v>
      </c>
    </row>
    <row r="1118" spans="1:65" x14ac:dyDescent="0.25">
      <c r="A1118" s="2" t="s">
        <v>136</v>
      </c>
      <c r="B1118" s="4">
        <v>63</v>
      </c>
      <c r="C1118" s="4">
        <v>1</v>
      </c>
      <c r="D1118" s="4">
        <v>1</v>
      </c>
      <c r="E1118" s="4">
        <v>1</v>
      </c>
      <c r="F1118" s="4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1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1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1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0</v>
      </c>
      <c r="BD1118" s="3">
        <v>0</v>
      </c>
      <c r="BE1118" s="3">
        <v>0</v>
      </c>
      <c r="BF1118" s="3">
        <v>0</v>
      </c>
      <c r="BG1118" s="3">
        <v>0</v>
      </c>
      <c r="BH1118" s="3">
        <v>0</v>
      </c>
      <c r="BI1118" s="3">
        <v>0</v>
      </c>
      <c r="BJ1118" s="3">
        <v>0</v>
      </c>
      <c r="BK1118" s="3">
        <v>0</v>
      </c>
      <c r="BL1118" s="3">
        <v>1</v>
      </c>
      <c r="BM1118" s="3">
        <v>0</v>
      </c>
    </row>
    <row r="1119" spans="1:65" x14ac:dyDescent="0.25">
      <c r="A1119" s="2" t="s">
        <v>136</v>
      </c>
      <c r="B1119" s="4">
        <v>63</v>
      </c>
      <c r="C1119" s="4">
        <v>1</v>
      </c>
      <c r="D1119" s="4">
        <v>1</v>
      </c>
      <c r="E1119" s="4">
        <v>2</v>
      </c>
      <c r="F1119" s="4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0</v>
      </c>
      <c r="BD1119" s="3">
        <v>0</v>
      </c>
      <c r="BE1119" s="3">
        <v>0</v>
      </c>
      <c r="BF1119" s="3">
        <v>0</v>
      </c>
      <c r="BG1119" s="3">
        <v>0</v>
      </c>
      <c r="BH1119" s="3">
        <v>0</v>
      </c>
      <c r="BI1119" s="3">
        <v>0</v>
      </c>
      <c r="BJ1119" s="3">
        <v>0</v>
      </c>
      <c r="BK1119" s="3">
        <v>0</v>
      </c>
      <c r="BL1119" s="3">
        <v>0</v>
      </c>
      <c r="BM1119" s="3">
        <v>0</v>
      </c>
    </row>
    <row r="1120" spans="1:65" x14ac:dyDescent="0.25">
      <c r="A1120" s="2" t="s">
        <v>136</v>
      </c>
      <c r="B1120" s="4">
        <v>63</v>
      </c>
      <c r="C1120" s="4">
        <v>1</v>
      </c>
      <c r="D1120" s="4">
        <v>1</v>
      </c>
      <c r="E1120" s="4">
        <v>3</v>
      </c>
      <c r="F1120" s="4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1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1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1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0</v>
      </c>
      <c r="BC1120" s="3">
        <v>0</v>
      </c>
      <c r="BD1120" s="3">
        <v>0</v>
      </c>
      <c r="BE1120" s="3">
        <v>0</v>
      </c>
      <c r="BF1120" s="3">
        <v>0</v>
      </c>
      <c r="BG1120" s="3">
        <v>0</v>
      </c>
      <c r="BH1120" s="3">
        <v>0</v>
      </c>
      <c r="BI1120" s="3">
        <v>0</v>
      </c>
      <c r="BJ1120" s="3">
        <v>0</v>
      </c>
      <c r="BK1120" s="3">
        <v>0</v>
      </c>
      <c r="BL1120" s="3">
        <v>0</v>
      </c>
      <c r="BM1120" s="3">
        <v>0</v>
      </c>
    </row>
    <row r="1121" spans="1:65" x14ac:dyDescent="0.25">
      <c r="A1121" s="2" t="s">
        <v>136</v>
      </c>
      <c r="B1121" s="4">
        <v>63</v>
      </c>
      <c r="C1121" s="4">
        <v>1</v>
      </c>
      <c r="D1121" s="4">
        <v>2</v>
      </c>
      <c r="E1121" s="4">
        <v>1</v>
      </c>
      <c r="F1121" s="4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1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0</v>
      </c>
      <c r="BB1121" s="3">
        <v>0</v>
      </c>
      <c r="BC1121" s="3">
        <v>0</v>
      </c>
      <c r="BD1121" s="3">
        <v>0</v>
      </c>
      <c r="BE1121" s="3">
        <v>0</v>
      </c>
      <c r="BF1121" s="3">
        <v>0</v>
      </c>
      <c r="BG1121" s="3">
        <v>0</v>
      </c>
      <c r="BH1121" s="3">
        <v>0</v>
      </c>
      <c r="BI1121" s="3">
        <v>0</v>
      </c>
      <c r="BJ1121" s="3">
        <v>0</v>
      </c>
      <c r="BK1121" s="3">
        <v>0</v>
      </c>
      <c r="BL1121" s="3">
        <v>1</v>
      </c>
      <c r="BM1121" s="3">
        <v>0</v>
      </c>
    </row>
    <row r="1122" spans="1:65" x14ac:dyDescent="0.25">
      <c r="A1122" s="2" t="s">
        <v>136</v>
      </c>
      <c r="B1122" s="4">
        <v>63</v>
      </c>
      <c r="C1122" s="4">
        <v>1</v>
      </c>
      <c r="D1122" s="4">
        <v>2</v>
      </c>
      <c r="E1122" s="4">
        <v>2</v>
      </c>
      <c r="F1122" s="4">
        <v>0</v>
      </c>
      <c r="G1122" s="3">
        <v>1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v>0</v>
      </c>
      <c r="BD1122" s="3">
        <v>0</v>
      </c>
      <c r="BE1122" s="3">
        <v>0</v>
      </c>
      <c r="BF1122" s="3">
        <v>0</v>
      </c>
      <c r="BG1122" s="3">
        <v>0</v>
      </c>
      <c r="BH1122" s="3">
        <v>0</v>
      </c>
      <c r="BI1122" s="3">
        <v>0</v>
      </c>
      <c r="BJ1122" s="3">
        <v>0</v>
      </c>
      <c r="BK1122" s="3">
        <v>0</v>
      </c>
      <c r="BL1122" s="3">
        <v>0</v>
      </c>
      <c r="BM1122" s="3">
        <v>0</v>
      </c>
    </row>
    <row r="1123" spans="1:65" x14ac:dyDescent="0.25">
      <c r="A1123" s="2" t="s">
        <v>136</v>
      </c>
      <c r="B1123" s="4">
        <v>63</v>
      </c>
      <c r="C1123" s="4">
        <v>1</v>
      </c>
      <c r="D1123" s="4">
        <v>2</v>
      </c>
      <c r="E1123" s="4">
        <v>3</v>
      </c>
      <c r="F1123" s="4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3">
        <v>0</v>
      </c>
      <c r="AY1123" s="3">
        <v>0</v>
      </c>
      <c r="AZ1123" s="3">
        <v>0</v>
      </c>
      <c r="BA1123" s="3">
        <v>0</v>
      </c>
      <c r="BB1123" s="3">
        <v>0</v>
      </c>
      <c r="BC1123" s="3">
        <v>0</v>
      </c>
      <c r="BD1123" s="3">
        <v>0</v>
      </c>
      <c r="BE1123" s="3">
        <v>0</v>
      </c>
      <c r="BF1123" s="3">
        <v>0</v>
      </c>
      <c r="BG1123" s="3">
        <v>0</v>
      </c>
      <c r="BH1123" s="3">
        <v>0</v>
      </c>
      <c r="BI1123" s="3">
        <v>0</v>
      </c>
      <c r="BJ1123" s="3">
        <v>0</v>
      </c>
      <c r="BK1123" s="3">
        <v>0</v>
      </c>
      <c r="BL1123" s="3">
        <v>0</v>
      </c>
      <c r="BM1123" s="3">
        <v>0</v>
      </c>
    </row>
    <row r="1124" spans="1:65" x14ac:dyDescent="0.25">
      <c r="A1124" s="2" t="s">
        <v>136</v>
      </c>
      <c r="B1124" s="4">
        <v>63</v>
      </c>
      <c r="C1124" s="4">
        <v>1</v>
      </c>
      <c r="D1124" s="4">
        <v>3</v>
      </c>
      <c r="E1124" s="4">
        <v>1</v>
      </c>
      <c r="F1124" s="4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0</v>
      </c>
      <c r="AX1124" s="3">
        <v>0</v>
      </c>
      <c r="AY1124" s="3">
        <v>0</v>
      </c>
      <c r="AZ1124" s="3">
        <v>0</v>
      </c>
      <c r="BA1124" s="3">
        <v>0</v>
      </c>
      <c r="BB1124" s="3">
        <v>0</v>
      </c>
      <c r="BC1124" s="3">
        <v>0</v>
      </c>
      <c r="BD1124" s="3">
        <v>0</v>
      </c>
      <c r="BE1124" s="3">
        <v>0</v>
      </c>
      <c r="BF1124" s="3">
        <v>0</v>
      </c>
      <c r="BG1124" s="3">
        <v>0</v>
      </c>
      <c r="BH1124" s="3">
        <v>0</v>
      </c>
      <c r="BI1124" s="3">
        <v>0</v>
      </c>
      <c r="BJ1124" s="3">
        <v>0</v>
      </c>
      <c r="BK1124" s="3">
        <v>0</v>
      </c>
      <c r="BL1124" s="3">
        <v>0</v>
      </c>
      <c r="BM1124" s="3">
        <v>0</v>
      </c>
    </row>
    <row r="1125" spans="1:65" x14ac:dyDescent="0.25">
      <c r="A1125" s="2" t="s">
        <v>136</v>
      </c>
      <c r="B1125" s="4">
        <v>63</v>
      </c>
      <c r="C1125" s="4">
        <v>1</v>
      </c>
      <c r="D1125" s="4">
        <v>3</v>
      </c>
      <c r="E1125" s="4">
        <v>2</v>
      </c>
      <c r="F1125" s="4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1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  <c r="BA1125" s="3">
        <v>0</v>
      </c>
      <c r="BB1125" s="3">
        <v>0</v>
      </c>
      <c r="BC1125" s="3">
        <v>0</v>
      </c>
      <c r="BD1125" s="3">
        <v>0</v>
      </c>
      <c r="BE1125" s="3">
        <v>0</v>
      </c>
      <c r="BF1125" s="3">
        <v>0</v>
      </c>
      <c r="BG1125" s="3">
        <v>0</v>
      </c>
      <c r="BH1125" s="3">
        <v>0</v>
      </c>
      <c r="BI1125" s="3">
        <v>0</v>
      </c>
      <c r="BJ1125" s="3">
        <v>0</v>
      </c>
      <c r="BK1125" s="3">
        <v>0</v>
      </c>
      <c r="BL1125" s="3">
        <v>1</v>
      </c>
      <c r="BM1125" s="3">
        <v>0</v>
      </c>
    </row>
    <row r="1126" spans="1:65" x14ac:dyDescent="0.25">
      <c r="A1126" s="2" t="s">
        <v>136</v>
      </c>
      <c r="B1126" s="4">
        <v>63</v>
      </c>
      <c r="C1126" s="4">
        <v>1</v>
      </c>
      <c r="D1126" s="4">
        <v>3</v>
      </c>
      <c r="E1126" s="4">
        <v>3</v>
      </c>
      <c r="F1126" s="4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  <c r="AX1126" s="3">
        <v>0</v>
      </c>
      <c r="AY1126" s="3">
        <v>0</v>
      </c>
      <c r="AZ1126" s="3">
        <v>1</v>
      </c>
      <c r="BA1126" s="3">
        <v>0</v>
      </c>
      <c r="BB1126" s="3">
        <v>0</v>
      </c>
      <c r="BC1126" s="3">
        <v>0</v>
      </c>
      <c r="BD1126" s="3">
        <v>0</v>
      </c>
      <c r="BE1126" s="3">
        <v>0</v>
      </c>
      <c r="BF1126" s="3">
        <v>0</v>
      </c>
      <c r="BG1126" s="3">
        <v>0</v>
      </c>
      <c r="BH1126" s="3">
        <v>0</v>
      </c>
      <c r="BI1126" s="3">
        <v>0</v>
      </c>
      <c r="BJ1126" s="3">
        <v>0</v>
      </c>
      <c r="BK1126" s="3">
        <v>0</v>
      </c>
      <c r="BL1126" s="3">
        <v>0</v>
      </c>
      <c r="BM1126" s="3">
        <v>0</v>
      </c>
    </row>
    <row r="1127" spans="1:65" x14ac:dyDescent="0.25">
      <c r="A1127" s="2" t="s">
        <v>136</v>
      </c>
      <c r="B1127" s="4">
        <v>63</v>
      </c>
      <c r="C1127" s="4">
        <v>2</v>
      </c>
      <c r="D1127" s="4">
        <v>1</v>
      </c>
      <c r="E1127" s="4">
        <v>1</v>
      </c>
      <c r="F1127" s="6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1</v>
      </c>
      <c r="Y1127" s="3">
        <v>1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2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1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  <c r="BA1127" s="3">
        <v>0</v>
      </c>
      <c r="BB1127" s="3">
        <v>0</v>
      </c>
      <c r="BC1127" s="3">
        <v>0</v>
      </c>
      <c r="BD1127" s="3">
        <v>0</v>
      </c>
      <c r="BE1127" s="3">
        <v>0</v>
      </c>
      <c r="BF1127" s="3">
        <v>0</v>
      </c>
      <c r="BG1127" s="3">
        <v>0</v>
      </c>
      <c r="BH1127" s="3">
        <v>0</v>
      </c>
      <c r="BI1127" s="3">
        <v>0</v>
      </c>
      <c r="BJ1127" s="3">
        <v>0</v>
      </c>
      <c r="BK1127" s="3">
        <v>0</v>
      </c>
      <c r="BL1127" s="3">
        <v>2</v>
      </c>
      <c r="BM1127" s="3">
        <v>0</v>
      </c>
    </row>
    <row r="1128" spans="1:65" x14ac:dyDescent="0.25">
      <c r="A1128" s="2" t="s">
        <v>136</v>
      </c>
      <c r="B1128" s="4">
        <v>63</v>
      </c>
      <c r="C1128" s="4">
        <v>2</v>
      </c>
      <c r="D1128" s="4">
        <v>1</v>
      </c>
      <c r="E1128" s="4">
        <v>2</v>
      </c>
      <c r="F1128" s="6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1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0</v>
      </c>
      <c r="AX1128" s="3">
        <v>0</v>
      </c>
      <c r="AY1128" s="3">
        <v>0</v>
      </c>
      <c r="AZ1128" s="3">
        <v>0</v>
      </c>
      <c r="BA1128" s="3">
        <v>0</v>
      </c>
      <c r="BB1128" s="3">
        <v>0</v>
      </c>
      <c r="BC1128" s="3">
        <v>0</v>
      </c>
      <c r="BD1128" s="3">
        <v>0</v>
      </c>
      <c r="BE1128" s="3">
        <v>0</v>
      </c>
      <c r="BF1128" s="3">
        <v>0</v>
      </c>
      <c r="BG1128" s="3">
        <v>0</v>
      </c>
      <c r="BH1128" s="3">
        <v>0</v>
      </c>
      <c r="BI1128" s="3">
        <v>0</v>
      </c>
      <c r="BJ1128" s="3">
        <v>0</v>
      </c>
      <c r="BK1128" s="3">
        <v>0</v>
      </c>
      <c r="BL1128" s="3">
        <v>1</v>
      </c>
      <c r="BM1128" s="3">
        <v>0</v>
      </c>
    </row>
    <row r="1129" spans="1:65" x14ac:dyDescent="0.25">
      <c r="A1129" s="2" t="s">
        <v>136</v>
      </c>
      <c r="B1129" s="4">
        <v>63</v>
      </c>
      <c r="C1129" s="4">
        <v>2</v>
      </c>
      <c r="D1129" s="4">
        <v>1</v>
      </c>
      <c r="E1129" s="4">
        <v>3</v>
      </c>
      <c r="F1129" s="6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0</v>
      </c>
      <c r="AX1129" s="3">
        <v>0</v>
      </c>
      <c r="AY1129" s="3">
        <v>0</v>
      </c>
      <c r="AZ1129" s="3">
        <v>0</v>
      </c>
      <c r="BA1129" s="3">
        <v>0</v>
      </c>
      <c r="BB1129" s="3">
        <v>0</v>
      </c>
      <c r="BC1129" s="3">
        <v>0</v>
      </c>
      <c r="BD1129" s="3">
        <v>0</v>
      </c>
      <c r="BE1129" s="3">
        <v>0</v>
      </c>
      <c r="BF1129" s="3">
        <v>0</v>
      </c>
      <c r="BG1129" s="3">
        <v>0</v>
      </c>
      <c r="BH1129" s="3">
        <v>0</v>
      </c>
      <c r="BI1129" s="3">
        <v>0</v>
      </c>
      <c r="BJ1129" s="3">
        <v>0</v>
      </c>
      <c r="BK1129" s="3">
        <v>0</v>
      </c>
      <c r="BL1129" s="3">
        <v>0</v>
      </c>
      <c r="BM1129" s="3">
        <v>0</v>
      </c>
    </row>
    <row r="1130" spans="1:65" x14ac:dyDescent="0.25">
      <c r="A1130" s="2" t="s">
        <v>136</v>
      </c>
      <c r="B1130" s="4">
        <v>63</v>
      </c>
      <c r="C1130" s="4">
        <v>2</v>
      </c>
      <c r="D1130" s="4">
        <v>2</v>
      </c>
      <c r="E1130" s="4">
        <v>1</v>
      </c>
      <c r="F1130" s="6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2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0</v>
      </c>
      <c r="BD1130" s="3">
        <v>0</v>
      </c>
      <c r="BE1130" s="3">
        <v>0</v>
      </c>
      <c r="BF1130" s="3">
        <v>0</v>
      </c>
      <c r="BG1130" s="3">
        <v>0</v>
      </c>
      <c r="BH1130" s="3">
        <v>0</v>
      </c>
      <c r="BI1130" s="3">
        <v>0</v>
      </c>
      <c r="BJ1130" s="3">
        <v>0</v>
      </c>
      <c r="BK1130" s="3">
        <v>0</v>
      </c>
      <c r="BL1130" s="3">
        <v>0</v>
      </c>
      <c r="BM1130" s="3">
        <v>0</v>
      </c>
    </row>
    <row r="1131" spans="1:65" x14ac:dyDescent="0.25">
      <c r="A1131" s="2" t="s">
        <v>136</v>
      </c>
      <c r="B1131" s="4">
        <v>63</v>
      </c>
      <c r="C1131" s="4">
        <v>2</v>
      </c>
      <c r="D1131" s="4">
        <v>2</v>
      </c>
      <c r="E1131" s="4">
        <v>2</v>
      </c>
      <c r="F1131" s="6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0</v>
      </c>
      <c r="AX1131" s="3">
        <v>0</v>
      </c>
      <c r="AY1131" s="3">
        <v>0</v>
      </c>
      <c r="AZ1131" s="3">
        <v>0</v>
      </c>
      <c r="BA1131" s="3">
        <v>0</v>
      </c>
      <c r="BB1131" s="3">
        <v>0</v>
      </c>
      <c r="BC1131" s="3">
        <v>0</v>
      </c>
      <c r="BD1131" s="3">
        <v>0</v>
      </c>
      <c r="BE1131" s="3">
        <v>0</v>
      </c>
      <c r="BF1131" s="3">
        <v>0</v>
      </c>
      <c r="BG1131" s="3">
        <v>0</v>
      </c>
      <c r="BH1131" s="3">
        <v>0</v>
      </c>
      <c r="BI1131" s="3">
        <v>0</v>
      </c>
      <c r="BJ1131" s="3">
        <v>0</v>
      </c>
      <c r="BK1131" s="3">
        <v>0</v>
      </c>
      <c r="BL1131" s="3">
        <v>0</v>
      </c>
      <c r="BM1131" s="3">
        <v>0</v>
      </c>
    </row>
    <row r="1132" spans="1:65" x14ac:dyDescent="0.25">
      <c r="A1132" s="2" t="s">
        <v>136</v>
      </c>
      <c r="B1132" s="4">
        <v>63</v>
      </c>
      <c r="C1132" s="4">
        <v>2</v>
      </c>
      <c r="D1132" s="4">
        <v>2</v>
      </c>
      <c r="E1132" s="4">
        <v>3</v>
      </c>
      <c r="F1132" s="6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0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0</v>
      </c>
      <c r="BD1132" s="3">
        <v>0</v>
      </c>
      <c r="BE1132" s="3">
        <v>0</v>
      </c>
      <c r="BF1132" s="3">
        <v>0</v>
      </c>
      <c r="BG1132" s="3">
        <v>0</v>
      </c>
      <c r="BH1132" s="3">
        <v>0</v>
      </c>
      <c r="BI1132" s="3">
        <v>0</v>
      </c>
      <c r="BJ1132" s="3">
        <v>0</v>
      </c>
      <c r="BK1132" s="3">
        <v>0</v>
      </c>
      <c r="BL1132" s="3">
        <v>0</v>
      </c>
      <c r="BM1132" s="3">
        <v>0</v>
      </c>
    </row>
    <row r="1133" spans="1:65" x14ac:dyDescent="0.25">
      <c r="A1133" s="2" t="s">
        <v>136</v>
      </c>
      <c r="B1133" s="4">
        <v>63</v>
      </c>
      <c r="C1133" s="4">
        <v>2</v>
      </c>
      <c r="D1133" s="4">
        <v>3</v>
      </c>
      <c r="E1133" s="4">
        <v>1</v>
      </c>
      <c r="F1133" s="6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0</v>
      </c>
      <c r="AX1133" s="3">
        <v>0</v>
      </c>
      <c r="AY1133" s="3">
        <v>0</v>
      </c>
      <c r="AZ1133" s="3">
        <v>0</v>
      </c>
      <c r="BA1133" s="3">
        <v>0</v>
      </c>
      <c r="BB1133" s="3">
        <v>0</v>
      </c>
      <c r="BC1133" s="3">
        <v>0</v>
      </c>
      <c r="BD1133" s="3">
        <v>0</v>
      </c>
      <c r="BE1133" s="3">
        <v>0</v>
      </c>
      <c r="BF1133" s="3">
        <v>0</v>
      </c>
      <c r="BG1133" s="3">
        <v>0</v>
      </c>
      <c r="BH1133" s="3">
        <v>0</v>
      </c>
      <c r="BI1133" s="3">
        <v>0</v>
      </c>
      <c r="BJ1133" s="3">
        <v>0</v>
      </c>
      <c r="BK1133" s="3">
        <v>0</v>
      </c>
      <c r="BL1133" s="3">
        <v>0</v>
      </c>
      <c r="BM1133" s="3">
        <v>0</v>
      </c>
    </row>
    <row r="1134" spans="1:65" x14ac:dyDescent="0.25">
      <c r="A1134" s="2" t="s">
        <v>136</v>
      </c>
      <c r="B1134" s="4">
        <v>63</v>
      </c>
      <c r="C1134" s="4">
        <v>2</v>
      </c>
      <c r="D1134" s="4">
        <v>3</v>
      </c>
      <c r="E1134" s="4">
        <v>2</v>
      </c>
      <c r="F1134" s="6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1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0</v>
      </c>
      <c r="BB1134" s="3">
        <v>0</v>
      </c>
      <c r="BC1134" s="3">
        <v>0</v>
      </c>
      <c r="BD1134" s="3">
        <v>0</v>
      </c>
      <c r="BE1134" s="3">
        <v>0</v>
      </c>
      <c r="BF1134" s="3">
        <v>0</v>
      </c>
      <c r="BG1134" s="3">
        <v>0</v>
      </c>
      <c r="BH1134" s="3">
        <v>0</v>
      </c>
      <c r="BI1134" s="3">
        <v>0</v>
      </c>
      <c r="BJ1134" s="3">
        <v>0</v>
      </c>
      <c r="BK1134" s="3">
        <v>0</v>
      </c>
      <c r="BL1134" s="3">
        <v>0</v>
      </c>
      <c r="BM1134" s="3">
        <v>0</v>
      </c>
    </row>
    <row r="1135" spans="1:65" x14ac:dyDescent="0.25">
      <c r="A1135" s="2" t="s">
        <v>136</v>
      </c>
      <c r="B1135" s="4">
        <v>63</v>
      </c>
      <c r="C1135" s="4">
        <v>2</v>
      </c>
      <c r="D1135" s="4">
        <v>3</v>
      </c>
      <c r="E1135" s="4">
        <v>3</v>
      </c>
      <c r="F1135" s="6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  <c r="AX1135" s="3">
        <v>0</v>
      </c>
      <c r="AY1135" s="3">
        <v>0</v>
      </c>
      <c r="AZ1135" s="3">
        <v>0</v>
      </c>
      <c r="BA1135" s="3">
        <v>0</v>
      </c>
      <c r="BB1135" s="3">
        <v>0</v>
      </c>
      <c r="BC1135" s="3">
        <v>0</v>
      </c>
      <c r="BD1135" s="3">
        <v>0</v>
      </c>
      <c r="BE1135" s="3">
        <v>0</v>
      </c>
      <c r="BF1135" s="3">
        <v>0</v>
      </c>
      <c r="BG1135" s="3">
        <v>0</v>
      </c>
      <c r="BH1135" s="3">
        <v>0</v>
      </c>
      <c r="BI1135" s="3">
        <v>0</v>
      </c>
      <c r="BJ1135" s="3">
        <v>0</v>
      </c>
      <c r="BK1135" s="3">
        <v>0</v>
      </c>
      <c r="BL1135" s="3">
        <v>0</v>
      </c>
      <c r="BM1135" s="3">
        <v>0</v>
      </c>
    </row>
    <row r="1136" spans="1:65" x14ac:dyDescent="0.25">
      <c r="A1136" s="2" t="s">
        <v>137</v>
      </c>
      <c r="B1136" s="4">
        <v>64</v>
      </c>
      <c r="C1136" s="4">
        <v>1</v>
      </c>
      <c r="D1136" s="4">
        <v>1</v>
      </c>
      <c r="E1136" s="4">
        <v>1</v>
      </c>
      <c r="F1136" s="4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1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0</v>
      </c>
      <c r="BB1136" s="3">
        <v>0</v>
      </c>
      <c r="BC1136" s="3">
        <v>0</v>
      </c>
      <c r="BD1136" s="3">
        <v>0</v>
      </c>
      <c r="BE1136" s="3">
        <v>0</v>
      </c>
      <c r="BF1136" s="3">
        <v>0</v>
      </c>
      <c r="BG1136" s="3">
        <v>0</v>
      </c>
      <c r="BH1136" s="3">
        <v>0</v>
      </c>
      <c r="BI1136" s="3">
        <v>0</v>
      </c>
      <c r="BJ1136" s="3">
        <v>1</v>
      </c>
      <c r="BK1136" s="3">
        <v>0</v>
      </c>
      <c r="BL1136" s="3">
        <v>0</v>
      </c>
      <c r="BM1136" s="3">
        <v>0</v>
      </c>
    </row>
    <row r="1137" spans="1:65" x14ac:dyDescent="0.25">
      <c r="A1137" s="2" t="s">
        <v>137</v>
      </c>
      <c r="B1137" s="4">
        <v>64</v>
      </c>
      <c r="C1137" s="4">
        <v>1</v>
      </c>
      <c r="D1137" s="4">
        <v>1</v>
      </c>
      <c r="E1137" s="4">
        <v>2</v>
      </c>
      <c r="F1137" s="4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1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1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1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0</v>
      </c>
      <c r="BB1137" s="3">
        <v>0</v>
      </c>
      <c r="BC1137" s="3">
        <v>0</v>
      </c>
      <c r="BD1137" s="3">
        <v>0</v>
      </c>
      <c r="BE1137" s="3">
        <v>0</v>
      </c>
      <c r="BF1137" s="3">
        <v>0</v>
      </c>
      <c r="BG1137" s="3">
        <v>0</v>
      </c>
      <c r="BH1137" s="3">
        <v>0</v>
      </c>
      <c r="BI1137" s="3">
        <v>0</v>
      </c>
      <c r="BJ1137" s="3">
        <v>0</v>
      </c>
      <c r="BK1137" s="3">
        <v>0</v>
      </c>
      <c r="BL1137" s="3">
        <v>1</v>
      </c>
      <c r="BM1137" s="3">
        <v>0</v>
      </c>
    </row>
    <row r="1138" spans="1:65" x14ac:dyDescent="0.25">
      <c r="A1138" s="2" t="s">
        <v>137</v>
      </c>
      <c r="B1138" s="4">
        <v>64</v>
      </c>
      <c r="C1138" s="4">
        <v>1</v>
      </c>
      <c r="D1138" s="4">
        <v>1</v>
      </c>
      <c r="E1138" s="4">
        <v>3</v>
      </c>
      <c r="F1138" s="4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1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1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1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1</v>
      </c>
      <c r="AW1138" s="3">
        <v>0</v>
      </c>
      <c r="AX1138" s="3">
        <v>0</v>
      </c>
      <c r="AY1138" s="3">
        <v>0</v>
      </c>
      <c r="AZ1138" s="3">
        <v>0</v>
      </c>
      <c r="BA1138" s="3">
        <v>0</v>
      </c>
      <c r="BB1138" s="3">
        <v>0</v>
      </c>
      <c r="BC1138" s="3">
        <v>0</v>
      </c>
      <c r="BD1138" s="3">
        <v>0</v>
      </c>
      <c r="BE1138" s="3">
        <v>1</v>
      </c>
      <c r="BF1138" s="3">
        <v>0</v>
      </c>
      <c r="BG1138" s="3">
        <v>0</v>
      </c>
      <c r="BH1138" s="3">
        <v>0</v>
      </c>
      <c r="BI1138" s="3">
        <v>0</v>
      </c>
      <c r="BJ1138" s="3">
        <v>0</v>
      </c>
      <c r="BK1138" s="3">
        <v>0</v>
      </c>
      <c r="BL1138" s="3">
        <v>0</v>
      </c>
      <c r="BM1138" s="3">
        <v>0</v>
      </c>
    </row>
    <row r="1139" spans="1:65" x14ac:dyDescent="0.25">
      <c r="A1139" s="2" t="s">
        <v>137</v>
      </c>
      <c r="B1139" s="4">
        <v>64</v>
      </c>
      <c r="C1139" s="4">
        <v>1</v>
      </c>
      <c r="D1139" s="4">
        <v>2</v>
      </c>
      <c r="E1139" s="4">
        <v>1</v>
      </c>
      <c r="F1139" s="4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1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  <c r="BA1139" s="3">
        <v>0</v>
      </c>
      <c r="BB1139" s="3">
        <v>0</v>
      </c>
      <c r="BC1139" s="3">
        <v>0</v>
      </c>
      <c r="BD1139" s="3">
        <v>0</v>
      </c>
      <c r="BE1139" s="3">
        <v>0</v>
      </c>
      <c r="BF1139" s="3">
        <v>0</v>
      </c>
      <c r="BG1139" s="3">
        <v>0</v>
      </c>
      <c r="BH1139" s="3">
        <v>0</v>
      </c>
      <c r="BI1139" s="3">
        <v>0</v>
      </c>
      <c r="BJ1139" s="3">
        <v>0</v>
      </c>
      <c r="BK1139" s="3">
        <v>0</v>
      </c>
      <c r="BL1139" s="3">
        <v>0</v>
      </c>
      <c r="BM1139" s="3">
        <v>0</v>
      </c>
    </row>
    <row r="1140" spans="1:65" x14ac:dyDescent="0.25">
      <c r="A1140" s="2" t="s">
        <v>137</v>
      </c>
      <c r="B1140" s="4">
        <v>64</v>
      </c>
      <c r="C1140" s="4">
        <v>1</v>
      </c>
      <c r="D1140" s="4">
        <v>2</v>
      </c>
      <c r="E1140" s="4">
        <v>2</v>
      </c>
      <c r="F1140" s="4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0</v>
      </c>
      <c r="BD1140" s="3">
        <v>0</v>
      </c>
      <c r="BE1140" s="3">
        <v>0</v>
      </c>
      <c r="BF1140" s="3">
        <v>0</v>
      </c>
      <c r="BG1140" s="3">
        <v>0</v>
      </c>
      <c r="BH1140" s="3">
        <v>0</v>
      </c>
      <c r="BI1140" s="3">
        <v>0</v>
      </c>
      <c r="BJ1140" s="3">
        <v>0</v>
      </c>
      <c r="BK1140" s="3">
        <v>0</v>
      </c>
      <c r="BL1140" s="3">
        <v>1</v>
      </c>
      <c r="BM1140" s="3">
        <v>0</v>
      </c>
    </row>
    <row r="1141" spans="1:65" x14ac:dyDescent="0.25">
      <c r="A1141" s="2" t="s">
        <v>137</v>
      </c>
      <c r="B1141" s="4">
        <v>64</v>
      </c>
      <c r="C1141" s="4">
        <v>1</v>
      </c>
      <c r="D1141" s="4">
        <v>2</v>
      </c>
      <c r="E1141" s="4">
        <v>3</v>
      </c>
      <c r="F1141" s="4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0</v>
      </c>
      <c r="BB1141" s="3">
        <v>0</v>
      </c>
      <c r="BC1141" s="3">
        <v>0</v>
      </c>
      <c r="BD1141" s="3">
        <v>0</v>
      </c>
      <c r="BE1141" s="3">
        <v>0</v>
      </c>
      <c r="BF1141" s="3">
        <v>0</v>
      </c>
      <c r="BG1141" s="3">
        <v>0</v>
      </c>
      <c r="BH1141" s="3">
        <v>0</v>
      </c>
      <c r="BI1141" s="3">
        <v>0</v>
      </c>
      <c r="BJ1141" s="3">
        <v>0</v>
      </c>
      <c r="BK1141" s="3">
        <v>0</v>
      </c>
      <c r="BL1141" s="3">
        <v>0</v>
      </c>
      <c r="BM1141" s="3">
        <v>0</v>
      </c>
    </row>
    <row r="1142" spans="1:65" x14ac:dyDescent="0.25">
      <c r="A1142" s="2" t="s">
        <v>137</v>
      </c>
      <c r="B1142" s="4">
        <v>64</v>
      </c>
      <c r="C1142" s="4">
        <v>1</v>
      </c>
      <c r="D1142" s="4">
        <v>3</v>
      </c>
      <c r="E1142" s="4">
        <v>1</v>
      </c>
      <c r="F1142" s="4">
        <v>0</v>
      </c>
      <c r="G1142" s="3">
        <v>1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1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0</v>
      </c>
      <c r="BC1142" s="3">
        <v>0</v>
      </c>
      <c r="BD1142" s="3">
        <v>0</v>
      </c>
      <c r="BE1142" s="3">
        <v>0</v>
      </c>
      <c r="BF1142" s="3">
        <v>0</v>
      </c>
      <c r="BG1142" s="3">
        <v>0</v>
      </c>
      <c r="BH1142" s="3">
        <v>0</v>
      </c>
      <c r="BI1142" s="3">
        <v>0</v>
      </c>
      <c r="BJ1142" s="3">
        <v>0</v>
      </c>
      <c r="BK1142" s="3">
        <v>0</v>
      </c>
      <c r="BL1142" s="3">
        <v>0</v>
      </c>
      <c r="BM1142" s="3">
        <v>0</v>
      </c>
    </row>
    <row r="1143" spans="1:65" x14ac:dyDescent="0.25">
      <c r="A1143" s="2" t="s">
        <v>137</v>
      </c>
      <c r="B1143" s="4">
        <v>64</v>
      </c>
      <c r="C1143" s="4">
        <v>1</v>
      </c>
      <c r="D1143" s="4">
        <v>3</v>
      </c>
      <c r="E1143" s="4">
        <v>2</v>
      </c>
      <c r="F1143" s="4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1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0</v>
      </c>
      <c r="BD1143" s="3">
        <v>0</v>
      </c>
      <c r="BE1143" s="3">
        <v>0</v>
      </c>
      <c r="BF1143" s="3">
        <v>0</v>
      </c>
      <c r="BG1143" s="3">
        <v>0</v>
      </c>
      <c r="BH1143" s="3">
        <v>0</v>
      </c>
      <c r="BI1143" s="3">
        <v>0</v>
      </c>
      <c r="BJ1143" s="3">
        <v>0</v>
      </c>
      <c r="BK1143" s="3">
        <v>0</v>
      </c>
      <c r="BL1143" s="3">
        <v>0</v>
      </c>
      <c r="BM1143" s="3">
        <v>0</v>
      </c>
    </row>
    <row r="1144" spans="1:65" x14ac:dyDescent="0.25">
      <c r="A1144" s="2" t="s">
        <v>137</v>
      </c>
      <c r="B1144" s="4">
        <v>64</v>
      </c>
      <c r="C1144" s="4">
        <v>1</v>
      </c>
      <c r="D1144" s="4">
        <v>3</v>
      </c>
      <c r="E1144" s="4">
        <v>3</v>
      </c>
      <c r="F1144" s="4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1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0</v>
      </c>
      <c r="BD1144" s="3">
        <v>0</v>
      </c>
      <c r="BE1144" s="3">
        <v>0</v>
      </c>
      <c r="BF1144" s="3">
        <v>0</v>
      </c>
      <c r="BG1144" s="3">
        <v>0</v>
      </c>
      <c r="BH1144" s="3">
        <v>0</v>
      </c>
      <c r="BI1144" s="3">
        <v>0</v>
      </c>
      <c r="BJ1144" s="3">
        <v>0</v>
      </c>
      <c r="BK1144" s="3">
        <v>0</v>
      </c>
      <c r="BL1144" s="3">
        <v>0</v>
      </c>
      <c r="BM1144" s="3">
        <v>0</v>
      </c>
    </row>
    <row r="1145" spans="1:65" x14ac:dyDescent="0.25">
      <c r="A1145" s="2" t="s">
        <v>137</v>
      </c>
      <c r="B1145" s="4">
        <v>64</v>
      </c>
      <c r="C1145" s="4">
        <v>2</v>
      </c>
      <c r="D1145" s="4">
        <v>1</v>
      </c>
      <c r="E1145" s="4">
        <v>1</v>
      </c>
      <c r="F1145" s="6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1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1</v>
      </c>
      <c r="AC1145" s="3">
        <v>0</v>
      </c>
      <c r="AD1145" s="3">
        <v>0</v>
      </c>
      <c r="AE1145" s="3">
        <v>0</v>
      </c>
      <c r="AF1145" s="3">
        <v>1</v>
      </c>
      <c r="AG1145" s="3">
        <v>0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0</v>
      </c>
      <c r="BD1145" s="3">
        <v>0</v>
      </c>
      <c r="BE1145" s="3">
        <v>0</v>
      </c>
      <c r="BF1145" s="3">
        <v>0</v>
      </c>
      <c r="BG1145" s="3">
        <v>0</v>
      </c>
      <c r="BH1145" s="3">
        <v>0</v>
      </c>
      <c r="BI1145" s="3">
        <v>0</v>
      </c>
      <c r="BJ1145" s="3">
        <v>0</v>
      </c>
      <c r="BK1145" s="3">
        <v>0</v>
      </c>
      <c r="BL1145" s="3">
        <v>0</v>
      </c>
      <c r="BM1145" s="3">
        <v>0</v>
      </c>
    </row>
    <row r="1146" spans="1:65" x14ac:dyDescent="0.25">
      <c r="A1146" s="2" t="s">
        <v>137</v>
      </c>
      <c r="B1146" s="4">
        <v>64</v>
      </c>
      <c r="C1146" s="4">
        <v>2</v>
      </c>
      <c r="D1146" s="4">
        <v>1</v>
      </c>
      <c r="E1146" s="4">
        <v>2</v>
      </c>
      <c r="F1146" s="6">
        <v>0</v>
      </c>
      <c r="G1146" s="3">
        <v>1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1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1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3">
        <v>0</v>
      </c>
      <c r="BB1146" s="3">
        <v>0</v>
      </c>
      <c r="BC1146" s="3">
        <v>0</v>
      </c>
      <c r="BD1146" s="3">
        <v>0</v>
      </c>
      <c r="BE1146" s="3">
        <v>1</v>
      </c>
      <c r="BF1146" s="3">
        <v>0</v>
      </c>
      <c r="BG1146" s="3">
        <v>0</v>
      </c>
      <c r="BH1146" s="3">
        <v>0</v>
      </c>
      <c r="BI1146" s="3">
        <v>0</v>
      </c>
      <c r="BJ1146" s="3">
        <v>0</v>
      </c>
      <c r="BK1146" s="3">
        <v>0</v>
      </c>
      <c r="BL1146" s="3">
        <v>2</v>
      </c>
      <c r="BM1146" s="3">
        <v>0</v>
      </c>
    </row>
    <row r="1147" spans="1:65" x14ac:dyDescent="0.25">
      <c r="A1147" s="2" t="s">
        <v>137</v>
      </c>
      <c r="B1147" s="4">
        <v>64</v>
      </c>
      <c r="C1147" s="4">
        <v>2</v>
      </c>
      <c r="D1147" s="4">
        <v>1</v>
      </c>
      <c r="E1147" s="4">
        <v>3</v>
      </c>
      <c r="F1147" s="6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1</v>
      </c>
      <c r="AF1147" s="3">
        <v>0</v>
      </c>
      <c r="AG1147" s="3">
        <v>0</v>
      </c>
      <c r="AH1147" s="3">
        <v>1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0</v>
      </c>
      <c r="AX1147" s="3">
        <v>0</v>
      </c>
      <c r="AY1147" s="3">
        <v>0</v>
      </c>
      <c r="AZ1147" s="3">
        <v>0</v>
      </c>
      <c r="BA1147" s="3">
        <v>0</v>
      </c>
      <c r="BB1147" s="3">
        <v>0</v>
      </c>
      <c r="BC1147" s="3">
        <v>0</v>
      </c>
      <c r="BD1147" s="3">
        <v>0</v>
      </c>
      <c r="BE1147" s="3">
        <v>0</v>
      </c>
      <c r="BF1147" s="3">
        <v>0</v>
      </c>
      <c r="BG1147" s="3">
        <v>0</v>
      </c>
      <c r="BH1147" s="3">
        <v>0</v>
      </c>
      <c r="BI1147" s="3">
        <v>0</v>
      </c>
      <c r="BJ1147" s="3">
        <v>0</v>
      </c>
      <c r="BK1147" s="3">
        <v>0</v>
      </c>
      <c r="BL1147" s="3">
        <v>0</v>
      </c>
      <c r="BM1147" s="3">
        <v>0</v>
      </c>
    </row>
    <row r="1148" spans="1:65" x14ac:dyDescent="0.25">
      <c r="A1148" s="2" t="s">
        <v>137</v>
      </c>
      <c r="B1148" s="4">
        <v>64</v>
      </c>
      <c r="C1148" s="4">
        <v>2</v>
      </c>
      <c r="D1148" s="4">
        <v>2</v>
      </c>
      <c r="E1148" s="4">
        <v>1</v>
      </c>
      <c r="F1148" s="6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3">
        <v>0</v>
      </c>
      <c r="AV1148" s="3">
        <v>0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0</v>
      </c>
      <c r="BD1148" s="3">
        <v>0</v>
      </c>
      <c r="BE1148" s="3">
        <v>0</v>
      </c>
      <c r="BF1148" s="3">
        <v>0</v>
      </c>
      <c r="BG1148" s="3">
        <v>0</v>
      </c>
      <c r="BH1148" s="3">
        <v>0</v>
      </c>
      <c r="BI1148" s="3">
        <v>0</v>
      </c>
      <c r="BJ1148" s="3">
        <v>0</v>
      </c>
      <c r="BK1148" s="3">
        <v>0</v>
      </c>
      <c r="BL1148" s="3">
        <v>0</v>
      </c>
      <c r="BM1148" s="3">
        <v>0</v>
      </c>
    </row>
    <row r="1149" spans="1:65" x14ac:dyDescent="0.25">
      <c r="A1149" s="2" t="s">
        <v>137</v>
      </c>
      <c r="B1149" s="4">
        <v>64</v>
      </c>
      <c r="C1149" s="4">
        <v>2</v>
      </c>
      <c r="D1149" s="4">
        <v>2</v>
      </c>
      <c r="E1149" s="4">
        <v>2</v>
      </c>
      <c r="F1149" s="6">
        <v>0</v>
      </c>
      <c r="G1149" s="3">
        <v>0</v>
      </c>
      <c r="H1149" s="3">
        <v>1</v>
      </c>
      <c r="I1149" s="3">
        <v>0</v>
      </c>
      <c r="J1149" s="3">
        <v>0</v>
      </c>
      <c r="K1149" s="3">
        <v>0</v>
      </c>
      <c r="L1149" s="3">
        <v>1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1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0</v>
      </c>
      <c r="BD1149" s="3">
        <v>0</v>
      </c>
      <c r="BE1149" s="3">
        <v>0</v>
      </c>
      <c r="BF1149" s="3">
        <v>0</v>
      </c>
      <c r="BG1149" s="3">
        <v>0</v>
      </c>
      <c r="BH1149" s="3">
        <v>0</v>
      </c>
      <c r="BI1149" s="3">
        <v>0</v>
      </c>
      <c r="BJ1149" s="3">
        <v>0</v>
      </c>
      <c r="BK1149" s="3">
        <v>0</v>
      </c>
      <c r="BL1149" s="3">
        <v>0</v>
      </c>
      <c r="BM1149" s="3">
        <v>0</v>
      </c>
    </row>
    <row r="1150" spans="1:65" x14ac:dyDescent="0.25">
      <c r="A1150" s="2" t="s">
        <v>137</v>
      </c>
      <c r="B1150" s="4">
        <v>64</v>
      </c>
      <c r="C1150" s="4">
        <v>2</v>
      </c>
      <c r="D1150" s="4">
        <v>2</v>
      </c>
      <c r="E1150" s="4">
        <v>3</v>
      </c>
      <c r="F1150" s="6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0</v>
      </c>
      <c r="BB1150" s="3">
        <v>0</v>
      </c>
      <c r="BC1150" s="3">
        <v>0</v>
      </c>
      <c r="BD1150" s="3">
        <v>0</v>
      </c>
      <c r="BE1150" s="3">
        <v>0</v>
      </c>
      <c r="BF1150" s="3">
        <v>0</v>
      </c>
      <c r="BG1150" s="3">
        <v>0</v>
      </c>
      <c r="BH1150" s="3">
        <v>0</v>
      </c>
      <c r="BI1150" s="3">
        <v>0</v>
      </c>
      <c r="BJ1150" s="3">
        <v>0</v>
      </c>
      <c r="BK1150" s="3">
        <v>0</v>
      </c>
      <c r="BL1150" s="3">
        <v>0</v>
      </c>
      <c r="BM1150" s="3">
        <v>0</v>
      </c>
    </row>
    <row r="1151" spans="1:65" x14ac:dyDescent="0.25">
      <c r="A1151" s="2" t="s">
        <v>137</v>
      </c>
      <c r="B1151" s="4">
        <v>64</v>
      </c>
      <c r="C1151" s="4">
        <v>2</v>
      </c>
      <c r="D1151" s="4">
        <v>3</v>
      </c>
      <c r="E1151" s="4">
        <v>1</v>
      </c>
      <c r="F1151" s="6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0</v>
      </c>
      <c r="AY1151" s="3">
        <v>0</v>
      </c>
      <c r="AZ1151" s="3">
        <v>0</v>
      </c>
      <c r="BA1151" s="3">
        <v>0</v>
      </c>
      <c r="BB1151" s="3">
        <v>0</v>
      </c>
      <c r="BC1151" s="3">
        <v>0</v>
      </c>
      <c r="BD1151" s="3">
        <v>0</v>
      </c>
      <c r="BE1151" s="3">
        <v>0</v>
      </c>
      <c r="BF1151" s="3">
        <v>0</v>
      </c>
      <c r="BG1151" s="3">
        <v>0</v>
      </c>
      <c r="BH1151" s="3">
        <v>0</v>
      </c>
      <c r="BI1151" s="3">
        <v>0</v>
      </c>
      <c r="BJ1151" s="3">
        <v>0</v>
      </c>
      <c r="BK1151" s="3">
        <v>0</v>
      </c>
      <c r="BL1151" s="3">
        <v>0</v>
      </c>
      <c r="BM1151" s="3">
        <v>0</v>
      </c>
    </row>
    <row r="1152" spans="1:65" x14ac:dyDescent="0.25">
      <c r="A1152" s="2" t="s">
        <v>137</v>
      </c>
      <c r="B1152" s="4">
        <v>64</v>
      </c>
      <c r="C1152" s="4">
        <v>2</v>
      </c>
      <c r="D1152" s="4">
        <v>3</v>
      </c>
      <c r="E1152" s="4">
        <v>2</v>
      </c>
      <c r="F1152" s="6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3">
        <v>1</v>
      </c>
      <c r="AW1152" s="3">
        <v>0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0</v>
      </c>
      <c r="BD1152" s="3">
        <v>1</v>
      </c>
      <c r="BE1152" s="3">
        <v>0</v>
      </c>
      <c r="BF1152" s="3">
        <v>0</v>
      </c>
      <c r="BG1152" s="3">
        <v>0</v>
      </c>
      <c r="BH1152" s="3">
        <v>0</v>
      </c>
      <c r="BI1152" s="3">
        <v>0</v>
      </c>
      <c r="BJ1152" s="3">
        <v>0</v>
      </c>
      <c r="BK1152" s="3">
        <v>0</v>
      </c>
      <c r="BL1152" s="3">
        <v>0</v>
      </c>
      <c r="BM1152" s="3">
        <v>0</v>
      </c>
    </row>
    <row r="1153" spans="1:65" x14ac:dyDescent="0.25">
      <c r="A1153" s="2" t="s">
        <v>137</v>
      </c>
      <c r="B1153" s="4">
        <v>64</v>
      </c>
      <c r="C1153" s="4">
        <v>2</v>
      </c>
      <c r="D1153" s="4">
        <v>3</v>
      </c>
      <c r="E1153" s="4">
        <v>3</v>
      </c>
      <c r="F1153" s="6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3">
        <v>0</v>
      </c>
      <c r="AV1153" s="3">
        <v>0</v>
      </c>
      <c r="AW1153" s="3">
        <v>0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0</v>
      </c>
      <c r="BD1153" s="3">
        <v>0</v>
      </c>
      <c r="BE1153" s="3">
        <v>0</v>
      </c>
      <c r="BF1153" s="3">
        <v>0</v>
      </c>
      <c r="BG1153" s="3">
        <v>0</v>
      </c>
      <c r="BH1153" s="3">
        <v>0</v>
      </c>
      <c r="BI1153" s="3">
        <v>0</v>
      </c>
      <c r="BJ1153" s="3">
        <v>0</v>
      </c>
      <c r="BK1153" s="3">
        <v>0</v>
      </c>
      <c r="BL1153" s="3">
        <v>0</v>
      </c>
      <c r="BM1153" s="3">
        <v>0</v>
      </c>
    </row>
    <row r="1154" spans="1:65" x14ac:dyDescent="0.25">
      <c r="A1154" s="2" t="s">
        <v>138</v>
      </c>
      <c r="B1154" s="4">
        <v>65</v>
      </c>
      <c r="C1154" s="4">
        <v>1</v>
      </c>
      <c r="D1154" s="4">
        <v>1</v>
      </c>
      <c r="E1154" s="4">
        <v>1</v>
      </c>
      <c r="F1154" s="4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1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  <c r="AV1154" s="3">
        <v>0</v>
      </c>
      <c r="AW1154" s="3">
        <v>0</v>
      </c>
      <c r="AX1154" s="3">
        <v>0</v>
      </c>
      <c r="AY1154" s="3">
        <v>0</v>
      </c>
      <c r="AZ1154" s="3">
        <v>0</v>
      </c>
      <c r="BA1154" s="3">
        <v>0</v>
      </c>
      <c r="BB1154" s="3">
        <v>0</v>
      </c>
      <c r="BC1154" s="3">
        <v>0</v>
      </c>
      <c r="BD1154" s="3">
        <v>0</v>
      </c>
      <c r="BE1154" s="3">
        <v>1</v>
      </c>
      <c r="BF1154" s="3">
        <v>0</v>
      </c>
      <c r="BG1154" s="3">
        <v>0</v>
      </c>
      <c r="BH1154" s="3">
        <v>0</v>
      </c>
      <c r="BI1154" s="3">
        <v>0</v>
      </c>
      <c r="BJ1154" s="3">
        <v>0</v>
      </c>
      <c r="BK1154" s="3">
        <v>0</v>
      </c>
      <c r="BL1154" s="3">
        <v>0</v>
      </c>
      <c r="BM1154" s="3">
        <v>0</v>
      </c>
    </row>
    <row r="1155" spans="1:65" x14ac:dyDescent="0.25">
      <c r="A1155" s="2" t="s">
        <v>138</v>
      </c>
      <c r="B1155" s="4">
        <v>65</v>
      </c>
      <c r="C1155" s="4">
        <v>1</v>
      </c>
      <c r="D1155" s="4">
        <v>1</v>
      </c>
      <c r="E1155" s="4">
        <v>2</v>
      </c>
      <c r="F1155" s="4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1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1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3">
        <v>0</v>
      </c>
      <c r="AY1155" s="3">
        <v>0</v>
      </c>
      <c r="AZ1155" s="3">
        <v>0</v>
      </c>
      <c r="BA1155" s="3">
        <v>0</v>
      </c>
      <c r="BB1155" s="3">
        <v>0</v>
      </c>
      <c r="BC1155" s="3">
        <v>0</v>
      </c>
      <c r="BD1155" s="3">
        <v>0</v>
      </c>
      <c r="BE1155" s="3">
        <v>0</v>
      </c>
      <c r="BF1155" s="3">
        <v>0</v>
      </c>
      <c r="BG1155" s="3">
        <v>0</v>
      </c>
      <c r="BH1155" s="3">
        <v>0</v>
      </c>
      <c r="BI1155" s="3">
        <v>0</v>
      </c>
      <c r="BJ1155" s="3">
        <v>0</v>
      </c>
      <c r="BK1155" s="3">
        <v>0</v>
      </c>
      <c r="BL1155" s="3">
        <v>1</v>
      </c>
      <c r="BM1155" s="3">
        <v>0</v>
      </c>
    </row>
    <row r="1156" spans="1:65" x14ac:dyDescent="0.25">
      <c r="A1156" s="2" t="s">
        <v>138</v>
      </c>
      <c r="B1156" s="4">
        <v>65</v>
      </c>
      <c r="C1156" s="4">
        <v>1</v>
      </c>
      <c r="D1156" s="4">
        <v>1</v>
      </c>
      <c r="E1156" s="4">
        <v>3</v>
      </c>
      <c r="F1156" s="4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0</v>
      </c>
      <c r="BD1156" s="3">
        <v>0</v>
      </c>
      <c r="BE1156" s="3">
        <v>0</v>
      </c>
      <c r="BF1156" s="3">
        <v>0</v>
      </c>
      <c r="BG1156" s="3">
        <v>0</v>
      </c>
      <c r="BH1156" s="3">
        <v>0</v>
      </c>
      <c r="BI1156" s="3">
        <v>0</v>
      </c>
      <c r="BJ1156" s="3">
        <v>0</v>
      </c>
      <c r="BK1156" s="3">
        <v>0</v>
      </c>
      <c r="BL1156" s="3">
        <v>0</v>
      </c>
      <c r="BM1156" s="3">
        <v>0</v>
      </c>
    </row>
    <row r="1157" spans="1:65" x14ac:dyDescent="0.25">
      <c r="A1157" s="2" t="s">
        <v>138</v>
      </c>
      <c r="B1157" s="4">
        <v>65</v>
      </c>
      <c r="C1157" s="4">
        <v>1</v>
      </c>
      <c r="D1157" s="4">
        <v>2</v>
      </c>
      <c r="E1157" s="4">
        <v>1</v>
      </c>
      <c r="F1157" s="4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1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0</v>
      </c>
      <c r="AX1157" s="3">
        <v>0</v>
      </c>
      <c r="AY1157" s="3">
        <v>0</v>
      </c>
      <c r="AZ1157" s="3">
        <v>0</v>
      </c>
      <c r="BA1157" s="3">
        <v>0</v>
      </c>
      <c r="BB1157" s="3">
        <v>0</v>
      </c>
      <c r="BC1157" s="3">
        <v>0</v>
      </c>
      <c r="BD1157" s="3">
        <v>0</v>
      </c>
      <c r="BE1157" s="3">
        <v>0</v>
      </c>
      <c r="BF1157" s="3">
        <v>0</v>
      </c>
      <c r="BG1157" s="3">
        <v>0</v>
      </c>
      <c r="BH1157" s="3">
        <v>0</v>
      </c>
      <c r="BI1157" s="3">
        <v>0</v>
      </c>
      <c r="BJ1157" s="3">
        <v>0</v>
      </c>
      <c r="BK1157" s="3">
        <v>0</v>
      </c>
      <c r="BL1157" s="3">
        <v>0</v>
      </c>
      <c r="BM1157" s="3">
        <v>0</v>
      </c>
    </row>
    <row r="1158" spans="1:65" x14ac:dyDescent="0.25">
      <c r="A1158" s="2" t="s">
        <v>138</v>
      </c>
      <c r="B1158" s="4">
        <v>65</v>
      </c>
      <c r="C1158" s="4">
        <v>1</v>
      </c>
      <c r="D1158" s="4">
        <v>2</v>
      </c>
      <c r="E1158" s="4">
        <v>2</v>
      </c>
      <c r="F1158" s="4">
        <v>0</v>
      </c>
      <c r="G1158" s="3">
        <v>0</v>
      </c>
      <c r="H1158" s="3">
        <v>1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1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0</v>
      </c>
      <c r="AX1158" s="3">
        <v>0</v>
      </c>
      <c r="AY1158" s="3">
        <v>0</v>
      </c>
      <c r="AZ1158" s="3">
        <v>0</v>
      </c>
      <c r="BA1158" s="3">
        <v>0</v>
      </c>
      <c r="BB1158" s="3">
        <v>0</v>
      </c>
      <c r="BC1158" s="3">
        <v>0</v>
      </c>
      <c r="BD1158" s="3">
        <v>0</v>
      </c>
      <c r="BE1158" s="3">
        <v>0</v>
      </c>
      <c r="BF1158" s="3">
        <v>0</v>
      </c>
      <c r="BG1158" s="3">
        <v>0</v>
      </c>
      <c r="BH1158" s="3">
        <v>0</v>
      </c>
      <c r="BI1158" s="3">
        <v>0</v>
      </c>
      <c r="BJ1158" s="3">
        <v>0</v>
      </c>
      <c r="BK1158" s="3">
        <v>0</v>
      </c>
      <c r="BL1158" s="3">
        <v>1</v>
      </c>
      <c r="BM1158" s="3">
        <v>0</v>
      </c>
    </row>
    <row r="1159" spans="1:65" x14ac:dyDescent="0.25">
      <c r="A1159" s="2" t="s">
        <v>138</v>
      </c>
      <c r="B1159" s="4">
        <v>65</v>
      </c>
      <c r="C1159" s="4">
        <v>1</v>
      </c>
      <c r="D1159" s="4">
        <v>2</v>
      </c>
      <c r="E1159" s="4">
        <v>3</v>
      </c>
      <c r="F1159" s="4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1</v>
      </c>
      <c r="AV1159" s="3">
        <v>0</v>
      </c>
      <c r="AW1159" s="3">
        <v>0</v>
      </c>
      <c r="AX1159" s="3">
        <v>0</v>
      </c>
      <c r="AY1159" s="3">
        <v>0</v>
      </c>
      <c r="AZ1159" s="3">
        <v>0</v>
      </c>
      <c r="BA1159" s="3">
        <v>0</v>
      </c>
      <c r="BB1159" s="3">
        <v>0</v>
      </c>
      <c r="BC1159" s="3">
        <v>0</v>
      </c>
      <c r="BD1159" s="3">
        <v>0</v>
      </c>
      <c r="BE1159" s="3">
        <v>0</v>
      </c>
      <c r="BF1159" s="3">
        <v>0</v>
      </c>
      <c r="BG1159" s="3">
        <v>0</v>
      </c>
      <c r="BH1159" s="3">
        <v>0</v>
      </c>
      <c r="BI1159" s="3">
        <v>0</v>
      </c>
      <c r="BJ1159" s="3">
        <v>0</v>
      </c>
      <c r="BK1159" s="3">
        <v>0</v>
      </c>
      <c r="BL1159" s="3">
        <v>0</v>
      </c>
      <c r="BM1159" s="3">
        <v>0</v>
      </c>
    </row>
    <row r="1160" spans="1:65" x14ac:dyDescent="0.25">
      <c r="A1160" s="2" t="s">
        <v>138</v>
      </c>
      <c r="B1160" s="4">
        <v>65</v>
      </c>
      <c r="C1160" s="4">
        <v>1</v>
      </c>
      <c r="D1160" s="4">
        <v>3</v>
      </c>
      <c r="E1160" s="4">
        <v>1</v>
      </c>
      <c r="F1160" s="4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1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  <c r="AV1160" s="3">
        <v>0</v>
      </c>
      <c r="AW1160" s="3">
        <v>0</v>
      </c>
      <c r="AX1160" s="3">
        <v>0</v>
      </c>
      <c r="AY1160" s="3">
        <v>0</v>
      </c>
      <c r="AZ1160" s="3">
        <v>0</v>
      </c>
      <c r="BA1160" s="3">
        <v>0</v>
      </c>
      <c r="BB1160" s="3">
        <v>0</v>
      </c>
      <c r="BC1160" s="3">
        <v>0</v>
      </c>
      <c r="BD1160" s="3">
        <v>0</v>
      </c>
      <c r="BE1160" s="3">
        <v>0</v>
      </c>
      <c r="BF1160" s="3">
        <v>0</v>
      </c>
      <c r="BG1160" s="3">
        <v>0</v>
      </c>
      <c r="BH1160" s="3">
        <v>0</v>
      </c>
      <c r="BI1160" s="3">
        <v>0</v>
      </c>
      <c r="BJ1160" s="3">
        <v>0</v>
      </c>
      <c r="BK1160" s="3">
        <v>0</v>
      </c>
      <c r="BL1160" s="3">
        <v>0</v>
      </c>
      <c r="BM1160" s="3">
        <v>0</v>
      </c>
    </row>
    <row r="1161" spans="1:65" x14ac:dyDescent="0.25">
      <c r="A1161" s="2" t="s">
        <v>138</v>
      </c>
      <c r="B1161" s="4">
        <v>65</v>
      </c>
      <c r="C1161" s="4">
        <v>1</v>
      </c>
      <c r="D1161" s="4">
        <v>3</v>
      </c>
      <c r="E1161" s="4">
        <v>2</v>
      </c>
      <c r="F1161" s="4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1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3">
        <v>0</v>
      </c>
      <c r="AY1161" s="3">
        <v>0</v>
      </c>
      <c r="AZ1161" s="3">
        <v>0</v>
      </c>
      <c r="BA1161" s="3">
        <v>0</v>
      </c>
      <c r="BB1161" s="3">
        <v>0</v>
      </c>
      <c r="BC1161" s="3">
        <v>0</v>
      </c>
      <c r="BD1161" s="3">
        <v>0</v>
      </c>
      <c r="BE1161" s="3">
        <v>0</v>
      </c>
      <c r="BF1161" s="3">
        <v>0</v>
      </c>
      <c r="BG1161" s="3">
        <v>0</v>
      </c>
      <c r="BH1161" s="3">
        <v>0</v>
      </c>
      <c r="BI1161" s="3">
        <v>0</v>
      </c>
      <c r="BJ1161" s="3">
        <v>0</v>
      </c>
      <c r="BK1161" s="3">
        <v>0</v>
      </c>
      <c r="BL1161" s="3">
        <v>0</v>
      </c>
      <c r="BM1161" s="3">
        <v>0</v>
      </c>
    </row>
    <row r="1162" spans="1:65" x14ac:dyDescent="0.25">
      <c r="A1162" s="2" t="s">
        <v>138</v>
      </c>
      <c r="B1162" s="4">
        <v>65</v>
      </c>
      <c r="C1162" s="4">
        <v>1</v>
      </c>
      <c r="D1162" s="4">
        <v>3</v>
      </c>
      <c r="E1162" s="4">
        <v>3</v>
      </c>
      <c r="F1162" s="4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3">
        <v>0</v>
      </c>
      <c r="AW1162" s="3">
        <v>0</v>
      </c>
      <c r="AX1162" s="3">
        <v>0</v>
      </c>
      <c r="AY1162" s="3">
        <v>0</v>
      </c>
      <c r="AZ1162" s="3">
        <v>0</v>
      </c>
      <c r="BA1162" s="3">
        <v>0</v>
      </c>
      <c r="BB1162" s="3">
        <v>0</v>
      </c>
      <c r="BC1162" s="3">
        <v>0</v>
      </c>
      <c r="BD1162" s="3">
        <v>0</v>
      </c>
      <c r="BE1162" s="3">
        <v>0</v>
      </c>
      <c r="BF1162" s="3">
        <v>0</v>
      </c>
      <c r="BG1162" s="3">
        <v>0</v>
      </c>
      <c r="BH1162" s="3">
        <v>0</v>
      </c>
      <c r="BI1162" s="3">
        <v>0</v>
      </c>
      <c r="BJ1162" s="3">
        <v>1</v>
      </c>
      <c r="BK1162" s="3">
        <v>0</v>
      </c>
      <c r="BL1162" s="3">
        <v>0</v>
      </c>
      <c r="BM1162" s="3">
        <v>0</v>
      </c>
    </row>
    <row r="1163" spans="1:65" x14ac:dyDescent="0.25">
      <c r="A1163" s="2" t="s">
        <v>138</v>
      </c>
      <c r="B1163" s="4">
        <v>65</v>
      </c>
      <c r="C1163" s="4">
        <v>2</v>
      </c>
      <c r="D1163" s="4">
        <v>1</v>
      </c>
      <c r="E1163" s="4">
        <v>1</v>
      </c>
      <c r="F1163" s="6">
        <v>0</v>
      </c>
      <c r="G1163" s="3">
        <v>0</v>
      </c>
      <c r="H1163" s="3">
        <v>1</v>
      </c>
      <c r="I1163" s="3">
        <v>0</v>
      </c>
      <c r="J1163" s="3">
        <v>0</v>
      </c>
      <c r="K1163" s="3">
        <v>0</v>
      </c>
      <c r="L1163" s="3">
        <v>1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1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1</v>
      </c>
      <c r="Z1163" s="3">
        <v>0</v>
      </c>
      <c r="AA1163" s="3">
        <v>0</v>
      </c>
      <c r="AB1163" s="3">
        <v>1</v>
      </c>
      <c r="AC1163" s="3">
        <v>0</v>
      </c>
      <c r="AD1163" s="3">
        <v>0</v>
      </c>
      <c r="AE1163" s="3">
        <v>0</v>
      </c>
      <c r="AF1163" s="3">
        <v>2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0</v>
      </c>
      <c r="BD1163" s="3">
        <v>0</v>
      </c>
      <c r="BE1163" s="3">
        <v>0</v>
      </c>
      <c r="BF1163" s="3">
        <v>0</v>
      </c>
      <c r="BG1163" s="3">
        <v>0</v>
      </c>
      <c r="BH1163" s="3">
        <v>0</v>
      </c>
      <c r="BI1163" s="3">
        <v>0</v>
      </c>
      <c r="BJ1163" s="3">
        <v>0</v>
      </c>
      <c r="BK1163" s="3">
        <v>0</v>
      </c>
      <c r="BL1163" s="3">
        <v>2</v>
      </c>
      <c r="BM1163" s="3">
        <v>0</v>
      </c>
    </row>
    <row r="1164" spans="1:65" x14ac:dyDescent="0.25">
      <c r="A1164" s="2" t="s">
        <v>138</v>
      </c>
      <c r="B1164" s="4">
        <v>65</v>
      </c>
      <c r="C1164" s="4">
        <v>2</v>
      </c>
      <c r="D1164" s="4">
        <v>1</v>
      </c>
      <c r="E1164" s="4">
        <v>2</v>
      </c>
      <c r="F1164" s="6">
        <v>0</v>
      </c>
      <c r="G1164" s="3">
        <v>0</v>
      </c>
      <c r="H1164" s="3">
        <v>0</v>
      </c>
      <c r="I1164" s="3">
        <v>1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1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1</v>
      </c>
      <c r="AX1164" s="3">
        <v>0</v>
      </c>
      <c r="AY1164" s="3">
        <v>0</v>
      </c>
      <c r="AZ1164" s="3">
        <v>0</v>
      </c>
      <c r="BA1164" s="3">
        <v>0</v>
      </c>
      <c r="BB1164" s="3">
        <v>0</v>
      </c>
      <c r="BC1164" s="3">
        <v>0</v>
      </c>
      <c r="BD1164" s="3">
        <v>0</v>
      </c>
      <c r="BE1164" s="3">
        <v>1</v>
      </c>
      <c r="BF1164" s="3">
        <v>0</v>
      </c>
      <c r="BG1164" s="3">
        <v>0</v>
      </c>
      <c r="BH1164" s="3">
        <v>0</v>
      </c>
      <c r="BI1164" s="3">
        <v>0</v>
      </c>
      <c r="BJ1164" s="3">
        <v>0</v>
      </c>
      <c r="BK1164" s="3">
        <v>0</v>
      </c>
      <c r="BL1164" s="3">
        <v>0</v>
      </c>
      <c r="BM1164" s="3">
        <v>0</v>
      </c>
    </row>
    <row r="1165" spans="1:65" x14ac:dyDescent="0.25">
      <c r="A1165" s="2" t="s">
        <v>138</v>
      </c>
      <c r="B1165" s="4">
        <v>65</v>
      </c>
      <c r="C1165" s="4">
        <v>2</v>
      </c>
      <c r="D1165" s="4">
        <v>1</v>
      </c>
      <c r="E1165" s="4">
        <v>3</v>
      </c>
      <c r="F1165" s="6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3">
        <v>0</v>
      </c>
      <c r="AZ1165" s="3">
        <v>0</v>
      </c>
      <c r="BA1165" s="3">
        <v>0</v>
      </c>
      <c r="BB1165" s="3">
        <v>0</v>
      </c>
      <c r="BC1165" s="3">
        <v>0</v>
      </c>
      <c r="BD1165" s="3">
        <v>0</v>
      </c>
      <c r="BE1165" s="3">
        <v>0</v>
      </c>
      <c r="BF1165" s="3">
        <v>0</v>
      </c>
      <c r="BG1165" s="3">
        <v>0</v>
      </c>
      <c r="BH1165" s="3">
        <v>0</v>
      </c>
      <c r="BI1165" s="3">
        <v>0</v>
      </c>
      <c r="BJ1165" s="3">
        <v>0</v>
      </c>
      <c r="BK1165" s="3">
        <v>0</v>
      </c>
      <c r="BL1165" s="3">
        <v>0</v>
      </c>
      <c r="BM1165" s="3">
        <v>0</v>
      </c>
    </row>
    <row r="1166" spans="1:65" x14ac:dyDescent="0.25">
      <c r="A1166" s="2" t="s">
        <v>138</v>
      </c>
      <c r="B1166" s="4">
        <v>65</v>
      </c>
      <c r="C1166" s="4">
        <v>2</v>
      </c>
      <c r="D1166" s="4">
        <v>2</v>
      </c>
      <c r="E1166" s="4">
        <v>1</v>
      </c>
      <c r="F1166" s="6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0</v>
      </c>
      <c r="BB1166" s="3">
        <v>0</v>
      </c>
      <c r="BC1166" s="3">
        <v>0</v>
      </c>
      <c r="BD1166" s="3">
        <v>0</v>
      </c>
      <c r="BE1166" s="3">
        <v>0</v>
      </c>
      <c r="BF1166" s="3">
        <v>0</v>
      </c>
      <c r="BG1166" s="3">
        <v>0</v>
      </c>
      <c r="BH1166" s="3">
        <v>0</v>
      </c>
      <c r="BI1166" s="3">
        <v>0</v>
      </c>
      <c r="BJ1166" s="3">
        <v>0</v>
      </c>
      <c r="BK1166" s="3">
        <v>0</v>
      </c>
      <c r="BL1166" s="3">
        <v>0</v>
      </c>
      <c r="BM1166" s="3">
        <v>0</v>
      </c>
    </row>
    <row r="1167" spans="1:65" x14ac:dyDescent="0.25">
      <c r="A1167" s="2" t="s">
        <v>138</v>
      </c>
      <c r="B1167" s="4">
        <v>65</v>
      </c>
      <c r="C1167" s="4">
        <v>2</v>
      </c>
      <c r="D1167" s="4">
        <v>2</v>
      </c>
      <c r="E1167" s="4">
        <v>2</v>
      </c>
      <c r="F1167" s="6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  <c r="BA1167" s="3">
        <v>0</v>
      </c>
      <c r="BB1167" s="3">
        <v>0</v>
      </c>
      <c r="BC1167" s="3">
        <v>0</v>
      </c>
      <c r="BD1167" s="3">
        <v>0</v>
      </c>
      <c r="BE1167" s="3">
        <v>0</v>
      </c>
      <c r="BF1167" s="3">
        <v>0</v>
      </c>
      <c r="BG1167" s="3">
        <v>0</v>
      </c>
      <c r="BH1167" s="3">
        <v>0</v>
      </c>
      <c r="BI1167" s="3">
        <v>0</v>
      </c>
      <c r="BJ1167" s="3">
        <v>0</v>
      </c>
      <c r="BK1167" s="3">
        <v>0</v>
      </c>
      <c r="BL1167" s="3">
        <v>0</v>
      </c>
      <c r="BM1167" s="3">
        <v>0</v>
      </c>
    </row>
    <row r="1168" spans="1:65" x14ac:dyDescent="0.25">
      <c r="A1168" s="2" t="s">
        <v>138</v>
      </c>
      <c r="B1168" s="4">
        <v>65</v>
      </c>
      <c r="C1168" s="4">
        <v>2</v>
      </c>
      <c r="D1168" s="4">
        <v>2</v>
      </c>
      <c r="E1168" s="4">
        <v>3</v>
      </c>
      <c r="F1168" s="6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0</v>
      </c>
      <c r="BD1168" s="3">
        <v>0</v>
      </c>
      <c r="BE1168" s="3">
        <v>0</v>
      </c>
      <c r="BF1168" s="3">
        <v>0</v>
      </c>
      <c r="BG1168" s="3">
        <v>0</v>
      </c>
      <c r="BH1168" s="3">
        <v>0</v>
      </c>
      <c r="BI1168" s="3">
        <v>0</v>
      </c>
      <c r="BJ1168" s="3">
        <v>0</v>
      </c>
      <c r="BK1168" s="3">
        <v>0</v>
      </c>
      <c r="BL1168" s="3">
        <v>0</v>
      </c>
      <c r="BM1168" s="3">
        <v>0</v>
      </c>
    </row>
    <row r="1169" spans="1:65" x14ac:dyDescent="0.25">
      <c r="A1169" s="2" t="s">
        <v>138</v>
      </c>
      <c r="B1169" s="4">
        <v>65</v>
      </c>
      <c r="C1169" s="4">
        <v>2</v>
      </c>
      <c r="D1169" s="4">
        <v>3</v>
      </c>
      <c r="E1169" s="4">
        <v>1</v>
      </c>
      <c r="F1169" s="6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3">
        <v>0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0</v>
      </c>
      <c r="BD1169" s="3">
        <v>0</v>
      </c>
      <c r="BE1169" s="3">
        <v>1</v>
      </c>
      <c r="BF1169" s="3">
        <v>0</v>
      </c>
      <c r="BG1169" s="3">
        <v>0</v>
      </c>
      <c r="BH1169" s="3">
        <v>0</v>
      </c>
      <c r="BI1169" s="3">
        <v>0</v>
      </c>
      <c r="BJ1169" s="3">
        <v>0</v>
      </c>
      <c r="BK1169" s="3">
        <v>0</v>
      </c>
      <c r="BL1169" s="3">
        <v>0</v>
      </c>
      <c r="BM1169" s="3">
        <v>0</v>
      </c>
    </row>
    <row r="1170" spans="1:65" x14ac:dyDescent="0.25">
      <c r="A1170" s="2" t="s">
        <v>138</v>
      </c>
      <c r="B1170" s="4">
        <v>65</v>
      </c>
      <c r="C1170" s="4">
        <v>2</v>
      </c>
      <c r="D1170" s="4">
        <v>3</v>
      </c>
      <c r="E1170" s="4">
        <v>2</v>
      </c>
      <c r="F1170" s="6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1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  <c r="BA1170" s="3">
        <v>0</v>
      </c>
      <c r="BB1170" s="3">
        <v>0</v>
      </c>
      <c r="BC1170" s="3">
        <v>0</v>
      </c>
      <c r="BD1170" s="3">
        <v>0</v>
      </c>
      <c r="BE1170" s="3">
        <v>0</v>
      </c>
      <c r="BF1170" s="3">
        <v>0</v>
      </c>
      <c r="BG1170" s="3">
        <v>0</v>
      </c>
      <c r="BH1170" s="3">
        <v>0</v>
      </c>
      <c r="BI1170" s="3">
        <v>0</v>
      </c>
      <c r="BJ1170" s="3">
        <v>0</v>
      </c>
      <c r="BK1170" s="3">
        <v>0</v>
      </c>
      <c r="BL1170" s="3">
        <v>0</v>
      </c>
      <c r="BM1170" s="3">
        <v>0</v>
      </c>
    </row>
    <row r="1171" spans="1:65" x14ac:dyDescent="0.25">
      <c r="A1171" s="2" t="s">
        <v>138</v>
      </c>
      <c r="B1171" s="4">
        <v>65</v>
      </c>
      <c r="C1171" s="4">
        <v>2</v>
      </c>
      <c r="D1171" s="4">
        <v>3</v>
      </c>
      <c r="E1171" s="4">
        <v>3</v>
      </c>
      <c r="F1171" s="6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0</v>
      </c>
      <c r="BB1171" s="3">
        <v>0</v>
      </c>
      <c r="BC1171" s="3">
        <v>0</v>
      </c>
      <c r="BD1171" s="3">
        <v>0</v>
      </c>
      <c r="BE1171" s="3">
        <v>0</v>
      </c>
      <c r="BF1171" s="3">
        <v>0</v>
      </c>
      <c r="BG1171" s="3">
        <v>0</v>
      </c>
      <c r="BH1171" s="3">
        <v>0</v>
      </c>
      <c r="BI1171" s="3">
        <v>0</v>
      </c>
      <c r="BJ1171" s="3">
        <v>0</v>
      </c>
      <c r="BK1171" s="3">
        <v>0</v>
      </c>
      <c r="BL1171" s="3">
        <v>0</v>
      </c>
      <c r="BM1171" s="3">
        <v>0</v>
      </c>
    </row>
    <row r="1172" spans="1:65" x14ac:dyDescent="0.25">
      <c r="A1172" s="2" t="s">
        <v>139</v>
      </c>
      <c r="B1172" s="4">
        <v>66</v>
      </c>
      <c r="C1172" s="4">
        <v>1</v>
      </c>
      <c r="D1172" s="4">
        <v>1</v>
      </c>
      <c r="E1172" s="4">
        <v>1</v>
      </c>
      <c r="F1172" s="4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1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1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3">
        <v>0</v>
      </c>
      <c r="BB1172" s="3">
        <v>0</v>
      </c>
      <c r="BC1172" s="3">
        <v>0</v>
      </c>
      <c r="BD1172" s="3">
        <v>0</v>
      </c>
      <c r="BE1172" s="3">
        <v>0</v>
      </c>
      <c r="BF1172" s="3">
        <v>0</v>
      </c>
      <c r="BG1172" s="3">
        <v>1</v>
      </c>
      <c r="BH1172" s="3">
        <v>0</v>
      </c>
      <c r="BI1172" s="3">
        <v>0</v>
      </c>
      <c r="BJ1172" s="3">
        <v>0</v>
      </c>
      <c r="BK1172" s="3">
        <v>0</v>
      </c>
      <c r="BL1172" s="3">
        <v>3</v>
      </c>
      <c r="BM1172" s="3">
        <v>0</v>
      </c>
    </row>
    <row r="1173" spans="1:65" x14ac:dyDescent="0.25">
      <c r="A1173" s="2" t="s">
        <v>139</v>
      </c>
      <c r="B1173" s="4">
        <v>66</v>
      </c>
      <c r="C1173" s="4">
        <v>1</v>
      </c>
      <c r="D1173" s="4">
        <v>1</v>
      </c>
      <c r="E1173" s="4">
        <v>2</v>
      </c>
      <c r="F1173" s="4">
        <v>0</v>
      </c>
      <c r="G1173" s="3">
        <v>0</v>
      </c>
      <c r="H1173" s="3">
        <v>0</v>
      </c>
      <c r="I1173" s="3">
        <v>1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1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0</v>
      </c>
      <c r="AX1173" s="3">
        <v>0</v>
      </c>
      <c r="AY1173" s="3">
        <v>0</v>
      </c>
      <c r="AZ1173" s="3">
        <v>0</v>
      </c>
      <c r="BA1173" s="3">
        <v>0</v>
      </c>
      <c r="BB1173" s="3">
        <v>0</v>
      </c>
      <c r="BC1173" s="3">
        <v>0</v>
      </c>
      <c r="BD1173" s="3">
        <v>0</v>
      </c>
      <c r="BE1173" s="3">
        <v>0</v>
      </c>
      <c r="BF1173" s="3">
        <v>0</v>
      </c>
      <c r="BG1173" s="3">
        <v>0</v>
      </c>
      <c r="BH1173" s="3">
        <v>0</v>
      </c>
      <c r="BI1173" s="3">
        <v>0</v>
      </c>
      <c r="BJ1173" s="3">
        <v>0</v>
      </c>
      <c r="BK1173" s="3">
        <v>0</v>
      </c>
      <c r="BL1173" s="3">
        <v>1</v>
      </c>
      <c r="BM1173" s="3">
        <v>0</v>
      </c>
    </row>
    <row r="1174" spans="1:65" x14ac:dyDescent="0.25">
      <c r="A1174" s="2" t="s">
        <v>139</v>
      </c>
      <c r="B1174" s="4">
        <v>66</v>
      </c>
      <c r="C1174" s="4">
        <v>1</v>
      </c>
      <c r="D1174" s="4">
        <v>1</v>
      </c>
      <c r="E1174" s="4">
        <v>3</v>
      </c>
      <c r="F1174" s="4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0</v>
      </c>
      <c r="AY1174" s="3">
        <v>0</v>
      </c>
      <c r="AZ1174" s="3">
        <v>0</v>
      </c>
      <c r="BA1174" s="3">
        <v>0</v>
      </c>
      <c r="BB1174" s="3">
        <v>0</v>
      </c>
      <c r="BC1174" s="3">
        <v>0</v>
      </c>
      <c r="BD1174" s="3">
        <v>0</v>
      </c>
      <c r="BE1174" s="3">
        <v>0</v>
      </c>
      <c r="BF1174" s="3">
        <v>0</v>
      </c>
      <c r="BG1174" s="3">
        <v>0</v>
      </c>
      <c r="BH1174" s="3">
        <v>0</v>
      </c>
      <c r="BI1174" s="3">
        <v>0</v>
      </c>
      <c r="BJ1174" s="3">
        <v>0</v>
      </c>
      <c r="BK1174" s="3">
        <v>0</v>
      </c>
      <c r="BL1174" s="3">
        <v>0</v>
      </c>
      <c r="BM1174" s="3">
        <v>0</v>
      </c>
    </row>
    <row r="1175" spans="1:65" x14ac:dyDescent="0.25">
      <c r="A1175" s="2" t="s">
        <v>139</v>
      </c>
      <c r="B1175" s="4">
        <v>66</v>
      </c>
      <c r="C1175" s="4">
        <v>1</v>
      </c>
      <c r="D1175" s="4">
        <v>2</v>
      </c>
      <c r="E1175" s="4">
        <v>1</v>
      </c>
      <c r="F1175" s="4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1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3">
        <v>0</v>
      </c>
      <c r="AZ1175" s="3">
        <v>0</v>
      </c>
      <c r="BA1175" s="3">
        <v>0</v>
      </c>
      <c r="BB1175" s="3">
        <v>0</v>
      </c>
      <c r="BC1175" s="3">
        <v>0</v>
      </c>
      <c r="BD1175" s="3">
        <v>0</v>
      </c>
      <c r="BE1175" s="3">
        <v>0</v>
      </c>
      <c r="BF1175" s="3">
        <v>0</v>
      </c>
      <c r="BG1175" s="3">
        <v>0</v>
      </c>
      <c r="BH1175" s="3">
        <v>0</v>
      </c>
      <c r="BI1175" s="3">
        <v>0</v>
      </c>
      <c r="BJ1175" s="3">
        <v>0</v>
      </c>
      <c r="BK1175" s="3">
        <v>0</v>
      </c>
      <c r="BL1175" s="3">
        <v>0</v>
      </c>
      <c r="BM1175" s="3">
        <v>0</v>
      </c>
    </row>
    <row r="1176" spans="1:65" x14ac:dyDescent="0.25">
      <c r="A1176" s="2" t="s">
        <v>139</v>
      </c>
      <c r="B1176" s="4">
        <v>66</v>
      </c>
      <c r="C1176" s="4">
        <v>1</v>
      </c>
      <c r="D1176" s="4">
        <v>2</v>
      </c>
      <c r="E1176" s="4">
        <v>2</v>
      </c>
      <c r="F1176" s="4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1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0</v>
      </c>
      <c r="AY1176" s="3">
        <v>0</v>
      </c>
      <c r="AZ1176" s="3">
        <v>0</v>
      </c>
      <c r="BA1176" s="3">
        <v>0</v>
      </c>
      <c r="BB1176" s="3">
        <v>0</v>
      </c>
      <c r="BC1176" s="3">
        <v>0</v>
      </c>
      <c r="BD1176" s="3">
        <v>0</v>
      </c>
      <c r="BE1176" s="3">
        <v>0</v>
      </c>
      <c r="BF1176" s="3">
        <v>0</v>
      </c>
      <c r="BG1176" s="3">
        <v>0</v>
      </c>
      <c r="BH1176" s="3">
        <v>0</v>
      </c>
      <c r="BI1176" s="3">
        <v>0</v>
      </c>
      <c r="BJ1176" s="3">
        <v>0</v>
      </c>
      <c r="BK1176" s="3">
        <v>0</v>
      </c>
      <c r="BL1176" s="3">
        <v>0</v>
      </c>
      <c r="BM1176" s="3">
        <v>0</v>
      </c>
    </row>
    <row r="1177" spans="1:65" x14ac:dyDescent="0.25">
      <c r="A1177" s="2" t="s">
        <v>139</v>
      </c>
      <c r="B1177" s="4">
        <v>66</v>
      </c>
      <c r="C1177" s="4">
        <v>1</v>
      </c>
      <c r="D1177" s="4">
        <v>2</v>
      </c>
      <c r="E1177" s="4">
        <v>3</v>
      </c>
      <c r="F1177" s="4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3">
        <v>0</v>
      </c>
      <c r="AY1177" s="3">
        <v>0</v>
      </c>
      <c r="AZ1177" s="3">
        <v>0</v>
      </c>
      <c r="BA1177" s="3">
        <v>0</v>
      </c>
      <c r="BB1177" s="3">
        <v>0</v>
      </c>
      <c r="BC1177" s="3">
        <v>0</v>
      </c>
      <c r="BD1177" s="3">
        <v>0</v>
      </c>
      <c r="BE1177" s="3">
        <v>0</v>
      </c>
      <c r="BF1177" s="3">
        <v>0</v>
      </c>
      <c r="BG1177" s="3">
        <v>0</v>
      </c>
      <c r="BH1177" s="3">
        <v>0</v>
      </c>
      <c r="BI1177" s="3">
        <v>0</v>
      </c>
      <c r="BJ1177" s="3">
        <v>0</v>
      </c>
      <c r="BK1177" s="3">
        <v>0</v>
      </c>
      <c r="BL1177" s="3">
        <v>0</v>
      </c>
      <c r="BM1177" s="3">
        <v>0</v>
      </c>
    </row>
    <row r="1178" spans="1:65" x14ac:dyDescent="0.25">
      <c r="A1178" s="2" t="s">
        <v>139</v>
      </c>
      <c r="B1178" s="4">
        <v>66</v>
      </c>
      <c r="C1178" s="4">
        <v>1</v>
      </c>
      <c r="D1178" s="4">
        <v>3</v>
      </c>
      <c r="E1178" s="4">
        <v>1</v>
      </c>
      <c r="F1178" s="4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3">
        <v>0</v>
      </c>
      <c r="AV1178" s="3">
        <v>0</v>
      </c>
      <c r="AW1178" s="3">
        <v>0</v>
      </c>
      <c r="AX1178" s="3">
        <v>0</v>
      </c>
      <c r="AY1178" s="3">
        <v>0</v>
      </c>
      <c r="AZ1178" s="3">
        <v>0</v>
      </c>
      <c r="BA1178" s="3">
        <v>0</v>
      </c>
      <c r="BB1178" s="3">
        <v>0</v>
      </c>
      <c r="BC1178" s="3">
        <v>0</v>
      </c>
      <c r="BD1178" s="3">
        <v>0</v>
      </c>
      <c r="BE1178" s="3">
        <v>0</v>
      </c>
      <c r="BF1178" s="3">
        <v>0</v>
      </c>
      <c r="BG1178" s="3">
        <v>0</v>
      </c>
      <c r="BH1178" s="3">
        <v>0</v>
      </c>
      <c r="BI1178" s="3">
        <v>0</v>
      </c>
      <c r="BJ1178" s="3">
        <v>0</v>
      </c>
      <c r="BK1178" s="3">
        <v>0</v>
      </c>
      <c r="BL1178" s="3">
        <v>0</v>
      </c>
      <c r="BM1178" s="3">
        <v>0</v>
      </c>
    </row>
    <row r="1179" spans="1:65" x14ac:dyDescent="0.25">
      <c r="A1179" s="2" t="s">
        <v>139</v>
      </c>
      <c r="B1179" s="4">
        <v>66</v>
      </c>
      <c r="C1179" s="4">
        <v>1</v>
      </c>
      <c r="D1179" s="4">
        <v>3</v>
      </c>
      <c r="E1179" s="4">
        <v>2</v>
      </c>
      <c r="F1179" s="4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1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T1179" s="3">
        <v>0</v>
      </c>
      <c r="AU1179" s="3">
        <v>0</v>
      </c>
      <c r="AV1179" s="3">
        <v>0</v>
      </c>
      <c r="AW1179" s="3">
        <v>0</v>
      </c>
      <c r="AX1179" s="3">
        <v>0</v>
      </c>
      <c r="AY1179" s="3">
        <v>0</v>
      </c>
      <c r="AZ1179" s="3">
        <v>0</v>
      </c>
      <c r="BA1179" s="3">
        <v>0</v>
      </c>
      <c r="BB1179" s="3">
        <v>0</v>
      </c>
      <c r="BC1179" s="3">
        <v>0</v>
      </c>
      <c r="BD1179" s="3">
        <v>0</v>
      </c>
      <c r="BE1179" s="3">
        <v>0</v>
      </c>
      <c r="BF1179" s="3">
        <v>0</v>
      </c>
      <c r="BG1179" s="3">
        <v>0</v>
      </c>
      <c r="BH1179" s="3">
        <v>0</v>
      </c>
      <c r="BI1179" s="3">
        <v>0</v>
      </c>
      <c r="BJ1179" s="3">
        <v>0</v>
      </c>
      <c r="BK1179" s="3">
        <v>0</v>
      </c>
      <c r="BL1179" s="3">
        <v>0</v>
      </c>
      <c r="BM1179" s="3">
        <v>0</v>
      </c>
    </row>
    <row r="1180" spans="1:65" x14ac:dyDescent="0.25">
      <c r="A1180" s="2" t="s">
        <v>139</v>
      </c>
      <c r="B1180" s="4">
        <v>66</v>
      </c>
      <c r="C1180" s="4">
        <v>1</v>
      </c>
      <c r="D1180" s="4">
        <v>3</v>
      </c>
      <c r="E1180" s="4">
        <v>3</v>
      </c>
      <c r="F1180" s="4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W1180" s="3">
        <v>0</v>
      </c>
      <c r="AX1180" s="3">
        <v>0</v>
      </c>
      <c r="AY1180" s="3">
        <v>0</v>
      </c>
      <c r="AZ1180" s="3">
        <v>0</v>
      </c>
      <c r="BA1180" s="3">
        <v>0</v>
      </c>
      <c r="BB1180" s="3">
        <v>0</v>
      </c>
      <c r="BC1180" s="3">
        <v>0</v>
      </c>
      <c r="BD1180" s="3">
        <v>0</v>
      </c>
      <c r="BE1180" s="3">
        <v>0</v>
      </c>
      <c r="BF1180" s="3">
        <v>0</v>
      </c>
      <c r="BG1180" s="3">
        <v>0</v>
      </c>
      <c r="BH1180" s="3">
        <v>0</v>
      </c>
      <c r="BI1180" s="3">
        <v>0</v>
      </c>
      <c r="BJ1180" s="3">
        <v>0</v>
      </c>
      <c r="BK1180" s="3">
        <v>0</v>
      </c>
      <c r="BL1180" s="3">
        <v>0</v>
      </c>
      <c r="BM1180" s="3">
        <v>0</v>
      </c>
    </row>
    <row r="1181" spans="1:65" x14ac:dyDescent="0.25">
      <c r="A1181" s="2" t="s">
        <v>139</v>
      </c>
      <c r="B1181" s="4">
        <v>66</v>
      </c>
      <c r="C1181" s="4">
        <v>2</v>
      </c>
      <c r="D1181" s="4">
        <v>1</v>
      </c>
      <c r="E1181" s="4">
        <v>1</v>
      </c>
      <c r="F1181" s="6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1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1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0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0</v>
      </c>
      <c r="BD1181" s="3">
        <v>0</v>
      </c>
      <c r="BE1181" s="3">
        <v>0</v>
      </c>
      <c r="BF1181" s="3">
        <v>0</v>
      </c>
      <c r="BG1181" s="3">
        <v>0</v>
      </c>
      <c r="BH1181" s="3">
        <v>0</v>
      </c>
      <c r="BI1181" s="3">
        <v>0</v>
      </c>
      <c r="BJ1181" s="3">
        <v>0</v>
      </c>
      <c r="BK1181" s="3">
        <v>0</v>
      </c>
      <c r="BL1181" s="3">
        <v>1</v>
      </c>
      <c r="BM1181" s="3">
        <v>0</v>
      </c>
    </row>
    <row r="1182" spans="1:65" x14ac:dyDescent="0.25">
      <c r="A1182" s="2" t="s">
        <v>139</v>
      </c>
      <c r="B1182" s="4">
        <v>66</v>
      </c>
      <c r="C1182" s="4">
        <v>2</v>
      </c>
      <c r="D1182" s="4">
        <v>1</v>
      </c>
      <c r="E1182" s="4">
        <v>2</v>
      </c>
      <c r="F1182" s="6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1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1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  <c r="AV1182" s="3">
        <v>0</v>
      </c>
      <c r="AW1182" s="3">
        <v>0</v>
      </c>
      <c r="AX1182" s="3">
        <v>0</v>
      </c>
      <c r="AY1182" s="3">
        <v>0</v>
      </c>
      <c r="AZ1182" s="3">
        <v>0</v>
      </c>
      <c r="BA1182" s="3">
        <v>0</v>
      </c>
      <c r="BB1182" s="3">
        <v>0</v>
      </c>
      <c r="BC1182" s="3">
        <v>0</v>
      </c>
      <c r="BD1182" s="3">
        <v>0</v>
      </c>
      <c r="BE1182" s="3">
        <v>0</v>
      </c>
      <c r="BF1182" s="3">
        <v>0</v>
      </c>
      <c r="BG1182" s="3">
        <v>0</v>
      </c>
      <c r="BH1182" s="3">
        <v>0</v>
      </c>
      <c r="BI1182" s="3">
        <v>0</v>
      </c>
      <c r="BJ1182" s="3">
        <v>0</v>
      </c>
      <c r="BK1182" s="3">
        <v>0</v>
      </c>
      <c r="BL1182" s="3">
        <v>1</v>
      </c>
      <c r="BM1182" s="3">
        <v>0</v>
      </c>
    </row>
    <row r="1183" spans="1:65" x14ac:dyDescent="0.25">
      <c r="A1183" s="2" t="s">
        <v>139</v>
      </c>
      <c r="B1183" s="4">
        <v>66</v>
      </c>
      <c r="C1183" s="4">
        <v>2</v>
      </c>
      <c r="D1183" s="4">
        <v>1</v>
      </c>
      <c r="E1183" s="4">
        <v>3</v>
      </c>
      <c r="F1183" s="6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1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3">
        <v>0</v>
      </c>
      <c r="AW1183" s="3">
        <v>0</v>
      </c>
      <c r="AX1183" s="3">
        <v>0</v>
      </c>
      <c r="AY1183" s="3">
        <v>0</v>
      </c>
      <c r="AZ1183" s="3">
        <v>0</v>
      </c>
      <c r="BA1183" s="3">
        <v>0</v>
      </c>
      <c r="BB1183" s="3">
        <v>0</v>
      </c>
      <c r="BC1183" s="3">
        <v>0</v>
      </c>
      <c r="BD1183" s="3">
        <v>0</v>
      </c>
      <c r="BE1183" s="3">
        <v>1</v>
      </c>
      <c r="BF1183" s="3">
        <v>0</v>
      </c>
      <c r="BG1183" s="3">
        <v>0</v>
      </c>
      <c r="BH1183" s="3">
        <v>0</v>
      </c>
      <c r="BI1183" s="3">
        <v>0</v>
      </c>
      <c r="BJ1183" s="3">
        <v>0</v>
      </c>
      <c r="BK1183" s="3">
        <v>0</v>
      </c>
      <c r="BL1183" s="3">
        <v>0</v>
      </c>
      <c r="BM1183" s="3">
        <v>0</v>
      </c>
    </row>
    <row r="1184" spans="1:65" x14ac:dyDescent="0.25">
      <c r="A1184" s="2" t="s">
        <v>139</v>
      </c>
      <c r="B1184" s="4">
        <v>66</v>
      </c>
      <c r="C1184" s="4">
        <v>2</v>
      </c>
      <c r="D1184" s="4">
        <v>2</v>
      </c>
      <c r="E1184" s="4">
        <v>1</v>
      </c>
      <c r="F1184" s="6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T1184" s="3">
        <v>0</v>
      </c>
      <c r="AU1184" s="3">
        <v>0</v>
      </c>
      <c r="AV1184" s="3">
        <v>0</v>
      </c>
      <c r="AW1184" s="3">
        <v>0</v>
      </c>
      <c r="AX1184" s="3">
        <v>0</v>
      </c>
      <c r="AY1184" s="3">
        <v>0</v>
      </c>
      <c r="AZ1184" s="3">
        <v>0</v>
      </c>
      <c r="BA1184" s="3">
        <v>0</v>
      </c>
      <c r="BB1184" s="3">
        <v>0</v>
      </c>
      <c r="BC1184" s="3">
        <v>0</v>
      </c>
      <c r="BD1184" s="3">
        <v>0</v>
      </c>
      <c r="BE1184" s="3">
        <v>0</v>
      </c>
      <c r="BF1184" s="3">
        <v>0</v>
      </c>
      <c r="BG1184" s="3">
        <v>0</v>
      </c>
      <c r="BH1184" s="3">
        <v>0</v>
      </c>
      <c r="BI1184" s="3">
        <v>0</v>
      </c>
      <c r="BJ1184" s="3">
        <v>0</v>
      </c>
      <c r="BK1184" s="3">
        <v>0</v>
      </c>
      <c r="BL1184" s="3">
        <v>0</v>
      </c>
      <c r="BM1184" s="3">
        <v>0</v>
      </c>
    </row>
    <row r="1185" spans="1:65" x14ac:dyDescent="0.25">
      <c r="A1185" s="2" t="s">
        <v>139</v>
      </c>
      <c r="B1185" s="4">
        <v>66</v>
      </c>
      <c r="C1185" s="4">
        <v>2</v>
      </c>
      <c r="D1185" s="4">
        <v>2</v>
      </c>
      <c r="E1185" s="4">
        <v>2</v>
      </c>
      <c r="F1185" s="6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0</v>
      </c>
      <c r="AX1185" s="3">
        <v>0</v>
      </c>
      <c r="AY1185" s="3">
        <v>0</v>
      </c>
      <c r="AZ1185" s="3">
        <v>0</v>
      </c>
      <c r="BA1185" s="3">
        <v>0</v>
      </c>
      <c r="BB1185" s="3">
        <v>0</v>
      </c>
      <c r="BC1185" s="3">
        <v>0</v>
      </c>
      <c r="BD1185" s="3">
        <v>0</v>
      </c>
      <c r="BE1185" s="3">
        <v>0</v>
      </c>
      <c r="BF1185" s="3">
        <v>0</v>
      </c>
      <c r="BG1185" s="3">
        <v>0</v>
      </c>
      <c r="BH1185" s="3">
        <v>0</v>
      </c>
      <c r="BI1185" s="3">
        <v>0</v>
      </c>
      <c r="BJ1185" s="3">
        <v>0</v>
      </c>
      <c r="BK1185" s="3">
        <v>0</v>
      </c>
      <c r="BL1185" s="3">
        <v>0</v>
      </c>
      <c r="BM1185" s="3">
        <v>0</v>
      </c>
    </row>
    <row r="1186" spans="1:65" x14ac:dyDescent="0.25">
      <c r="A1186" s="2" t="s">
        <v>139</v>
      </c>
      <c r="B1186" s="4">
        <v>66</v>
      </c>
      <c r="C1186" s="4">
        <v>2</v>
      </c>
      <c r="D1186" s="4">
        <v>2</v>
      </c>
      <c r="E1186" s="4">
        <v>3</v>
      </c>
      <c r="F1186" s="6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1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V1186" s="3">
        <v>0</v>
      </c>
      <c r="AW1186" s="3">
        <v>0</v>
      </c>
      <c r="AX1186" s="3">
        <v>0</v>
      </c>
      <c r="AY1186" s="3">
        <v>0</v>
      </c>
      <c r="AZ1186" s="3">
        <v>0</v>
      </c>
      <c r="BA1186" s="3">
        <v>0</v>
      </c>
      <c r="BB1186" s="3">
        <v>0</v>
      </c>
      <c r="BC1186" s="3">
        <v>0</v>
      </c>
      <c r="BD1186" s="3">
        <v>0</v>
      </c>
      <c r="BE1186" s="3">
        <v>0</v>
      </c>
      <c r="BF1186" s="3">
        <v>0</v>
      </c>
      <c r="BG1186" s="3">
        <v>0</v>
      </c>
      <c r="BH1186" s="3">
        <v>0</v>
      </c>
      <c r="BI1186" s="3">
        <v>0</v>
      </c>
      <c r="BJ1186" s="3">
        <v>0</v>
      </c>
      <c r="BK1186" s="3">
        <v>0</v>
      </c>
      <c r="BL1186" s="3">
        <v>0</v>
      </c>
      <c r="BM1186" s="3">
        <v>0</v>
      </c>
    </row>
    <row r="1187" spans="1:65" x14ac:dyDescent="0.25">
      <c r="A1187" s="2" t="s">
        <v>139</v>
      </c>
      <c r="B1187" s="4">
        <v>66</v>
      </c>
      <c r="C1187" s="4">
        <v>2</v>
      </c>
      <c r="D1187" s="4">
        <v>3</v>
      </c>
      <c r="E1187" s="4">
        <v>1</v>
      </c>
      <c r="F1187" s="6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3">
        <v>0</v>
      </c>
      <c r="BB1187" s="3">
        <v>0</v>
      </c>
      <c r="BC1187" s="3">
        <v>0</v>
      </c>
      <c r="BD1187" s="3">
        <v>0</v>
      </c>
      <c r="BE1187" s="3">
        <v>0</v>
      </c>
      <c r="BF1187" s="3">
        <v>0</v>
      </c>
      <c r="BG1187" s="3">
        <v>1</v>
      </c>
      <c r="BH1187" s="3">
        <v>0</v>
      </c>
      <c r="BI1187" s="3">
        <v>0</v>
      </c>
      <c r="BJ1187" s="3">
        <v>0</v>
      </c>
      <c r="BK1187" s="3">
        <v>0</v>
      </c>
      <c r="BL1187" s="3">
        <v>1</v>
      </c>
      <c r="BM1187" s="3">
        <v>0</v>
      </c>
    </row>
    <row r="1188" spans="1:65" x14ac:dyDescent="0.25">
      <c r="A1188" s="2" t="s">
        <v>139</v>
      </c>
      <c r="B1188" s="4">
        <v>66</v>
      </c>
      <c r="C1188" s="4">
        <v>2</v>
      </c>
      <c r="D1188" s="4">
        <v>3</v>
      </c>
      <c r="E1188" s="4">
        <v>2</v>
      </c>
      <c r="F1188" s="6">
        <v>0</v>
      </c>
      <c r="G1188" s="3">
        <v>1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3">
        <v>0</v>
      </c>
      <c r="AV1188" s="3">
        <v>0</v>
      </c>
      <c r="AW1188" s="3">
        <v>0</v>
      </c>
      <c r="AX1188" s="3">
        <v>0</v>
      </c>
      <c r="AY1188" s="3">
        <v>0</v>
      </c>
      <c r="AZ1188" s="3">
        <v>0</v>
      </c>
      <c r="BA1188" s="3">
        <v>0</v>
      </c>
      <c r="BB1188" s="3">
        <v>0</v>
      </c>
      <c r="BC1188" s="3">
        <v>0</v>
      </c>
      <c r="BD1188" s="3">
        <v>0</v>
      </c>
      <c r="BE1188" s="3">
        <v>0</v>
      </c>
      <c r="BF1188" s="3">
        <v>0</v>
      </c>
      <c r="BG1188" s="3">
        <v>0</v>
      </c>
      <c r="BH1188" s="3">
        <v>0</v>
      </c>
      <c r="BI1188" s="3">
        <v>0</v>
      </c>
      <c r="BJ1188" s="3">
        <v>0</v>
      </c>
      <c r="BK1188" s="3">
        <v>0</v>
      </c>
      <c r="BL1188" s="3">
        <v>0</v>
      </c>
      <c r="BM1188" s="3">
        <v>0</v>
      </c>
    </row>
    <row r="1189" spans="1:65" x14ac:dyDescent="0.25">
      <c r="A1189" s="2" t="s">
        <v>139</v>
      </c>
      <c r="B1189" s="4">
        <v>66</v>
      </c>
      <c r="C1189" s="4">
        <v>2</v>
      </c>
      <c r="D1189" s="4">
        <v>3</v>
      </c>
      <c r="E1189" s="4">
        <v>3</v>
      </c>
      <c r="F1189" s="6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3">
        <v>0</v>
      </c>
      <c r="AV1189" s="3">
        <v>0</v>
      </c>
      <c r="AW1189" s="3">
        <v>0</v>
      </c>
      <c r="AX1189" s="3">
        <v>0</v>
      </c>
      <c r="AY1189" s="3">
        <v>0</v>
      </c>
      <c r="AZ1189" s="3">
        <v>0</v>
      </c>
      <c r="BA1189" s="3">
        <v>0</v>
      </c>
      <c r="BB1189" s="3">
        <v>0</v>
      </c>
      <c r="BC1189" s="3">
        <v>0</v>
      </c>
      <c r="BD1189" s="3">
        <v>0</v>
      </c>
      <c r="BE1189" s="3">
        <v>0</v>
      </c>
      <c r="BF1189" s="3">
        <v>0</v>
      </c>
      <c r="BG1189" s="3">
        <v>0</v>
      </c>
      <c r="BH1189" s="3">
        <v>0</v>
      </c>
      <c r="BI1189" s="3">
        <v>0</v>
      </c>
      <c r="BJ1189" s="3">
        <v>0</v>
      </c>
      <c r="BK1189" s="3">
        <v>0</v>
      </c>
      <c r="BL1189" s="3">
        <v>0</v>
      </c>
      <c r="BM1189" s="3">
        <v>0</v>
      </c>
    </row>
    <row r="1190" spans="1:65" x14ac:dyDescent="0.25">
      <c r="A1190" s="2" t="s">
        <v>140</v>
      </c>
      <c r="B1190" s="4">
        <v>68</v>
      </c>
      <c r="C1190" s="4">
        <v>1</v>
      </c>
      <c r="D1190" s="4">
        <v>1</v>
      </c>
      <c r="E1190" s="4">
        <v>1</v>
      </c>
      <c r="F1190" s="4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1</v>
      </c>
      <c r="Z1190" s="3">
        <v>0</v>
      </c>
      <c r="AA1190" s="3">
        <v>0</v>
      </c>
      <c r="AB1190" s="3">
        <v>1</v>
      </c>
      <c r="AC1190" s="3">
        <v>0</v>
      </c>
      <c r="AD1190" s="3">
        <v>0</v>
      </c>
      <c r="AE1190" s="3">
        <v>0</v>
      </c>
      <c r="AF1190" s="3">
        <v>2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0</v>
      </c>
      <c r="AW1190" s="3">
        <v>0</v>
      </c>
      <c r="AX1190" s="3">
        <v>0</v>
      </c>
      <c r="AY1190" s="3">
        <v>0</v>
      </c>
      <c r="AZ1190" s="3">
        <v>0</v>
      </c>
      <c r="BA1190" s="3">
        <v>0</v>
      </c>
      <c r="BB1190" s="3">
        <v>2</v>
      </c>
      <c r="BC1190" s="3">
        <v>0</v>
      </c>
      <c r="BD1190" s="3">
        <v>0</v>
      </c>
      <c r="BE1190" s="3">
        <v>0</v>
      </c>
      <c r="BF1190" s="3">
        <v>0</v>
      </c>
      <c r="BG1190" s="3">
        <v>0</v>
      </c>
      <c r="BH1190" s="3">
        <v>0</v>
      </c>
      <c r="BI1190" s="3">
        <v>0</v>
      </c>
      <c r="BJ1190" s="3">
        <v>0</v>
      </c>
      <c r="BK1190" s="3">
        <v>0</v>
      </c>
      <c r="BL1190" s="3">
        <v>2</v>
      </c>
      <c r="BM1190" s="3">
        <v>0</v>
      </c>
    </row>
    <row r="1191" spans="1:65" x14ac:dyDescent="0.25">
      <c r="A1191" s="2" t="s">
        <v>140</v>
      </c>
      <c r="B1191" s="4">
        <v>68</v>
      </c>
      <c r="C1191" s="4">
        <v>1</v>
      </c>
      <c r="D1191" s="4">
        <v>1</v>
      </c>
      <c r="E1191" s="4">
        <v>2</v>
      </c>
      <c r="F1191" s="4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0</v>
      </c>
      <c r="AX1191" s="3">
        <v>0</v>
      </c>
      <c r="AY1191" s="3">
        <v>0</v>
      </c>
      <c r="AZ1191" s="3">
        <v>0</v>
      </c>
      <c r="BA1191" s="3">
        <v>0</v>
      </c>
      <c r="BB1191" s="3">
        <v>0</v>
      </c>
      <c r="BC1191" s="3">
        <v>0</v>
      </c>
      <c r="BD1191" s="3">
        <v>0</v>
      </c>
      <c r="BE1191" s="3">
        <v>0</v>
      </c>
      <c r="BF1191" s="3">
        <v>0</v>
      </c>
      <c r="BG1191" s="3">
        <v>0</v>
      </c>
      <c r="BH1191" s="3">
        <v>0</v>
      </c>
      <c r="BI1191" s="3">
        <v>0</v>
      </c>
      <c r="BJ1191" s="3">
        <v>0</v>
      </c>
      <c r="BK1191" s="3">
        <v>0</v>
      </c>
      <c r="BL1191" s="3">
        <v>0</v>
      </c>
      <c r="BM1191" s="3">
        <v>0</v>
      </c>
    </row>
    <row r="1192" spans="1:65" x14ac:dyDescent="0.25">
      <c r="A1192" s="2" t="s">
        <v>140</v>
      </c>
      <c r="B1192" s="4">
        <v>68</v>
      </c>
      <c r="C1192" s="4">
        <v>1</v>
      </c>
      <c r="D1192" s="4">
        <v>1</v>
      </c>
      <c r="E1192" s="4">
        <v>3</v>
      </c>
      <c r="F1192" s="4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3">
        <v>0</v>
      </c>
      <c r="AV1192" s="3">
        <v>0</v>
      </c>
      <c r="AW1192" s="3">
        <v>0</v>
      </c>
      <c r="AX1192" s="3">
        <v>0</v>
      </c>
      <c r="AY1192" s="3">
        <v>0</v>
      </c>
      <c r="AZ1192" s="3">
        <v>0</v>
      </c>
      <c r="BA1192" s="3">
        <v>0</v>
      </c>
      <c r="BB1192" s="3">
        <v>0</v>
      </c>
      <c r="BC1192" s="3">
        <v>0</v>
      </c>
      <c r="BD1192" s="3">
        <v>0</v>
      </c>
      <c r="BE1192" s="3">
        <v>0</v>
      </c>
      <c r="BF1192" s="3">
        <v>0</v>
      </c>
      <c r="BG1192" s="3">
        <v>0</v>
      </c>
      <c r="BH1192" s="3">
        <v>0</v>
      </c>
      <c r="BI1192" s="3">
        <v>0</v>
      </c>
      <c r="BJ1192" s="3">
        <v>0</v>
      </c>
      <c r="BK1192" s="3">
        <v>0</v>
      </c>
      <c r="BL1192" s="3">
        <v>0</v>
      </c>
      <c r="BM1192" s="3">
        <v>0</v>
      </c>
    </row>
    <row r="1193" spans="1:65" x14ac:dyDescent="0.25">
      <c r="A1193" s="2" t="s">
        <v>140</v>
      </c>
      <c r="B1193" s="4">
        <v>68</v>
      </c>
      <c r="C1193" s="4">
        <v>1</v>
      </c>
      <c r="D1193" s="4">
        <v>2</v>
      </c>
      <c r="E1193" s="4">
        <v>1</v>
      </c>
      <c r="F1193" s="4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0</v>
      </c>
      <c r="AX1193" s="3">
        <v>0</v>
      </c>
      <c r="AY1193" s="3">
        <v>0</v>
      </c>
      <c r="AZ1193" s="3">
        <v>0</v>
      </c>
      <c r="BA1193" s="3">
        <v>0</v>
      </c>
      <c r="BB1193" s="3">
        <v>0</v>
      </c>
      <c r="BC1193" s="3">
        <v>0</v>
      </c>
      <c r="BD1193" s="3">
        <v>0</v>
      </c>
      <c r="BE1193" s="3">
        <v>0</v>
      </c>
      <c r="BF1193" s="3">
        <v>0</v>
      </c>
      <c r="BG1193" s="3">
        <v>0</v>
      </c>
      <c r="BH1193" s="3">
        <v>0</v>
      </c>
      <c r="BI1193" s="3">
        <v>0</v>
      </c>
      <c r="BJ1193" s="3">
        <v>0</v>
      </c>
      <c r="BK1193" s="3">
        <v>0</v>
      </c>
      <c r="BL1193" s="3">
        <v>1</v>
      </c>
      <c r="BM1193" s="3">
        <v>0</v>
      </c>
    </row>
    <row r="1194" spans="1:65" x14ac:dyDescent="0.25">
      <c r="A1194" s="2" t="s">
        <v>140</v>
      </c>
      <c r="B1194" s="4">
        <v>68</v>
      </c>
      <c r="C1194" s="4">
        <v>1</v>
      </c>
      <c r="D1194" s="4">
        <v>2</v>
      </c>
      <c r="E1194" s="4">
        <v>2</v>
      </c>
      <c r="F1194" s="4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1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0</v>
      </c>
      <c r="AW1194" s="3">
        <v>0</v>
      </c>
      <c r="AX1194" s="3">
        <v>0</v>
      </c>
      <c r="AY1194" s="3">
        <v>0</v>
      </c>
      <c r="AZ1194" s="3">
        <v>1</v>
      </c>
      <c r="BA1194" s="3">
        <v>0</v>
      </c>
      <c r="BB1194" s="3">
        <v>0</v>
      </c>
      <c r="BC1194" s="3">
        <v>0</v>
      </c>
      <c r="BD1194" s="3">
        <v>0</v>
      </c>
      <c r="BE1194" s="3">
        <v>0</v>
      </c>
      <c r="BF1194" s="3">
        <v>0</v>
      </c>
      <c r="BG1194" s="3">
        <v>0</v>
      </c>
      <c r="BH1194" s="3">
        <v>0</v>
      </c>
      <c r="BI1194" s="3">
        <v>0</v>
      </c>
      <c r="BJ1194" s="3">
        <v>0</v>
      </c>
      <c r="BK1194" s="3">
        <v>0</v>
      </c>
      <c r="BL1194" s="3">
        <v>0</v>
      </c>
      <c r="BM1194" s="3">
        <v>0</v>
      </c>
    </row>
    <row r="1195" spans="1:65" x14ac:dyDescent="0.25">
      <c r="A1195" s="2" t="s">
        <v>140</v>
      </c>
      <c r="B1195" s="4">
        <v>68</v>
      </c>
      <c r="C1195" s="4">
        <v>1</v>
      </c>
      <c r="D1195" s="4">
        <v>2</v>
      </c>
      <c r="E1195" s="4">
        <v>3</v>
      </c>
      <c r="F1195" s="4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0</v>
      </c>
      <c r="BD1195" s="3">
        <v>0</v>
      </c>
      <c r="BE1195" s="3">
        <v>0</v>
      </c>
      <c r="BF1195" s="3">
        <v>0</v>
      </c>
      <c r="BG1195" s="3">
        <v>0</v>
      </c>
      <c r="BH1195" s="3">
        <v>0</v>
      </c>
      <c r="BI1195" s="3">
        <v>0</v>
      </c>
      <c r="BJ1195" s="3">
        <v>0</v>
      </c>
      <c r="BK1195" s="3">
        <v>0</v>
      </c>
      <c r="BL1195" s="3">
        <v>0</v>
      </c>
      <c r="BM1195" s="3">
        <v>0</v>
      </c>
    </row>
    <row r="1196" spans="1:65" x14ac:dyDescent="0.25">
      <c r="A1196" s="2" t="s">
        <v>140</v>
      </c>
      <c r="B1196" s="4">
        <v>68</v>
      </c>
      <c r="C1196" s="4">
        <v>1</v>
      </c>
      <c r="D1196" s="4">
        <v>3</v>
      </c>
      <c r="E1196" s="4">
        <v>1</v>
      </c>
      <c r="F1196" s="4">
        <v>0</v>
      </c>
      <c r="G1196" s="3">
        <v>1</v>
      </c>
      <c r="H1196" s="3">
        <v>0</v>
      </c>
      <c r="I1196" s="3">
        <v>0</v>
      </c>
      <c r="J1196" s="3">
        <v>0</v>
      </c>
      <c r="K1196" s="3">
        <v>0</v>
      </c>
      <c r="L1196" s="3">
        <v>1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3">
        <v>0</v>
      </c>
      <c r="AW1196" s="3">
        <v>0</v>
      </c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0</v>
      </c>
      <c r="BD1196" s="3">
        <v>0</v>
      </c>
      <c r="BE1196" s="3">
        <v>0</v>
      </c>
      <c r="BF1196" s="3">
        <v>0</v>
      </c>
      <c r="BG1196" s="3">
        <v>0</v>
      </c>
      <c r="BH1196" s="3">
        <v>0</v>
      </c>
      <c r="BI1196" s="3">
        <v>0</v>
      </c>
      <c r="BJ1196" s="3">
        <v>0</v>
      </c>
      <c r="BK1196" s="3">
        <v>0</v>
      </c>
      <c r="BL1196" s="3">
        <v>0</v>
      </c>
      <c r="BM1196" s="3">
        <v>0</v>
      </c>
    </row>
    <row r="1197" spans="1:65" x14ac:dyDescent="0.25">
      <c r="A1197" s="2" t="s">
        <v>140</v>
      </c>
      <c r="B1197" s="4">
        <v>68</v>
      </c>
      <c r="C1197" s="4">
        <v>1</v>
      </c>
      <c r="D1197" s="4">
        <v>3</v>
      </c>
      <c r="E1197" s="4">
        <v>2</v>
      </c>
      <c r="F1197" s="4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1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1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0</v>
      </c>
      <c r="AX1197" s="3">
        <v>0</v>
      </c>
      <c r="AY1197" s="3">
        <v>0</v>
      </c>
      <c r="AZ1197" s="3">
        <v>0</v>
      </c>
      <c r="BA1197" s="3">
        <v>0</v>
      </c>
      <c r="BB1197" s="3">
        <v>1</v>
      </c>
      <c r="BC1197" s="3">
        <v>0</v>
      </c>
      <c r="BD1197" s="3">
        <v>0</v>
      </c>
      <c r="BE1197" s="3">
        <v>0</v>
      </c>
      <c r="BF1197" s="3">
        <v>0</v>
      </c>
      <c r="BG1197" s="3">
        <v>0</v>
      </c>
      <c r="BH1197" s="3">
        <v>0</v>
      </c>
      <c r="BI1197" s="3">
        <v>0</v>
      </c>
      <c r="BJ1197" s="3">
        <v>0</v>
      </c>
      <c r="BK1197" s="3">
        <v>0</v>
      </c>
      <c r="BL1197" s="3">
        <v>0</v>
      </c>
      <c r="BM1197" s="3">
        <v>0</v>
      </c>
    </row>
    <row r="1198" spans="1:65" x14ac:dyDescent="0.25">
      <c r="A1198" s="2" t="s">
        <v>140</v>
      </c>
      <c r="B1198" s="4">
        <v>68</v>
      </c>
      <c r="C1198" s="4">
        <v>1</v>
      </c>
      <c r="D1198" s="4">
        <v>3</v>
      </c>
      <c r="E1198" s="4">
        <v>3</v>
      </c>
      <c r="F1198" s="4">
        <v>0</v>
      </c>
      <c r="G1198" s="3">
        <v>0</v>
      </c>
      <c r="H1198" s="3">
        <v>0</v>
      </c>
      <c r="I1198" s="3">
        <v>1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  <c r="AU1198" s="3">
        <v>0</v>
      </c>
      <c r="AV1198" s="3">
        <v>0</v>
      </c>
      <c r="AW1198" s="3">
        <v>0</v>
      </c>
      <c r="AX1198" s="3">
        <v>0</v>
      </c>
      <c r="AY1198" s="3">
        <v>0</v>
      </c>
      <c r="AZ1198" s="3">
        <v>0</v>
      </c>
      <c r="BA1198" s="3">
        <v>0</v>
      </c>
      <c r="BB1198" s="3">
        <v>0</v>
      </c>
      <c r="BC1198" s="3">
        <v>0</v>
      </c>
      <c r="BD1198" s="3">
        <v>0</v>
      </c>
      <c r="BE1198" s="3">
        <v>0</v>
      </c>
      <c r="BF1198" s="3">
        <v>0</v>
      </c>
      <c r="BG1198" s="3">
        <v>0</v>
      </c>
      <c r="BH1198" s="3">
        <v>0</v>
      </c>
      <c r="BI1198" s="3">
        <v>0</v>
      </c>
      <c r="BJ1198" s="3">
        <v>0</v>
      </c>
      <c r="BK1198" s="3">
        <v>0</v>
      </c>
      <c r="BL1198" s="3">
        <v>0</v>
      </c>
      <c r="BM1198" s="3">
        <v>0</v>
      </c>
    </row>
    <row r="1199" spans="1:65" x14ac:dyDescent="0.25">
      <c r="A1199" s="2" t="s">
        <v>140</v>
      </c>
      <c r="B1199" s="4">
        <v>68</v>
      </c>
      <c r="C1199" s="4">
        <v>2</v>
      </c>
      <c r="D1199" s="4">
        <v>1</v>
      </c>
      <c r="E1199" s="4">
        <v>1</v>
      </c>
      <c r="F1199" s="6">
        <v>0</v>
      </c>
      <c r="G1199" s="3">
        <v>2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2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3">
        <v>0</v>
      </c>
      <c r="AV1199" s="3">
        <v>0</v>
      </c>
      <c r="AW1199" s="3">
        <v>0</v>
      </c>
      <c r="AX1199" s="3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v>0</v>
      </c>
      <c r="BD1199" s="3">
        <v>0</v>
      </c>
      <c r="BE1199" s="3">
        <v>0</v>
      </c>
      <c r="BF1199" s="3">
        <v>0</v>
      </c>
      <c r="BG1199" s="3">
        <v>0</v>
      </c>
      <c r="BH1199" s="3">
        <v>0</v>
      </c>
      <c r="BI1199" s="3">
        <v>0</v>
      </c>
      <c r="BJ1199" s="3">
        <v>0</v>
      </c>
      <c r="BK1199" s="3">
        <v>0</v>
      </c>
      <c r="BL1199" s="3">
        <v>2</v>
      </c>
      <c r="BM1199" s="3">
        <v>0</v>
      </c>
    </row>
    <row r="1200" spans="1:65" x14ac:dyDescent="0.25">
      <c r="A1200" s="2" t="s">
        <v>140</v>
      </c>
      <c r="B1200" s="4">
        <v>68</v>
      </c>
      <c r="C1200" s="4">
        <v>2</v>
      </c>
      <c r="D1200" s="4">
        <v>1</v>
      </c>
      <c r="E1200" s="4">
        <v>2</v>
      </c>
      <c r="F1200" s="6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1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3">
        <v>0</v>
      </c>
      <c r="AV1200" s="3">
        <v>0</v>
      </c>
      <c r="AW1200" s="3">
        <v>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0</v>
      </c>
      <c r="BD1200" s="3">
        <v>0</v>
      </c>
      <c r="BE1200" s="3">
        <v>0</v>
      </c>
      <c r="BF1200" s="3">
        <v>0</v>
      </c>
      <c r="BG1200" s="3">
        <v>0</v>
      </c>
      <c r="BH1200" s="3">
        <v>0</v>
      </c>
      <c r="BI1200" s="3">
        <v>0</v>
      </c>
      <c r="BJ1200" s="3">
        <v>0</v>
      </c>
      <c r="BK1200" s="3">
        <v>0</v>
      </c>
      <c r="BL1200" s="3">
        <v>0</v>
      </c>
      <c r="BM1200" s="3">
        <v>0</v>
      </c>
    </row>
    <row r="1201" spans="1:65" x14ac:dyDescent="0.25">
      <c r="A1201" s="2" t="s">
        <v>140</v>
      </c>
      <c r="B1201" s="4">
        <v>68</v>
      </c>
      <c r="C1201" s="4">
        <v>2</v>
      </c>
      <c r="D1201" s="4">
        <v>1</v>
      </c>
      <c r="E1201" s="4">
        <v>3</v>
      </c>
      <c r="F1201" s="6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3">
        <v>0</v>
      </c>
      <c r="AV1201" s="3">
        <v>1</v>
      </c>
      <c r="AW1201" s="3">
        <v>0</v>
      </c>
      <c r="AX1201" s="3">
        <v>0</v>
      </c>
      <c r="AY1201" s="3">
        <v>0</v>
      </c>
      <c r="AZ1201" s="3">
        <v>0</v>
      </c>
      <c r="BA1201" s="3">
        <v>0</v>
      </c>
      <c r="BB1201" s="3">
        <v>0</v>
      </c>
      <c r="BC1201" s="3">
        <v>0</v>
      </c>
      <c r="BD1201" s="3">
        <v>0</v>
      </c>
      <c r="BE1201" s="3">
        <v>0</v>
      </c>
      <c r="BF1201" s="3">
        <v>0</v>
      </c>
      <c r="BG1201" s="3">
        <v>0</v>
      </c>
      <c r="BH1201" s="3">
        <v>0</v>
      </c>
      <c r="BI1201" s="3">
        <v>0</v>
      </c>
      <c r="BJ1201" s="3">
        <v>0</v>
      </c>
      <c r="BK1201" s="3">
        <v>0</v>
      </c>
      <c r="BL1201" s="3">
        <v>0</v>
      </c>
      <c r="BM1201" s="3">
        <v>0</v>
      </c>
    </row>
    <row r="1202" spans="1:65" x14ac:dyDescent="0.25">
      <c r="A1202" s="2" t="s">
        <v>140</v>
      </c>
      <c r="B1202" s="4">
        <v>68</v>
      </c>
      <c r="C1202" s="4">
        <v>2</v>
      </c>
      <c r="D1202" s="4">
        <v>2</v>
      </c>
      <c r="E1202" s="4">
        <v>1</v>
      </c>
      <c r="F1202" s="6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3">
        <v>0</v>
      </c>
      <c r="AY1202" s="3">
        <v>0</v>
      </c>
      <c r="AZ1202" s="3">
        <v>0</v>
      </c>
      <c r="BA1202" s="3">
        <v>0</v>
      </c>
      <c r="BB1202" s="3">
        <v>1</v>
      </c>
      <c r="BC1202" s="3">
        <v>0</v>
      </c>
      <c r="BD1202" s="3">
        <v>0</v>
      </c>
      <c r="BE1202" s="3">
        <v>0</v>
      </c>
      <c r="BF1202" s="3">
        <v>0</v>
      </c>
      <c r="BG1202" s="3">
        <v>0</v>
      </c>
      <c r="BH1202" s="3">
        <v>0</v>
      </c>
      <c r="BI1202" s="3">
        <v>0</v>
      </c>
      <c r="BJ1202" s="3">
        <v>0</v>
      </c>
      <c r="BK1202" s="3">
        <v>0</v>
      </c>
      <c r="BL1202" s="3">
        <v>0</v>
      </c>
      <c r="BM1202" s="3">
        <v>0</v>
      </c>
    </row>
    <row r="1203" spans="1:65" x14ac:dyDescent="0.25">
      <c r="A1203" s="2" t="s">
        <v>140</v>
      </c>
      <c r="B1203" s="4">
        <v>68</v>
      </c>
      <c r="C1203" s="4">
        <v>2</v>
      </c>
      <c r="D1203" s="4">
        <v>2</v>
      </c>
      <c r="E1203" s="4">
        <v>2</v>
      </c>
      <c r="F1203" s="6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3">
        <v>0</v>
      </c>
      <c r="AW1203" s="3">
        <v>0</v>
      </c>
      <c r="AX1203" s="3">
        <v>0</v>
      </c>
      <c r="AY1203" s="3">
        <v>0</v>
      </c>
      <c r="AZ1203" s="3">
        <v>0</v>
      </c>
      <c r="BA1203" s="3">
        <v>0</v>
      </c>
      <c r="BB1203" s="3">
        <v>0</v>
      </c>
      <c r="BC1203" s="3">
        <v>0</v>
      </c>
      <c r="BD1203" s="3">
        <v>0</v>
      </c>
      <c r="BE1203" s="3">
        <v>0</v>
      </c>
      <c r="BF1203" s="3">
        <v>0</v>
      </c>
      <c r="BG1203" s="3">
        <v>0</v>
      </c>
      <c r="BH1203" s="3">
        <v>1</v>
      </c>
      <c r="BI1203" s="3">
        <v>0</v>
      </c>
      <c r="BJ1203" s="3">
        <v>0</v>
      </c>
      <c r="BK1203" s="3">
        <v>0</v>
      </c>
      <c r="BL1203" s="3">
        <v>0</v>
      </c>
      <c r="BM1203" s="3">
        <v>0</v>
      </c>
    </row>
    <row r="1204" spans="1:65" x14ac:dyDescent="0.25">
      <c r="A1204" s="2" t="s">
        <v>140</v>
      </c>
      <c r="B1204" s="4">
        <v>68</v>
      </c>
      <c r="C1204" s="4">
        <v>2</v>
      </c>
      <c r="D1204" s="4">
        <v>2</v>
      </c>
      <c r="E1204" s="4">
        <v>3</v>
      </c>
      <c r="F1204" s="6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  <c r="AX1204" s="3">
        <v>0</v>
      </c>
      <c r="AY1204" s="3">
        <v>0</v>
      </c>
      <c r="AZ1204" s="3">
        <v>0</v>
      </c>
      <c r="BA1204" s="3">
        <v>0</v>
      </c>
      <c r="BB1204" s="3">
        <v>0</v>
      </c>
      <c r="BC1204" s="3">
        <v>0</v>
      </c>
      <c r="BD1204" s="3">
        <v>0</v>
      </c>
      <c r="BE1204" s="3">
        <v>0</v>
      </c>
      <c r="BF1204" s="3">
        <v>0</v>
      </c>
      <c r="BG1204" s="3">
        <v>0</v>
      </c>
      <c r="BH1204" s="3">
        <v>0</v>
      </c>
      <c r="BI1204" s="3">
        <v>0</v>
      </c>
      <c r="BJ1204" s="3">
        <v>0</v>
      </c>
      <c r="BK1204" s="3">
        <v>0</v>
      </c>
      <c r="BL1204" s="3">
        <v>0</v>
      </c>
      <c r="BM1204" s="3">
        <v>0</v>
      </c>
    </row>
    <row r="1205" spans="1:65" x14ac:dyDescent="0.25">
      <c r="A1205" s="2" t="s">
        <v>140</v>
      </c>
      <c r="B1205" s="4">
        <v>68</v>
      </c>
      <c r="C1205" s="4">
        <v>2</v>
      </c>
      <c r="D1205" s="4">
        <v>3</v>
      </c>
      <c r="E1205" s="4">
        <v>1</v>
      </c>
      <c r="F1205" s="6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0</v>
      </c>
      <c r="AX1205" s="3">
        <v>0</v>
      </c>
      <c r="AY1205" s="3">
        <v>0</v>
      </c>
      <c r="AZ1205" s="3">
        <v>0</v>
      </c>
      <c r="BA1205" s="3">
        <v>0</v>
      </c>
      <c r="BB1205" s="3">
        <v>1</v>
      </c>
      <c r="BC1205" s="3">
        <v>0</v>
      </c>
      <c r="BD1205" s="3">
        <v>0</v>
      </c>
      <c r="BE1205" s="3">
        <v>0</v>
      </c>
      <c r="BF1205" s="3">
        <v>0</v>
      </c>
      <c r="BG1205" s="3">
        <v>0</v>
      </c>
      <c r="BH1205" s="3">
        <v>0</v>
      </c>
      <c r="BI1205" s="3">
        <v>0</v>
      </c>
      <c r="BJ1205" s="3">
        <v>0</v>
      </c>
      <c r="BK1205" s="3">
        <v>0</v>
      </c>
      <c r="BL1205" s="3">
        <v>0</v>
      </c>
      <c r="BM1205" s="3">
        <v>0</v>
      </c>
    </row>
    <row r="1206" spans="1:65" x14ac:dyDescent="0.25">
      <c r="A1206" s="2" t="s">
        <v>140</v>
      </c>
      <c r="B1206" s="4">
        <v>68</v>
      </c>
      <c r="C1206" s="4">
        <v>2</v>
      </c>
      <c r="D1206" s="4">
        <v>3</v>
      </c>
      <c r="E1206" s="4">
        <v>2</v>
      </c>
      <c r="F1206" s="6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1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0</v>
      </c>
      <c r="AW1206" s="3">
        <v>0</v>
      </c>
      <c r="AX1206" s="3">
        <v>0</v>
      </c>
      <c r="AY1206" s="3">
        <v>0</v>
      </c>
      <c r="AZ1206" s="3">
        <v>0</v>
      </c>
      <c r="BA1206" s="3">
        <v>0</v>
      </c>
      <c r="BB1206" s="3">
        <v>0</v>
      </c>
      <c r="BC1206" s="3">
        <v>0</v>
      </c>
      <c r="BD1206" s="3">
        <v>0</v>
      </c>
      <c r="BE1206" s="3">
        <v>0</v>
      </c>
      <c r="BF1206" s="3">
        <v>0</v>
      </c>
      <c r="BG1206" s="3">
        <v>0</v>
      </c>
      <c r="BH1206" s="3">
        <v>0</v>
      </c>
      <c r="BI1206" s="3">
        <v>0</v>
      </c>
      <c r="BJ1206" s="3">
        <v>0</v>
      </c>
      <c r="BK1206" s="3">
        <v>0</v>
      </c>
      <c r="BL1206" s="3">
        <v>0</v>
      </c>
      <c r="BM1206" s="3">
        <v>0</v>
      </c>
    </row>
    <row r="1207" spans="1:65" x14ac:dyDescent="0.25">
      <c r="A1207" s="2" t="s">
        <v>140</v>
      </c>
      <c r="B1207" s="4">
        <v>68</v>
      </c>
      <c r="C1207" s="4">
        <v>2</v>
      </c>
      <c r="D1207" s="4">
        <v>3</v>
      </c>
      <c r="E1207" s="4">
        <v>3</v>
      </c>
      <c r="F1207" s="6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3">
        <v>0</v>
      </c>
      <c r="AV1207" s="3">
        <v>0</v>
      </c>
      <c r="AW1207" s="3">
        <v>0</v>
      </c>
      <c r="AX1207" s="3">
        <v>0</v>
      </c>
      <c r="AY1207" s="3">
        <v>0</v>
      </c>
      <c r="AZ1207" s="3">
        <v>0</v>
      </c>
      <c r="BA1207" s="3">
        <v>0</v>
      </c>
      <c r="BB1207" s="3">
        <v>0</v>
      </c>
      <c r="BC1207" s="3">
        <v>0</v>
      </c>
      <c r="BD1207" s="3">
        <v>0</v>
      </c>
      <c r="BE1207" s="3">
        <v>0</v>
      </c>
      <c r="BF1207" s="3">
        <v>0</v>
      </c>
      <c r="BG1207" s="3">
        <v>0</v>
      </c>
      <c r="BH1207" s="3">
        <v>0</v>
      </c>
      <c r="BI1207" s="3">
        <v>0</v>
      </c>
      <c r="BJ1207" s="3">
        <v>0</v>
      </c>
      <c r="BK1207" s="3">
        <v>0</v>
      </c>
      <c r="BL1207" s="3">
        <v>0</v>
      </c>
      <c r="BM1207" s="3">
        <v>0</v>
      </c>
    </row>
    <row r="1208" spans="1:65" x14ac:dyDescent="0.25">
      <c r="A1208" s="2" t="s">
        <v>141</v>
      </c>
      <c r="B1208" s="4">
        <v>69</v>
      </c>
      <c r="C1208" s="4">
        <v>1</v>
      </c>
      <c r="D1208" s="4">
        <v>1</v>
      </c>
      <c r="E1208" s="4">
        <v>1</v>
      </c>
      <c r="F1208" s="4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1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1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1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0</v>
      </c>
      <c r="AX1208" s="3">
        <v>0</v>
      </c>
      <c r="AY1208" s="3">
        <v>0</v>
      </c>
      <c r="AZ1208" s="3">
        <v>0</v>
      </c>
      <c r="BA1208" s="3">
        <v>0</v>
      </c>
      <c r="BB1208" s="3">
        <v>0</v>
      </c>
      <c r="BC1208" s="3">
        <v>0</v>
      </c>
      <c r="BD1208" s="3">
        <v>0</v>
      </c>
      <c r="BE1208" s="3">
        <v>0</v>
      </c>
      <c r="BF1208" s="3">
        <v>0</v>
      </c>
      <c r="BG1208" s="3">
        <v>0</v>
      </c>
      <c r="BH1208" s="3">
        <v>0</v>
      </c>
      <c r="BI1208" s="3">
        <v>0</v>
      </c>
      <c r="BJ1208" s="3">
        <v>0</v>
      </c>
      <c r="BK1208" s="3">
        <v>0</v>
      </c>
      <c r="BL1208" s="3">
        <v>1</v>
      </c>
      <c r="BM1208" s="3">
        <v>0</v>
      </c>
    </row>
    <row r="1209" spans="1:65" x14ac:dyDescent="0.25">
      <c r="A1209" s="2" t="s">
        <v>141</v>
      </c>
      <c r="B1209" s="4">
        <v>69</v>
      </c>
      <c r="C1209" s="4">
        <v>1</v>
      </c>
      <c r="D1209" s="4">
        <v>1</v>
      </c>
      <c r="E1209" s="4">
        <v>2</v>
      </c>
      <c r="F1209" s="4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1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1</v>
      </c>
      <c r="Z1209" s="3">
        <v>0</v>
      </c>
      <c r="AA1209" s="3">
        <v>0</v>
      </c>
      <c r="AB1209" s="3">
        <v>1</v>
      </c>
      <c r="AC1209" s="3">
        <v>0</v>
      </c>
      <c r="AD1209" s="3">
        <v>0</v>
      </c>
      <c r="AE1209" s="3">
        <v>0</v>
      </c>
      <c r="AF1209" s="3">
        <v>1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0</v>
      </c>
      <c r="AR1209" s="3">
        <v>0</v>
      </c>
      <c r="AS1209" s="3">
        <v>0</v>
      </c>
      <c r="AT1209" s="3">
        <v>0</v>
      </c>
      <c r="AU1209" s="3">
        <v>0</v>
      </c>
      <c r="AV1209" s="3">
        <v>0</v>
      </c>
      <c r="AW1209" s="3">
        <v>0</v>
      </c>
      <c r="AX1209" s="3">
        <v>0</v>
      </c>
      <c r="AY1209" s="3">
        <v>0</v>
      </c>
      <c r="AZ1209" s="3">
        <v>0</v>
      </c>
      <c r="BA1209" s="3">
        <v>0</v>
      </c>
      <c r="BB1209" s="3">
        <v>0</v>
      </c>
      <c r="BC1209" s="3">
        <v>0</v>
      </c>
      <c r="BD1209" s="3">
        <v>0</v>
      </c>
      <c r="BE1209" s="3">
        <v>0</v>
      </c>
      <c r="BF1209" s="3">
        <v>0</v>
      </c>
      <c r="BG1209" s="3">
        <v>0</v>
      </c>
      <c r="BH1209" s="3">
        <v>0</v>
      </c>
      <c r="BI1209" s="3">
        <v>0</v>
      </c>
      <c r="BJ1209" s="3">
        <v>0</v>
      </c>
      <c r="BK1209" s="3">
        <v>0</v>
      </c>
      <c r="BL1209" s="3">
        <v>0</v>
      </c>
      <c r="BM1209" s="3">
        <v>0</v>
      </c>
    </row>
    <row r="1210" spans="1:65" x14ac:dyDescent="0.25">
      <c r="A1210" s="2" t="s">
        <v>141</v>
      </c>
      <c r="B1210" s="4">
        <v>69</v>
      </c>
      <c r="C1210" s="4">
        <v>1</v>
      </c>
      <c r="D1210" s="4">
        <v>1</v>
      </c>
      <c r="E1210" s="4">
        <v>3</v>
      </c>
      <c r="F1210" s="4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  <c r="AX1210" s="3">
        <v>0</v>
      </c>
      <c r="AY1210" s="3">
        <v>0</v>
      </c>
      <c r="AZ1210" s="3">
        <v>0</v>
      </c>
      <c r="BA1210" s="3">
        <v>0</v>
      </c>
      <c r="BB1210" s="3">
        <v>1</v>
      </c>
      <c r="BC1210" s="3">
        <v>0</v>
      </c>
      <c r="BD1210" s="3">
        <v>0</v>
      </c>
      <c r="BE1210" s="3">
        <v>0</v>
      </c>
      <c r="BF1210" s="3">
        <v>0</v>
      </c>
      <c r="BG1210" s="3">
        <v>0</v>
      </c>
      <c r="BH1210" s="3">
        <v>0</v>
      </c>
      <c r="BI1210" s="3">
        <v>0</v>
      </c>
      <c r="BJ1210" s="3">
        <v>0</v>
      </c>
      <c r="BK1210" s="3">
        <v>0</v>
      </c>
      <c r="BL1210" s="3">
        <v>0</v>
      </c>
      <c r="BM1210" s="3">
        <v>0</v>
      </c>
    </row>
    <row r="1211" spans="1:65" x14ac:dyDescent="0.25">
      <c r="A1211" s="2" t="s">
        <v>141</v>
      </c>
      <c r="B1211" s="4">
        <v>69</v>
      </c>
      <c r="C1211" s="4">
        <v>1</v>
      </c>
      <c r="D1211" s="4">
        <v>2</v>
      </c>
      <c r="E1211" s="4">
        <v>1</v>
      </c>
      <c r="F1211" s="4">
        <v>0</v>
      </c>
      <c r="G1211" s="3">
        <v>1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3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0</v>
      </c>
      <c r="BD1211" s="3">
        <v>0</v>
      </c>
      <c r="BE1211" s="3">
        <v>0</v>
      </c>
      <c r="BF1211" s="3">
        <v>0</v>
      </c>
      <c r="BG1211" s="3">
        <v>0</v>
      </c>
      <c r="BH1211" s="3">
        <v>0</v>
      </c>
      <c r="BI1211" s="3">
        <v>0</v>
      </c>
      <c r="BJ1211" s="3">
        <v>0</v>
      </c>
      <c r="BK1211" s="3">
        <v>0</v>
      </c>
      <c r="BL1211" s="3">
        <v>2</v>
      </c>
      <c r="BM1211" s="3">
        <v>0</v>
      </c>
    </row>
    <row r="1212" spans="1:65" x14ac:dyDescent="0.25">
      <c r="A1212" s="2" t="s">
        <v>141</v>
      </c>
      <c r="B1212" s="4">
        <v>69</v>
      </c>
      <c r="C1212" s="4">
        <v>1</v>
      </c>
      <c r="D1212" s="4">
        <v>2</v>
      </c>
      <c r="E1212" s="4">
        <v>2</v>
      </c>
      <c r="F1212" s="4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0</v>
      </c>
      <c r="AX1212" s="3">
        <v>0</v>
      </c>
      <c r="AY1212" s="3">
        <v>0</v>
      </c>
      <c r="AZ1212" s="3">
        <v>0</v>
      </c>
      <c r="BA1212" s="3">
        <v>0</v>
      </c>
      <c r="BB1212" s="3">
        <v>1</v>
      </c>
      <c r="BC1212" s="3">
        <v>0</v>
      </c>
      <c r="BD1212" s="3">
        <v>0</v>
      </c>
      <c r="BE1212" s="3">
        <v>0</v>
      </c>
      <c r="BF1212" s="3">
        <v>0</v>
      </c>
      <c r="BG1212" s="3">
        <v>0</v>
      </c>
      <c r="BH1212" s="3">
        <v>0</v>
      </c>
      <c r="BI1212" s="3">
        <v>0</v>
      </c>
      <c r="BJ1212" s="3">
        <v>0</v>
      </c>
      <c r="BK1212" s="3">
        <v>0</v>
      </c>
      <c r="BL1212" s="3">
        <v>0</v>
      </c>
      <c r="BM1212" s="3">
        <v>0</v>
      </c>
    </row>
    <row r="1213" spans="1:65" x14ac:dyDescent="0.25">
      <c r="A1213" s="2" t="s">
        <v>141</v>
      </c>
      <c r="B1213" s="4">
        <v>69</v>
      </c>
      <c r="C1213" s="4">
        <v>1</v>
      </c>
      <c r="D1213" s="4">
        <v>2</v>
      </c>
      <c r="E1213" s="4">
        <v>3</v>
      </c>
      <c r="F1213" s="4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0</v>
      </c>
      <c r="AY1213" s="3">
        <v>0</v>
      </c>
      <c r="AZ1213" s="3">
        <v>0</v>
      </c>
      <c r="BA1213" s="3">
        <v>0</v>
      </c>
      <c r="BB1213" s="3">
        <v>0</v>
      </c>
      <c r="BC1213" s="3">
        <v>0</v>
      </c>
      <c r="BD1213" s="3">
        <v>0</v>
      </c>
      <c r="BE1213" s="3">
        <v>0</v>
      </c>
      <c r="BF1213" s="3">
        <v>0</v>
      </c>
      <c r="BG1213" s="3">
        <v>0</v>
      </c>
      <c r="BH1213" s="3">
        <v>0</v>
      </c>
      <c r="BI1213" s="3">
        <v>0</v>
      </c>
      <c r="BJ1213" s="3">
        <v>0</v>
      </c>
      <c r="BK1213" s="3">
        <v>0</v>
      </c>
      <c r="BL1213" s="3">
        <v>0</v>
      </c>
      <c r="BM1213" s="3">
        <v>0</v>
      </c>
    </row>
    <row r="1214" spans="1:65" x14ac:dyDescent="0.25">
      <c r="A1214" s="2" t="s">
        <v>141</v>
      </c>
      <c r="B1214" s="4">
        <v>69</v>
      </c>
      <c r="C1214" s="4">
        <v>1</v>
      </c>
      <c r="D1214" s="4">
        <v>3</v>
      </c>
      <c r="E1214" s="4">
        <v>1</v>
      </c>
      <c r="F1214" s="4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  <c r="AX1214" s="3">
        <v>0</v>
      </c>
      <c r="AY1214" s="3">
        <v>0</v>
      </c>
      <c r="AZ1214" s="3">
        <v>0</v>
      </c>
      <c r="BA1214" s="3">
        <v>0</v>
      </c>
      <c r="BB1214" s="3">
        <v>0</v>
      </c>
      <c r="BC1214" s="3">
        <v>0</v>
      </c>
      <c r="BD1214" s="3">
        <v>0</v>
      </c>
      <c r="BE1214" s="3">
        <v>0</v>
      </c>
      <c r="BF1214" s="3">
        <v>0</v>
      </c>
      <c r="BG1214" s="3">
        <v>0</v>
      </c>
      <c r="BH1214" s="3">
        <v>0</v>
      </c>
      <c r="BI1214" s="3">
        <v>0</v>
      </c>
      <c r="BJ1214" s="3">
        <v>0</v>
      </c>
      <c r="BK1214" s="3">
        <v>0</v>
      </c>
      <c r="BL1214" s="3">
        <v>1</v>
      </c>
      <c r="BM1214" s="3">
        <v>0</v>
      </c>
    </row>
    <row r="1215" spans="1:65" x14ac:dyDescent="0.25">
      <c r="A1215" s="2" t="s">
        <v>141</v>
      </c>
      <c r="B1215" s="4">
        <v>69</v>
      </c>
      <c r="C1215" s="4">
        <v>1</v>
      </c>
      <c r="D1215" s="4">
        <v>3</v>
      </c>
      <c r="E1215" s="4">
        <v>2</v>
      </c>
      <c r="F1215" s="4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0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0</v>
      </c>
      <c r="BD1215" s="3">
        <v>0</v>
      </c>
      <c r="BE1215" s="3">
        <v>0</v>
      </c>
      <c r="BF1215" s="3">
        <v>0</v>
      </c>
      <c r="BG1215" s="3">
        <v>0</v>
      </c>
      <c r="BH1215" s="3">
        <v>0</v>
      </c>
      <c r="BI1215" s="3">
        <v>0</v>
      </c>
      <c r="BJ1215" s="3">
        <v>0</v>
      </c>
      <c r="BK1215" s="3">
        <v>0</v>
      </c>
      <c r="BL1215" s="3">
        <v>0</v>
      </c>
      <c r="BM1215" s="3">
        <v>0</v>
      </c>
    </row>
    <row r="1216" spans="1:65" x14ac:dyDescent="0.25">
      <c r="A1216" s="2" t="s">
        <v>141</v>
      </c>
      <c r="B1216" s="4">
        <v>69</v>
      </c>
      <c r="C1216" s="4">
        <v>1</v>
      </c>
      <c r="D1216" s="4">
        <v>3</v>
      </c>
      <c r="E1216" s="4">
        <v>3</v>
      </c>
      <c r="F1216" s="4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3">
        <v>0</v>
      </c>
      <c r="BD1216" s="3">
        <v>0</v>
      </c>
      <c r="BE1216" s="3">
        <v>0</v>
      </c>
      <c r="BF1216" s="3">
        <v>0</v>
      </c>
      <c r="BG1216" s="3">
        <v>0</v>
      </c>
      <c r="BH1216" s="3">
        <v>0</v>
      </c>
      <c r="BI1216" s="3">
        <v>0</v>
      </c>
      <c r="BJ1216" s="3">
        <v>0</v>
      </c>
      <c r="BK1216" s="3">
        <v>0</v>
      </c>
      <c r="BL1216" s="3">
        <v>0</v>
      </c>
      <c r="BM1216" s="3">
        <v>0</v>
      </c>
    </row>
    <row r="1217" spans="1:65" x14ac:dyDescent="0.25">
      <c r="A1217" s="2" t="s">
        <v>141</v>
      </c>
      <c r="B1217" s="4">
        <v>69</v>
      </c>
      <c r="C1217" s="4">
        <v>2</v>
      </c>
      <c r="D1217" s="4">
        <v>1</v>
      </c>
      <c r="E1217" s="4">
        <v>1</v>
      </c>
      <c r="F1217" s="6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1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2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3">
        <v>0</v>
      </c>
      <c r="AY1217" s="3">
        <v>0</v>
      </c>
      <c r="AZ1217" s="3">
        <v>0</v>
      </c>
      <c r="BA1217" s="3">
        <v>0</v>
      </c>
      <c r="BB1217" s="3">
        <v>0</v>
      </c>
      <c r="BC1217" s="3">
        <v>0</v>
      </c>
      <c r="BD1217" s="3">
        <v>0</v>
      </c>
      <c r="BE1217" s="3">
        <v>0</v>
      </c>
      <c r="BF1217" s="3">
        <v>0</v>
      </c>
      <c r="BG1217" s="3">
        <v>0</v>
      </c>
      <c r="BH1217" s="3">
        <v>0</v>
      </c>
      <c r="BI1217" s="3">
        <v>0</v>
      </c>
      <c r="BJ1217" s="3">
        <v>0</v>
      </c>
      <c r="BK1217" s="3">
        <v>0</v>
      </c>
      <c r="BL1217" s="3">
        <v>2</v>
      </c>
      <c r="BM1217" s="3">
        <v>0</v>
      </c>
    </row>
    <row r="1218" spans="1:65" x14ac:dyDescent="0.25">
      <c r="A1218" s="2" t="s">
        <v>141</v>
      </c>
      <c r="B1218" s="4">
        <v>69</v>
      </c>
      <c r="C1218" s="4">
        <v>2</v>
      </c>
      <c r="D1218" s="4">
        <v>1</v>
      </c>
      <c r="E1218" s="4">
        <v>2</v>
      </c>
      <c r="F1218" s="6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1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  <c r="AU1218" s="3">
        <v>0</v>
      </c>
      <c r="AV1218" s="3">
        <v>0</v>
      </c>
      <c r="AW1218" s="3">
        <v>0</v>
      </c>
      <c r="AX1218" s="3">
        <v>0</v>
      </c>
      <c r="AY1218" s="3">
        <v>0</v>
      </c>
      <c r="AZ1218" s="3">
        <v>0</v>
      </c>
      <c r="BA1218" s="3">
        <v>0</v>
      </c>
      <c r="BB1218" s="3">
        <v>0</v>
      </c>
      <c r="BC1218" s="3">
        <v>0</v>
      </c>
      <c r="BD1218" s="3">
        <v>0</v>
      </c>
      <c r="BE1218" s="3">
        <v>0</v>
      </c>
      <c r="BF1218" s="3">
        <v>0</v>
      </c>
      <c r="BG1218" s="3">
        <v>0</v>
      </c>
      <c r="BH1218" s="3">
        <v>0</v>
      </c>
      <c r="BI1218" s="3">
        <v>0</v>
      </c>
      <c r="BJ1218" s="3">
        <v>0</v>
      </c>
      <c r="BK1218" s="3">
        <v>0</v>
      </c>
      <c r="BL1218" s="3">
        <v>1</v>
      </c>
      <c r="BM1218" s="3">
        <v>0</v>
      </c>
    </row>
    <row r="1219" spans="1:65" x14ac:dyDescent="0.25">
      <c r="A1219" s="2" t="s">
        <v>141</v>
      </c>
      <c r="B1219" s="4">
        <v>69</v>
      </c>
      <c r="C1219" s="4">
        <v>2</v>
      </c>
      <c r="D1219" s="4">
        <v>1</v>
      </c>
      <c r="E1219" s="4">
        <v>3</v>
      </c>
      <c r="F1219" s="6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3">
        <v>1</v>
      </c>
      <c r="AW1219" s="3">
        <v>0</v>
      </c>
      <c r="AX1219" s="3">
        <v>0</v>
      </c>
      <c r="AY1219" s="3">
        <v>0</v>
      </c>
      <c r="AZ1219" s="3">
        <v>0</v>
      </c>
      <c r="BA1219" s="3">
        <v>0</v>
      </c>
      <c r="BB1219" s="3">
        <v>0</v>
      </c>
      <c r="BC1219" s="3">
        <v>0</v>
      </c>
      <c r="BD1219" s="3">
        <v>0</v>
      </c>
      <c r="BE1219" s="3">
        <v>0</v>
      </c>
      <c r="BF1219" s="3">
        <v>0</v>
      </c>
      <c r="BG1219" s="3">
        <v>0</v>
      </c>
      <c r="BH1219" s="3">
        <v>0</v>
      </c>
      <c r="BI1219" s="3">
        <v>0</v>
      </c>
      <c r="BJ1219" s="3">
        <v>0</v>
      </c>
      <c r="BK1219" s="3">
        <v>0</v>
      </c>
      <c r="BL1219" s="3">
        <v>0</v>
      </c>
      <c r="BM1219" s="3">
        <v>0</v>
      </c>
    </row>
    <row r="1220" spans="1:65" x14ac:dyDescent="0.25">
      <c r="A1220" s="2" t="s">
        <v>141</v>
      </c>
      <c r="B1220" s="4">
        <v>69</v>
      </c>
      <c r="C1220" s="4">
        <v>2</v>
      </c>
      <c r="D1220" s="4">
        <v>2</v>
      </c>
      <c r="E1220" s="4">
        <v>1</v>
      </c>
      <c r="F1220" s="6">
        <v>0</v>
      </c>
      <c r="G1220" s="3">
        <v>1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0</v>
      </c>
      <c r="AY1220" s="3">
        <v>0</v>
      </c>
      <c r="AZ1220" s="3">
        <v>1</v>
      </c>
      <c r="BA1220" s="3">
        <v>0</v>
      </c>
      <c r="BB1220" s="3">
        <v>0</v>
      </c>
      <c r="BC1220" s="3">
        <v>0</v>
      </c>
      <c r="BD1220" s="3">
        <v>0</v>
      </c>
      <c r="BE1220" s="3">
        <v>0</v>
      </c>
      <c r="BF1220" s="3">
        <v>0</v>
      </c>
      <c r="BG1220" s="3">
        <v>0</v>
      </c>
      <c r="BH1220" s="3">
        <v>0</v>
      </c>
      <c r="BI1220" s="3">
        <v>0</v>
      </c>
      <c r="BJ1220" s="3">
        <v>0</v>
      </c>
      <c r="BK1220" s="3">
        <v>0</v>
      </c>
      <c r="BL1220" s="3">
        <v>0</v>
      </c>
      <c r="BM1220" s="3">
        <v>0</v>
      </c>
    </row>
    <row r="1221" spans="1:65" x14ac:dyDescent="0.25">
      <c r="A1221" s="2" t="s">
        <v>141</v>
      </c>
      <c r="B1221" s="4">
        <v>69</v>
      </c>
      <c r="C1221" s="4">
        <v>2</v>
      </c>
      <c r="D1221" s="4">
        <v>2</v>
      </c>
      <c r="E1221" s="4">
        <v>2</v>
      </c>
      <c r="F1221" s="6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0</v>
      </c>
      <c r="AX1221" s="3">
        <v>0</v>
      </c>
      <c r="AY1221" s="3">
        <v>0</v>
      </c>
      <c r="AZ1221" s="3">
        <v>0</v>
      </c>
      <c r="BA1221" s="3">
        <v>0</v>
      </c>
      <c r="BB1221" s="3">
        <v>0</v>
      </c>
      <c r="BC1221" s="3">
        <v>0</v>
      </c>
      <c r="BD1221" s="3">
        <v>0</v>
      </c>
      <c r="BE1221" s="3">
        <v>0</v>
      </c>
      <c r="BF1221" s="3">
        <v>0</v>
      </c>
      <c r="BG1221" s="3">
        <v>0</v>
      </c>
      <c r="BH1221" s="3">
        <v>0</v>
      </c>
      <c r="BI1221" s="3">
        <v>0</v>
      </c>
      <c r="BJ1221" s="3">
        <v>0</v>
      </c>
      <c r="BK1221" s="3">
        <v>0</v>
      </c>
      <c r="BL1221" s="3">
        <v>0</v>
      </c>
      <c r="BM1221" s="3">
        <v>0</v>
      </c>
    </row>
    <row r="1222" spans="1:65" x14ac:dyDescent="0.25">
      <c r="A1222" s="2" t="s">
        <v>141</v>
      </c>
      <c r="B1222" s="4">
        <v>69</v>
      </c>
      <c r="C1222" s="4">
        <v>2</v>
      </c>
      <c r="D1222" s="4">
        <v>2</v>
      </c>
      <c r="E1222" s="4">
        <v>3</v>
      </c>
      <c r="F1222" s="6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  <c r="BA1222" s="3">
        <v>0</v>
      </c>
      <c r="BB1222" s="3">
        <v>0</v>
      </c>
      <c r="BC1222" s="3">
        <v>0</v>
      </c>
      <c r="BD1222" s="3">
        <v>0</v>
      </c>
      <c r="BE1222" s="3">
        <v>0</v>
      </c>
      <c r="BF1222" s="3">
        <v>0</v>
      </c>
      <c r="BG1222" s="3">
        <v>0</v>
      </c>
      <c r="BH1222" s="3">
        <v>0</v>
      </c>
      <c r="BI1222" s="3">
        <v>0</v>
      </c>
      <c r="BJ1222" s="3">
        <v>0</v>
      </c>
      <c r="BK1222" s="3">
        <v>0</v>
      </c>
      <c r="BL1222" s="3">
        <v>0</v>
      </c>
      <c r="BM1222" s="3">
        <v>0</v>
      </c>
    </row>
    <row r="1223" spans="1:65" x14ac:dyDescent="0.25">
      <c r="A1223" s="2" t="s">
        <v>141</v>
      </c>
      <c r="B1223" s="4">
        <v>69</v>
      </c>
      <c r="C1223" s="4">
        <v>2</v>
      </c>
      <c r="D1223" s="4">
        <v>3</v>
      </c>
      <c r="E1223" s="4">
        <v>1</v>
      </c>
      <c r="F1223" s="6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1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3">
        <v>0</v>
      </c>
      <c r="AW1223" s="3">
        <v>0</v>
      </c>
      <c r="AX1223" s="3">
        <v>0</v>
      </c>
      <c r="AY1223" s="3">
        <v>0</v>
      </c>
      <c r="AZ1223" s="3">
        <v>1</v>
      </c>
      <c r="BA1223" s="3">
        <v>0</v>
      </c>
      <c r="BB1223" s="3">
        <v>0</v>
      </c>
      <c r="BC1223" s="3">
        <v>0</v>
      </c>
      <c r="BD1223" s="3">
        <v>0</v>
      </c>
      <c r="BE1223" s="3">
        <v>0</v>
      </c>
      <c r="BF1223" s="3">
        <v>0</v>
      </c>
      <c r="BG1223" s="3">
        <v>0</v>
      </c>
      <c r="BH1223" s="3">
        <v>0</v>
      </c>
      <c r="BI1223" s="3">
        <v>0</v>
      </c>
      <c r="BJ1223" s="3">
        <v>0</v>
      </c>
      <c r="BK1223" s="3">
        <v>0</v>
      </c>
      <c r="BL1223" s="3">
        <v>1</v>
      </c>
      <c r="BM1223" s="3">
        <v>0</v>
      </c>
    </row>
    <row r="1224" spans="1:65" x14ac:dyDescent="0.25">
      <c r="A1224" s="2" t="s">
        <v>141</v>
      </c>
      <c r="B1224" s="4">
        <v>69</v>
      </c>
      <c r="C1224" s="4">
        <v>2</v>
      </c>
      <c r="D1224" s="4">
        <v>3</v>
      </c>
      <c r="E1224" s="4">
        <v>2</v>
      </c>
      <c r="F1224" s="6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0</v>
      </c>
      <c r="AX1224" s="3">
        <v>0</v>
      </c>
      <c r="AY1224" s="3">
        <v>0</v>
      </c>
      <c r="AZ1224" s="3">
        <v>0</v>
      </c>
      <c r="BA1224" s="3">
        <v>0</v>
      </c>
      <c r="BB1224" s="3">
        <v>0</v>
      </c>
      <c r="BC1224" s="3">
        <v>0</v>
      </c>
      <c r="BD1224" s="3">
        <v>0</v>
      </c>
      <c r="BE1224" s="3">
        <v>0</v>
      </c>
      <c r="BF1224" s="3">
        <v>0</v>
      </c>
      <c r="BG1224" s="3">
        <v>0</v>
      </c>
      <c r="BH1224" s="3">
        <v>0</v>
      </c>
      <c r="BI1224" s="3">
        <v>0</v>
      </c>
      <c r="BJ1224" s="3">
        <v>0</v>
      </c>
      <c r="BK1224" s="3">
        <v>0</v>
      </c>
      <c r="BL1224" s="3">
        <v>0</v>
      </c>
      <c r="BM1224" s="3">
        <v>0</v>
      </c>
    </row>
    <row r="1225" spans="1:65" x14ac:dyDescent="0.25">
      <c r="A1225" s="2" t="s">
        <v>141</v>
      </c>
      <c r="B1225" s="4">
        <v>69</v>
      </c>
      <c r="C1225" s="4">
        <v>2</v>
      </c>
      <c r="D1225" s="4">
        <v>3</v>
      </c>
      <c r="E1225" s="4">
        <v>3</v>
      </c>
      <c r="F1225" s="6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0</v>
      </c>
      <c r="AY1225" s="3">
        <v>0</v>
      </c>
      <c r="AZ1225" s="3">
        <v>0</v>
      </c>
      <c r="BA1225" s="3">
        <v>0</v>
      </c>
      <c r="BB1225" s="3">
        <v>0</v>
      </c>
      <c r="BC1225" s="3">
        <v>0</v>
      </c>
      <c r="BD1225" s="3">
        <v>0</v>
      </c>
      <c r="BE1225" s="3">
        <v>0</v>
      </c>
      <c r="BF1225" s="3">
        <v>0</v>
      </c>
      <c r="BG1225" s="3">
        <v>0</v>
      </c>
      <c r="BH1225" s="3">
        <v>0</v>
      </c>
      <c r="BI1225" s="3">
        <v>0</v>
      </c>
      <c r="BJ1225" s="3">
        <v>0</v>
      </c>
      <c r="BK1225" s="3">
        <v>0</v>
      </c>
      <c r="BL1225" s="3">
        <v>0</v>
      </c>
      <c r="BM1225" s="3">
        <v>0</v>
      </c>
    </row>
    <row r="1226" spans="1:65" x14ac:dyDescent="0.25">
      <c r="A1226" s="2" t="s">
        <v>142</v>
      </c>
      <c r="B1226" s="4">
        <v>70</v>
      </c>
      <c r="C1226" s="4">
        <v>1</v>
      </c>
      <c r="D1226" s="4">
        <v>1</v>
      </c>
      <c r="E1226" s="4">
        <v>1</v>
      </c>
      <c r="F1226" s="4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2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2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3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3">
        <v>0</v>
      </c>
      <c r="AV1226" s="3">
        <v>0</v>
      </c>
      <c r="AW1226" s="3">
        <v>0</v>
      </c>
      <c r="AX1226" s="3">
        <v>0</v>
      </c>
      <c r="AY1226" s="3">
        <v>0</v>
      </c>
      <c r="AZ1226" s="3">
        <v>0</v>
      </c>
      <c r="BA1226" s="3">
        <v>0</v>
      </c>
      <c r="BB1226" s="3">
        <v>0</v>
      </c>
      <c r="BC1226" s="3">
        <v>0</v>
      </c>
      <c r="BD1226" s="3">
        <v>0</v>
      </c>
      <c r="BE1226" s="3">
        <v>1</v>
      </c>
      <c r="BF1226" s="3">
        <v>0</v>
      </c>
      <c r="BG1226" s="3">
        <v>0</v>
      </c>
      <c r="BH1226" s="3">
        <v>0</v>
      </c>
      <c r="BI1226" s="3">
        <v>0</v>
      </c>
      <c r="BJ1226" s="3">
        <v>0</v>
      </c>
      <c r="BK1226" s="3">
        <v>0</v>
      </c>
      <c r="BL1226" s="3">
        <v>1</v>
      </c>
      <c r="BM1226" s="3">
        <v>0</v>
      </c>
    </row>
    <row r="1227" spans="1:65" x14ac:dyDescent="0.25">
      <c r="A1227" s="2" t="s">
        <v>142</v>
      </c>
      <c r="B1227" s="4">
        <v>70</v>
      </c>
      <c r="C1227" s="4">
        <v>1</v>
      </c>
      <c r="D1227" s="4">
        <v>1</v>
      </c>
      <c r="E1227" s="4">
        <v>2</v>
      </c>
      <c r="F1227" s="4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3">
        <v>0</v>
      </c>
      <c r="AY1227" s="3">
        <v>0</v>
      </c>
      <c r="AZ1227" s="3">
        <v>0</v>
      </c>
      <c r="BA1227" s="3">
        <v>0</v>
      </c>
      <c r="BB1227" s="3">
        <v>0</v>
      </c>
      <c r="BC1227" s="3">
        <v>0</v>
      </c>
      <c r="BD1227" s="3">
        <v>0</v>
      </c>
      <c r="BE1227" s="3">
        <v>0</v>
      </c>
      <c r="BF1227" s="3">
        <v>0</v>
      </c>
      <c r="BG1227" s="3">
        <v>0</v>
      </c>
      <c r="BH1227" s="3">
        <v>0</v>
      </c>
      <c r="BI1227" s="3">
        <v>0</v>
      </c>
      <c r="BJ1227" s="3">
        <v>0</v>
      </c>
      <c r="BK1227" s="3">
        <v>0</v>
      </c>
      <c r="BL1227" s="3">
        <v>0</v>
      </c>
      <c r="BM1227" s="3">
        <v>0</v>
      </c>
    </row>
    <row r="1228" spans="1:65" x14ac:dyDescent="0.25">
      <c r="A1228" s="2" t="s">
        <v>142</v>
      </c>
      <c r="B1228" s="4">
        <v>70</v>
      </c>
      <c r="C1228" s="4">
        <v>1</v>
      </c>
      <c r="D1228" s="4">
        <v>1</v>
      </c>
      <c r="E1228" s="4">
        <v>3</v>
      </c>
      <c r="F1228" s="4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  <c r="AX1228" s="3">
        <v>0</v>
      </c>
      <c r="AY1228" s="3">
        <v>0</v>
      </c>
      <c r="AZ1228" s="3">
        <v>0</v>
      </c>
      <c r="BA1228" s="3">
        <v>0</v>
      </c>
      <c r="BB1228" s="3">
        <v>0</v>
      </c>
      <c r="BC1228" s="3">
        <v>0</v>
      </c>
      <c r="BD1228" s="3">
        <v>0</v>
      </c>
      <c r="BE1228" s="3">
        <v>0</v>
      </c>
      <c r="BF1228" s="3">
        <v>0</v>
      </c>
      <c r="BG1228" s="3">
        <v>0</v>
      </c>
      <c r="BH1228" s="3">
        <v>0</v>
      </c>
      <c r="BI1228" s="3">
        <v>0</v>
      </c>
      <c r="BJ1228" s="3">
        <v>0</v>
      </c>
      <c r="BK1228" s="3">
        <v>0</v>
      </c>
      <c r="BL1228" s="3">
        <v>0</v>
      </c>
      <c r="BM1228" s="3">
        <v>0</v>
      </c>
    </row>
    <row r="1229" spans="1:65" x14ac:dyDescent="0.25">
      <c r="A1229" s="2" t="s">
        <v>142</v>
      </c>
      <c r="B1229" s="4">
        <v>70</v>
      </c>
      <c r="C1229" s="4">
        <v>1</v>
      </c>
      <c r="D1229" s="4">
        <v>2</v>
      </c>
      <c r="E1229" s="4">
        <v>1</v>
      </c>
      <c r="F1229" s="4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1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3">
        <v>0</v>
      </c>
      <c r="BB1229" s="3">
        <v>2</v>
      </c>
      <c r="BC1229" s="3">
        <v>0</v>
      </c>
      <c r="BD1229" s="3">
        <v>0</v>
      </c>
      <c r="BE1229" s="3">
        <v>0</v>
      </c>
      <c r="BF1229" s="3">
        <v>0</v>
      </c>
      <c r="BG1229" s="3">
        <v>0</v>
      </c>
      <c r="BH1229" s="3">
        <v>0</v>
      </c>
      <c r="BI1229" s="3">
        <v>0</v>
      </c>
      <c r="BJ1229" s="3">
        <v>0</v>
      </c>
      <c r="BK1229" s="3">
        <v>0</v>
      </c>
      <c r="BL1229" s="3">
        <v>2</v>
      </c>
      <c r="BM1229" s="3">
        <v>0</v>
      </c>
    </row>
    <row r="1230" spans="1:65" x14ac:dyDescent="0.25">
      <c r="A1230" s="2" t="s">
        <v>142</v>
      </c>
      <c r="B1230" s="4">
        <v>70</v>
      </c>
      <c r="C1230" s="4">
        <v>1</v>
      </c>
      <c r="D1230" s="4">
        <v>2</v>
      </c>
      <c r="E1230" s="4">
        <v>2</v>
      </c>
      <c r="F1230" s="4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  <c r="AX1230" s="3">
        <v>0</v>
      </c>
      <c r="AY1230" s="3">
        <v>0</v>
      </c>
      <c r="AZ1230" s="3">
        <v>0</v>
      </c>
      <c r="BA1230" s="3">
        <v>0</v>
      </c>
      <c r="BB1230" s="3">
        <v>0</v>
      </c>
      <c r="BC1230" s="3">
        <v>0</v>
      </c>
      <c r="BD1230" s="3">
        <v>0</v>
      </c>
      <c r="BE1230" s="3">
        <v>0</v>
      </c>
      <c r="BF1230" s="3">
        <v>0</v>
      </c>
      <c r="BG1230" s="3">
        <v>0</v>
      </c>
      <c r="BH1230" s="3">
        <v>0</v>
      </c>
      <c r="BI1230" s="3">
        <v>0</v>
      </c>
      <c r="BJ1230" s="3">
        <v>0</v>
      </c>
      <c r="BK1230" s="3">
        <v>0</v>
      </c>
      <c r="BL1230" s="3">
        <v>0</v>
      </c>
      <c r="BM1230" s="3">
        <v>0</v>
      </c>
    </row>
    <row r="1231" spans="1:65" x14ac:dyDescent="0.25">
      <c r="A1231" s="2" t="s">
        <v>142</v>
      </c>
      <c r="B1231" s="4">
        <v>70</v>
      </c>
      <c r="C1231" s="4">
        <v>1</v>
      </c>
      <c r="D1231" s="4">
        <v>2</v>
      </c>
      <c r="E1231" s="4">
        <v>3</v>
      </c>
      <c r="F1231" s="4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1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0</v>
      </c>
      <c r="BD1231" s="3">
        <v>0</v>
      </c>
      <c r="BE1231" s="3">
        <v>0</v>
      </c>
      <c r="BF1231" s="3">
        <v>0</v>
      </c>
      <c r="BG1231" s="3">
        <v>0</v>
      </c>
      <c r="BH1231" s="3">
        <v>0</v>
      </c>
      <c r="BI1231" s="3">
        <v>0</v>
      </c>
      <c r="BJ1231" s="3">
        <v>0</v>
      </c>
      <c r="BK1231" s="3">
        <v>0</v>
      </c>
      <c r="BL1231" s="3">
        <v>0</v>
      </c>
      <c r="BM1231" s="3">
        <v>0</v>
      </c>
    </row>
    <row r="1232" spans="1:65" x14ac:dyDescent="0.25">
      <c r="A1232" s="2" t="s">
        <v>142</v>
      </c>
      <c r="B1232" s="4">
        <v>70</v>
      </c>
      <c r="C1232" s="4">
        <v>1</v>
      </c>
      <c r="D1232" s="4">
        <v>3</v>
      </c>
      <c r="E1232" s="4">
        <v>1</v>
      </c>
      <c r="F1232" s="4">
        <v>0</v>
      </c>
      <c r="G1232" s="3">
        <v>1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2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1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1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  <c r="AV1232" s="3">
        <v>0</v>
      </c>
      <c r="AW1232" s="3">
        <v>0</v>
      </c>
      <c r="AX1232" s="3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0</v>
      </c>
      <c r="BD1232" s="3">
        <v>0</v>
      </c>
      <c r="BE1232" s="3">
        <v>0</v>
      </c>
      <c r="BF1232" s="3">
        <v>0</v>
      </c>
      <c r="BG1232" s="3">
        <v>0</v>
      </c>
      <c r="BH1232" s="3">
        <v>0</v>
      </c>
      <c r="BI1232" s="3">
        <v>0</v>
      </c>
      <c r="BJ1232" s="3">
        <v>0</v>
      </c>
      <c r="BK1232" s="3">
        <v>0</v>
      </c>
      <c r="BL1232" s="3">
        <v>1</v>
      </c>
      <c r="BM1232" s="3">
        <v>0</v>
      </c>
    </row>
    <row r="1233" spans="1:65" x14ac:dyDescent="0.25">
      <c r="A1233" s="2" t="s">
        <v>142</v>
      </c>
      <c r="B1233" s="4">
        <v>70</v>
      </c>
      <c r="C1233" s="4">
        <v>1</v>
      </c>
      <c r="D1233" s="4">
        <v>3</v>
      </c>
      <c r="E1233" s="4">
        <v>2</v>
      </c>
      <c r="F1233" s="4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1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  <c r="AV1233" s="3">
        <v>0</v>
      </c>
      <c r="AW1233" s="3">
        <v>0</v>
      </c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0</v>
      </c>
      <c r="BD1233" s="3">
        <v>0</v>
      </c>
      <c r="BE1233" s="3">
        <v>0</v>
      </c>
      <c r="BF1233" s="3">
        <v>0</v>
      </c>
      <c r="BG1233" s="3">
        <v>0</v>
      </c>
      <c r="BH1233" s="3">
        <v>0</v>
      </c>
      <c r="BI1233" s="3">
        <v>0</v>
      </c>
      <c r="BJ1233" s="3">
        <v>0</v>
      </c>
      <c r="BK1233" s="3">
        <v>0</v>
      </c>
      <c r="BL1233" s="3">
        <v>0</v>
      </c>
      <c r="BM1233" s="3">
        <v>0</v>
      </c>
    </row>
    <row r="1234" spans="1:65" x14ac:dyDescent="0.25">
      <c r="A1234" s="2" t="s">
        <v>142</v>
      </c>
      <c r="B1234" s="4">
        <v>70</v>
      </c>
      <c r="C1234" s="4">
        <v>1</v>
      </c>
      <c r="D1234" s="4">
        <v>3</v>
      </c>
      <c r="E1234" s="4">
        <v>3</v>
      </c>
      <c r="F1234" s="4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0</v>
      </c>
      <c r="AX1234" s="3">
        <v>0</v>
      </c>
      <c r="AY1234" s="3">
        <v>0</v>
      </c>
      <c r="AZ1234" s="3">
        <v>0</v>
      </c>
      <c r="BA1234" s="3">
        <v>0</v>
      </c>
      <c r="BB1234" s="3">
        <v>0</v>
      </c>
      <c r="BC1234" s="3">
        <v>0</v>
      </c>
      <c r="BD1234" s="3">
        <v>0</v>
      </c>
      <c r="BE1234" s="3">
        <v>0</v>
      </c>
      <c r="BF1234" s="3">
        <v>0</v>
      </c>
      <c r="BG1234" s="3">
        <v>0</v>
      </c>
      <c r="BH1234" s="3">
        <v>0</v>
      </c>
      <c r="BI1234" s="3">
        <v>0</v>
      </c>
      <c r="BJ1234" s="3">
        <v>0</v>
      </c>
      <c r="BK1234" s="3">
        <v>0</v>
      </c>
      <c r="BL1234" s="3">
        <v>0</v>
      </c>
      <c r="BM1234" s="3">
        <v>0</v>
      </c>
    </row>
    <row r="1235" spans="1:65" x14ac:dyDescent="0.25">
      <c r="A1235" s="2" t="s">
        <v>142</v>
      </c>
      <c r="B1235" s="4">
        <v>70</v>
      </c>
      <c r="C1235" s="4">
        <v>2</v>
      </c>
      <c r="D1235" s="4">
        <v>1</v>
      </c>
      <c r="E1235" s="4">
        <v>1</v>
      </c>
      <c r="F1235" s="6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2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0</v>
      </c>
      <c r="AX1235" s="3">
        <v>0</v>
      </c>
      <c r="AY1235" s="3">
        <v>0</v>
      </c>
      <c r="AZ1235" s="3">
        <v>0</v>
      </c>
      <c r="BA1235" s="3">
        <v>0</v>
      </c>
      <c r="BB1235" s="3">
        <v>0</v>
      </c>
      <c r="BC1235" s="3">
        <v>0</v>
      </c>
      <c r="BD1235" s="3">
        <v>0</v>
      </c>
      <c r="BE1235" s="3">
        <v>0</v>
      </c>
      <c r="BF1235" s="3">
        <v>0</v>
      </c>
      <c r="BG1235" s="3">
        <v>0</v>
      </c>
      <c r="BH1235" s="3">
        <v>0</v>
      </c>
      <c r="BI1235" s="3">
        <v>0</v>
      </c>
      <c r="BJ1235" s="3">
        <v>0</v>
      </c>
      <c r="BK1235" s="3">
        <v>0</v>
      </c>
      <c r="BL1235" s="3">
        <v>1</v>
      </c>
      <c r="BM1235" s="3">
        <v>0</v>
      </c>
    </row>
    <row r="1236" spans="1:65" x14ac:dyDescent="0.25">
      <c r="A1236" s="2" t="s">
        <v>142</v>
      </c>
      <c r="B1236" s="4">
        <v>70</v>
      </c>
      <c r="C1236" s="4">
        <v>2</v>
      </c>
      <c r="D1236" s="4">
        <v>1</v>
      </c>
      <c r="E1236" s="4">
        <v>2</v>
      </c>
      <c r="F1236" s="6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1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1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1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0</v>
      </c>
      <c r="AX1236" s="3">
        <v>0</v>
      </c>
      <c r="AY1236" s="3">
        <v>0</v>
      </c>
      <c r="AZ1236" s="3">
        <v>0</v>
      </c>
      <c r="BA1236" s="3">
        <v>0</v>
      </c>
      <c r="BB1236" s="3">
        <v>0</v>
      </c>
      <c r="BC1236" s="3">
        <v>0</v>
      </c>
      <c r="BD1236" s="3">
        <v>0</v>
      </c>
      <c r="BE1236" s="3">
        <v>0</v>
      </c>
      <c r="BF1236" s="3">
        <v>0</v>
      </c>
      <c r="BG1236" s="3">
        <v>0</v>
      </c>
      <c r="BH1236" s="3">
        <v>0</v>
      </c>
      <c r="BI1236" s="3">
        <v>0</v>
      </c>
      <c r="BJ1236" s="3">
        <v>0</v>
      </c>
      <c r="BK1236" s="3">
        <v>0</v>
      </c>
      <c r="BL1236" s="3">
        <v>2</v>
      </c>
      <c r="BM1236" s="3">
        <v>0</v>
      </c>
    </row>
    <row r="1237" spans="1:65" x14ac:dyDescent="0.25">
      <c r="A1237" s="2" t="s">
        <v>142</v>
      </c>
      <c r="B1237" s="4">
        <v>70</v>
      </c>
      <c r="C1237" s="4">
        <v>2</v>
      </c>
      <c r="D1237" s="4">
        <v>1</v>
      </c>
      <c r="E1237" s="4">
        <v>3</v>
      </c>
      <c r="F1237" s="6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1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0</v>
      </c>
      <c r="AZ1237" s="3">
        <v>0</v>
      </c>
      <c r="BA1237" s="3">
        <v>0</v>
      </c>
      <c r="BB1237" s="3">
        <v>0</v>
      </c>
      <c r="BC1237" s="3">
        <v>0</v>
      </c>
      <c r="BD1237" s="3">
        <v>0</v>
      </c>
      <c r="BE1237" s="3">
        <v>1</v>
      </c>
      <c r="BF1237" s="3">
        <v>0</v>
      </c>
      <c r="BG1237" s="3">
        <v>0</v>
      </c>
      <c r="BH1237" s="3">
        <v>0</v>
      </c>
      <c r="BI1237" s="3">
        <v>0</v>
      </c>
      <c r="BJ1237" s="3">
        <v>0</v>
      </c>
      <c r="BK1237" s="3">
        <v>0</v>
      </c>
      <c r="BL1237" s="3">
        <v>0</v>
      </c>
      <c r="BM1237" s="3">
        <v>0</v>
      </c>
    </row>
    <row r="1238" spans="1:65" x14ac:dyDescent="0.25">
      <c r="A1238" s="2" t="s">
        <v>142</v>
      </c>
      <c r="B1238" s="4">
        <v>70</v>
      </c>
      <c r="C1238" s="4">
        <v>2</v>
      </c>
      <c r="D1238" s="4">
        <v>2</v>
      </c>
      <c r="E1238" s="4">
        <v>1</v>
      </c>
      <c r="F1238" s="6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1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1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3">
        <v>0</v>
      </c>
      <c r="AW1238" s="3">
        <v>0</v>
      </c>
      <c r="AX1238" s="3">
        <v>0</v>
      </c>
      <c r="AY1238" s="3">
        <v>0</v>
      </c>
      <c r="AZ1238" s="3">
        <v>0</v>
      </c>
      <c r="BA1238" s="3">
        <v>0</v>
      </c>
      <c r="BB1238" s="3">
        <v>0</v>
      </c>
      <c r="BC1238" s="3">
        <v>0</v>
      </c>
      <c r="BD1238" s="3">
        <v>0</v>
      </c>
      <c r="BE1238" s="3">
        <v>0</v>
      </c>
      <c r="BF1238" s="3">
        <v>0</v>
      </c>
      <c r="BG1238" s="3">
        <v>0</v>
      </c>
      <c r="BH1238" s="3">
        <v>0</v>
      </c>
      <c r="BI1238" s="3">
        <v>0</v>
      </c>
      <c r="BJ1238" s="3">
        <v>0</v>
      </c>
      <c r="BK1238" s="3">
        <v>0</v>
      </c>
      <c r="BL1238" s="3">
        <v>0</v>
      </c>
      <c r="BM1238" s="3">
        <v>0</v>
      </c>
    </row>
    <row r="1239" spans="1:65" x14ac:dyDescent="0.25">
      <c r="A1239" s="2" t="s">
        <v>142</v>
      </c>
      <c r="B1239" s="4">
        <v>70</v>
      </c>
      <c r="C1239" s="4">
        <v>2</v>
      </c>
      <c r="D1239" s="4">
        <v>2</v>
      </c>
      <c r="E1239" s="4">
        <v>2</v>
      </c>
      <c r="F1239" s="6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0</v>
      </c>
      <c r="BD1239" s="3">
        <v>0</v>
      </c>
      <c r="BE1239" s="3">
        <v>0</v>
      </c>
      <c r="BF1239" s="3">
        <v>0</v>
      </c>
      <c r="BG1239" s="3">
        <v>0</v>
      </c>
      <c r="BH1239" s="3">
        <v>0</v>
      </c>
      <c r="BI1239" s="3">
        <v>0</v>
      </c>
      <c r="BJ1239" s="3">
        <v>0</v>
      </c>
      <c r="BK1239" s="3">
        <v>0</v>
      </c>
      <c r="BL1239" s="3">
        <v>0</v>
      </c>
      <c r="BM1239" s="3">
        <v>0</v>
      </c>
    </row>
    <row r="1240" spans="1:65" x14ac:dyDescent="0.25">
      <c r="A1240" s="2" t="s">
        <v>142</v>
      </c>
      <c r="B1240" s="4">
        <v>70</v>
      </c>
      <c r="C1240" s="4">
        <v>2</v>
      </c>
      <c r="D1240" s="4">
        <v>2</v>
      </c>
      <c r="E1240" s="4">
        <v>3</v>
      </c>
      <c r="F1240" s="6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1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3">
        <v>0</v>
      </c>
      <c r="AW1240" s="3">
        <v>0</v>
      </c>
      <c r="AX1240" s="3">
        <v>0</v>
      </c>
      <c r="AY1240" s="3">
        <v>0</v>
      </c>
      <c r="AZ1240" s="3">
        <v>0</v>
      </c>
      <c r="BA1240" s="3">
        <v>0</v>
      </c>
      <c r="BB1240" s="3">
        <v>0</v>
      </c>
      <c r="BC1240" s="3">
        <v>0</v>
      </c>
      <c r="BD1240" s="3">
        <v>0</v>
      </c>
      <c r="BE1240" s="3">
        <v>0</v>
      </c>
      <c r="BF1240" s="3">
        <v>0</v>
      </c>
      <c r="BG1240" s="3">
        <v>0</v>
      </c>
      <c r="BH1240" s="3">
        <v>0</v>
      </c>
      <c r="BI1240" s="3">
        <v>0</v>
      </c>
      <c r="BJ1240" s="3">
        <v>0</v>
      </c>
      <c r="BK1240" s="3">
        <v>0</v>
      </c>
      <c r="BL1240" s="3">
        <v>0</v>
      </c>
      <c r="BM1240" s="3">
        <v>0</v>
      </c>
    </row>
    <row r="1241" spans="1:65" x14ac:dyDescent="0.25">
      <c r="A1241" s="2" t="s">
        <v>142</v>
      </c>
      <c r="B1241" s="4">
        <v>70</v>
      </c>
      <c r="C1241" s="4">
        <v>2</v>
      </c>
      <c r="D1241" s="4">
        <v>3</v>
      </c>
      <c r="E1241" s="4">
        <v>1</v>
      </c>
      <c r="F1241" s="6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1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3">
        <v>0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  <c r="BA1241" s="3">
        <v>0</v>
      </c>
      <c r="BB1241" s="3">
        <v>0</v>
      </c>
      <c r="BC1241" s="3">
        <v>0</v>
      </c>
      <c r="BD1241" s="3">
        <v>0</v>
      </c>
      <c r="BE1241" s="3">
        <v>0</v>
      </c>
      <c r="BF1241" s="3">
        <v>0</v>
      </c>
      <c r="BG1241" s="3">
        <v>0</v>
      </c>
      <c r="BH1241" s="3">
        <v>0</v>
      </c>
      <c r="BI1241" s="3">
        <v>0</v>
      </c>
      <c r="BJ1241" s="3">
        <v>0</v>
      </c>
      <c r="BK1241" s="3">
        <v>0</v>
      </c>
      <c r="BL1241" s="3">
        <v>0</v>
      </c>
      <c r="BM1241" s="3">
        <v>0</v>
      </c>
    </row>
    <row r="1242" spans="1:65" x14ac:dyDescent="0.25">
      <c r="A1242" s="2" t="s">
        <v>142</v>
      </c>
      <c r="B1242" s="4">
        <v>70</v>
      </c>
      <c r="C1242" s="4">
        <v>2</v>
      </c>
      <c r="D1242" s="4">
        <v>3</v>
      </c>
      <c r="E1242" s="4">
        <v>2</v>
      </c>
      <c r="F1242" s="6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0</v>
      </c>
      <c r="AX1242" s="3">
        <v>0</v>
      </c>
      <c r="AY1242" s="3">
        <v>0</v>
      </c>
      <c r="AZ1242" s="3">
        <v>0</v>
      </c>
      <c r="BA1242" s="3">
        <v>0</v>
      </c>
      <c r="BB1242" s="3">
        <v>0</v>
      </c>
      <c r="BC1242" s="3">
        <v>0</v>
      </c>
      <c r="BD1242" s="3">
        <v>0</v>
      </c>
      <c r="BE1242" s="3">
        <v>0</v>
      </c>
      <c r="BF1242" s="3">
        <v>0</v>
      </c>
      <c r="BG1242" s="3">
        <v>0</v>
      </c>
      <c r="BH1242" s="3">
        <v>0</v>
      </c>
      <c r="BI1242" s="3">
        <v>0</v>
      </c>
      <c r="BJ1242" s="3">
        <v>0</v>
      </c>
      <c r="BK1242" s="3">
        <v>0</v>
      </c>
      <c r="BL1242" s="3">
        <v>0</v>
      </c>
      <c r="BM1242" s="3">
        <v>0</v>
      </c>
    </row>
    <row r="1243" spans="1:65" x14ac:dyDescent="0.25">
      <c r="A1243" s="2" t="s">
        <v>142</v>
      </c>
      <c r="B1243" s="4">
        <v>70</v>
      </c>
      <c r="C1243" s="4">
        <v>2</v>
      </c>
      <c r="D1243" s="4">
        <v>3</v>
      </c>
      <c r="E1243" s="4">
        <v>3</v>
      </c>
      <c r="F1243" s="6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3">
        <v>0</v>
      </c>
      <c r="AV1243" s="3">
        <v>0</v>
      </c>
      <c r="AW1243" s="3">
        <v>0</v>
      </c>
      <c r="AX1243" s="3">
        <v>0</v>
      </c>
      <c r="AY1243" s="3">
        <v>0</v>
      </c>
      <c r="AZ1243" s="3">
        <v>0</v>
      </c>
      <c r="BA1243" s="3">
        <v>0</v>
      </c>
      <c r="BB1243" s="3">
        <v>0</v>
      </c>
      <c r="BC1243" s="3">
        <v>0</v>
      </c>
      <c r="BD1243" s="3">
        <v>0</v>
      </c>
      <c r="BE1243" s="3">
        <v>0</v>
      </c>
      <c r="BF1243" s="3">
        <v>0</v>
      </c>
      <c r="BG1243" s="3">
        <v>0</v>
      </c>
      <c r="BH1243" s="3">
        <v>0</v>
      </c>
      <c r="BI1243" s="3">
        <v>0</v>
      </c>
      <c r="BJ1243" s="3">
        <v>0</v>
      </c>
      <c r="BK1243" s="3">
        <v>0</v>
      </c>
      <c r="BL1243" s="3">
        <v>0</v>
      </c>
      <c r="BM1243" s="3">
        <v>0</v>
      </c>
    </row>
    <row r="1244" spans="1:65" x14ac:dyDescent="0.25">
      <c r="A1244" s="2" t="s">
        <v>143</v>
      </c>
      <c r="B1244" s="4">
        <v>71</v>
      </c>
      <c r="C1244" s="4">
        <v>1</v>
      </c>
      <c r="D1244" s="4">
        <v>1</v>
      </c>
      <c r="E1244" s="4">
        <v>1</v>
      </c>
      <c r="F1244" s="4">
        <v>0</v>
      </c>
      <c r="G1244" s="3">
        <v>0</v>
      </c>
      <c r="H1244" s="3">
        <v>0</v>
      </c>
      <c r="I1244" s="3">
        <v>1</v>
      </c>
      <c r="J1244" s="3">
        <v>0</v>
      </c>
      <c r="K1244" s="3">
        <v>0</v>
      </c>
      <c r="L1244" s="3">
        <v>0</v>
      </c>
      <c r="M1244" s="3">
        <v>0</v>
      </c>
      <c r="N1244" s="3">
        <v>1</v>
      </c>
      <c r="O1244" s="3">
        <v>0</v>
      </c>
      <c r="P1244" s="3">
        <v>0</v>
      </c>
      <c r="Q1244" s="3">
        <v>0</v>
      </c>
      <c r="R1244" s="3">
        <v>1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1</v>
      </c>
      <c r="AC1244" s="3">
        <v>0</v>
      </c>
      <c r="AD1244" s="3">
        <v>0</v>
      </c>
      <c r="AE1244" s="3">
        <v>0</v>
      </c>
      <c r="AF1244" s="3">
        <v>2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3">
        <v>0</v>
      </c>
      <c r="AV1244" s="3">
        <v>0</v>
      </c>
      <c r="AW1244" s="3">
        <v>0</v>
      </c>
      <c r="AX1244" s="3">
        <v>0</v>
      </c>
      <c r="AY1244" s="3">
        <v>0</v>
      </c>
      <c r="AZ1244" s="3">
        <v>0</v>
      </c>
      <c r="BA1244" s="3">
        <v>0</v>
      </c>
      <c r="BB1244" s="3">
        <v>0</v>
      </c>
      <c r="BC1244" s="3">
        <v>0</v>
      </c>
      <c r="BD1244" s="3">
        <v>0</v>
      </c>
      <c r="BE1244" s="3">
        <v>0</v>
      </c>
      <c r="BF1244" s="3">
        <v>0</v>
      </c>
      <c r="BG1244" s="3">
        <v>0</v>
      </c>
      <c r="BH1244" s="3">
        <v>0</v>
      </c>
      <c r="BI1244" s="3">
        <v>0</v>
      </c>
      <c r="BJ1244" s="3">
        <v>0</v>
      </c>
      <c r="BK1244" s="3">
        <v>0</v>
      </c>
      <c r="BL1244" s="3">
        <v>0</v>
      </c>
      <c r="BM1244" s="3">
        <v>0</v>
      </c>
    </row>
    <row r="1245" spans="1:65" x14ac:dyDescent="0.25">
      <c r="A1245" s="2" t="s">
        <v>143</v>
      </c>
      <c r="B1245" s="4">
        <v>71</v>
      </c>
      <c r="C1245" s="4">
        <v>1</v>
      </c>
      <c r="D1245" s="4">
        <v>1</v>
      </c>
      <c r="E1245" s="4">
        <v>2</v>
      </c>
      <c r="F1245" s="4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1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1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0</v>
      </c>
      <c r="AX1245" s="3">
        <v>0</v>
      </c>
      <c r="AY1245" s="3">
        <v>0</v>
      </c>
      <c r="AZ1245" s="3">
        <v>0</v>
      </c>
      <c r="BA1245" s="3">
        <v>0</v>
      </c>
      <c r="BB1245" s="3">
        <v>0</v>
      </c>
      <c r="BC1245" s="3">
        <v>0</v>
      </c>
      <c r="BD1245" s="3">
        <v>0</v>
      </c>
      <c r="BE1245" s="3">
        <v>0</v>
      </c>
      <c r="BF1245" s="3">
        <v>0</v>
      </c>
      <c r="BG1245" s="3">
        <v>0</v>
      </c>
      <c r="BH1245" s="3">
        <v>0</v>
      </c>
      <c r="BI1245" s="3">
        <v>0</v>
      </c>
      <c r="BJ1245" s="3">
        <v>0</v>
      </c>
      <c r="BK1245" s="3">
        <v>0</v>
      </c>
      <c r="BL1245" s="3">
        <v>0</v>
      </c>
      <c r="BM1245" s="3">
        <v>0</v>
      </c>
    </row>
    <row r="1246" spans="1:65" x14ac:dyDescent="0.25">
      <c r="A1246" s="2" t="s">
        <v>143</v>
      </c>
      <c r="B1246" s="4">
        <v>71</v>
      </c>
      <c r="C1246" s="4">
        <v>1</v>
      </c>
      <c r="D1246" s="4">
        <v>1</v>
      </c>
      <c r="E1246" s="4">
        <v>3</v>
      </c>
      <c r="F1246" s="4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3">
        <v>0</v>
      </c>
      <c r="AQ1246" s="3">
        <v>0</v>
      </c>
      <c r="AR1246" s="3">
        <v>1</v>
      </c>
      <c r="AS1246" s="3">
        <v>0</v>
      </c>
      <c r="AT1246" s="3">
        <v>0</v>
      </c>
      <c r="AU1246" s="3">
        <v>0</v>
      </c>
      <c r="AV1246" s="3">
        <v>0</v>
      </c>
      <c r="AW1246" s="3">
        <v>0</v>
      </c>
      <c r="AX1246" s="3">
        <v>0</v>
      </c>
      <c r="AY1246" s="3">
        <v>0</v>
      </c>
      <c r="AZ1246" s="3">
        <v>0</v>
      </c>
      <c r="BA1246" s="3">
        <v>0</v>
      </c>
      <c r="BB1246" s="3">
        <v>0</v>
      </c>
      <c r="BC1246" s="3">
        <v>0</v>
      </c>
      <c r="BD1246" s="3">
        <v>0</v>
      </c>
      <c r="BE1246" s="3">
        <v>0</v>
      </c>
      <c r="BF1246" s="3">
        <v>0</v>
      </c>
      <c r="BG1246" s="3">
        <v>0</v>
      </c>
      <c r="BH1246" s="3">
        <v>0</v>
      </c>
      <c r="BI1246" s="3">
        <v>0</v>
      </c>
      <c r="BJ1246" s="3">
        <v>0</v>
      </c>
      <c r="BK1246" s="3">
        <v>0</v>
      </c>
      <c r="BL1246" s="3">
        <v>0</v>
      </c>
      <c r="BM1246" s="3">
        <v>0</v>
      </c>
    </row>
    <row r="1247" spans="1:65" x14ac:dyDescent="0.25">
      <c r="A1247" s="2" t="s">
        <v>143</v>
      </c>
      <c r="B1247" s="4">
        <v>71</v>
      </c>
      <c r="C1247" s="4">
        <v>1</v>
      </c>
      <c r="D1247" s="4">
        <v>2</v>
      </c>
      <c r="E1247" s="4">
        <v>1</v>
      </c>
      <c r="F1247" s="4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3">
        <v>0</v>
      </c>
      <c r="AW1247" s="3">
        <v>0</v>
      </c>
      <c r="AX1247" s="3">
        <v>0</v>
      </c>
      <c r="AY1247" s="3">
        <v>0</v>
      </c>
      <c r="AZ1247" s="3">
        <v>0</v>
      </c>
      <c r="BA1247" s="3">
        <v>0</v>
      </c>
      <c r="BB1247" s="3">
        <v>0</v>
      </c>
      <c r="BC1247" s="3">
        <v>0</v>
      </c>
      <c r="BD1247" s="3">
        <v>0</v>
      </c>
      <c r="BE1247" s="3">
        <v>0</v>
      </c>
      <c r="BF1247" s="3">
        <v>0</v>
      </c>
      <c r="BG1247" s="3">
        <v>0</v>
      </c>
      <c r="BH1247" s="3">
        <v>0</v>
      </c>
      <c r="BI1247" s="3">
        <v>0</v>
      </c>
      <c r="BJ1247" s="3">
        <v>0</v>
      </c>
      <c r="BK1247" s="3">
        <v>0</v>
      </c>
      <c r="BL1247" s="3">
        <v>0</v>
      </c>
      <c r="BM1247" s="3">
        <v>0</v>
      </c>
    </row>
    <row r="1248" spans="1:65" x14ac:dyDescent="0.25">
      <c r="A1248" s="2" t="s">
        <v>143</v>
      </c>
      <c r="B1248" s="4">
        <v>71</v>
      </c>
      <c r="C1248" s="4">
        <v>1</v>
      </c>
      <c r="D1248" s="4">
        <v>2</v>
      </c>
      <c r="E1248" s="4">
        <v>2</v>
      </c>
      <c r="F1248" s="4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1</v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0</v>
      </c>
      <c r="AW1248" s="3">
        <v>0</v>
      </c>
      <c r="AX1248" s="3">
        <v>0</v>
      </c>
      <c r="AY1248" s="3">
        <v>0</v>
      </c>
      <c r="AZ1248" s="3">
        <v>0</v>
      </c>
      <c r="BA1248" s="3">
        <v>0</v>
      </c>
      <c r="BB1248" s="3">
        <v>0</v>
      </c>
      <c r="BC1248" s="3">
        <v>0</v>
      </c>
      <c r="BD1248" s="3">
        <v>0</v>
      </c>
      <c r="BE1248" s="3">
        <v>0</v>
      </c>
      <c r="BF1248" s="3">
        <v>0</v>
      </c>
      <c r="BG1248" s="3">
        <v>0</v>
      </c>
      <c r="BH1248" s="3">
        <v>0</v>
      </c>
      <c r="BI1248" s="3">
        <v>0</v>
      </c>
      <c r="BJ1248" s="3">
        <v>0</v>
      </c>
      <c r="BK1248" s="3">
        <v>0</v>
      </c>
      <c r="BL1248" s="3">
        <v>1</v>
      </c>
      <c r="BM1248" s="3">
        <v>0</v>
      </c>
    </row>
    <row r="1249" spans="1:65" x14ac:dyDescent="0.25">
      <c r="A1249" s="2" t="s">
        <v>143</v>
      </c>
      <c r="B1249" s="4">
        <v>71</v>
      </c>
      <c r="C1249" s="4">
        <v>1</v>
      </c>
      <c r="D1249" s="4">
        <v>2</v>
      </c>
      <c r="E1249" s="4">
        <v>3</v>
      </c>
      <c r="F1249" s="4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0</v>
      </c>
      <c r="AX1249" s="3">
        <v>0</v>
      </c>
      <c r="AY1249" s="3">
        <v>0</v>
      </c>
      <c r="AZ1249" s="3">
        <v>0</v>
      </c>
      <c r="BA1249" s="3">
        <v>0</v>
      </c>
      <c r="BB1249" s="3">
        <v>0</v>
      </c>
      <c r="BC1249" s="3">
        <v>0</v>
      </c>
      <c r="BD1249" s="3">
        <v>0</v>
      </c>
      <c r="BE1249" s="3">
        <v>0</v>
      </c>
      <c r="BF1249" s="3">
        <v>0</v>
      </c>
      <c r="BG1249" s="3">
        <v>0</v>
      </c>
      <c r="BH1249" s="3">
        <v>0</v>
      </c>
      <c r="BI1249" s="3">
        <v>0</v>
      </c>
      <c r="BJ1249" s="3">
        <v>0</v>
      </c>
      <c r="BK1249" s="3">
        <v>0</v>
      </c>
      <c r="BL1249" s="3">
        <v>0</v>
      </c>
      <c r="BM1249" s="3">
        <v>0</v>
      </c>
    </row>
    <row r="1250" spans="1:65" x14ac:dyDescent="0.25">
      <c r="A1250" s="2" t="s">
        <v>143</v>
      </c>
      <c r="B1250" s="4">
        <v>71</v>
      </c>
      <c r="C1250" s="4">
        <v>1</v>
      </c>
      <c r="D1250" s="4">
        <v>3</v>
      </c>
      <c r="E1250" s="4">
        <v>1</v>
      </c>
      <c r="F1250" s="4">
        <v>0</v>
      </c>
      <c r="G1250" s="3">
        <v>1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0</v>
      </c>
      <c r="AX1250" s="3">
        <v>0</v>
      </c>
      <c r="AY1250" s="3">
        <v>0</v>
      </c>
      <c r="AZ1250" s="3">
        <v>0</v>
      </c>
      <c r="BA1250" s="3">
        <v>0</v>
      </c>
      <c r="BB1250" s="3">
        <v>0</v>
      </c>
      <c r="BC1250" s="3">
        <v>0</v>
      </c>
      <c r="BD1250" s="3">
        <v>0</v>
      </c>
      <c r="BE1250" s="3">
        <v>0</v>
      </c>
      <c r="BF1250" s="3">
        <v>0</v>
      </c>
      <c r="BG1250" s="3">
        <v>0</v>
      </c>
      <c r="BH1250" s="3">
        <v>0</v>
      </c>
      <c r="BI1250" s="3">
        <v>0</v>
      </c>
      <c r="BJ1250" s="3">
        <v>0</v>
      </c>
      <c r="BK1250" s="3">
        <v>0</v>
      </c>
      <c r="BL1250" s="3">
        <v>1</v>
      </c>
      <c r="BM1250" s="3">
        <v>0</v>
      </c>
    </row>
    <row r="1251" spans="1:65" x14ac:dyDescent="0.25">
      <c r="A1251" s="2" t="s">
        <v>143</v>
      </c>
      <c r="B1251" s="4">
        <v>71</v>
      </c>
      <c r="C1251" s="4">
        <v>1</v>
      </c>
      <c r="D1251" s="4">
        <v>3</v>
      </c>
      <c r="E1251" s="4">
        <v>2</v>
      </c>
      <c r="F1251" s="4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1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1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0</v>
      </c>
      <c r="AX1251" s="3">
        <v>0</v>
      </c>
      <c r="AY1251" s="3">
        <v>0</v>
      </c>
      <c r="AZ1251" s="3">
        <v>0</v>
      </c>
      <c r="BA1251" s="3">
        <v>0</v>
      </c>
      <c r="BB1251" s="3">
        <v>0</v>
      </c>
      <c r="BC1251" s="3">
        <v>0</v>
      </c>
      <c r="BD1251" s="3">
        <v>0</v>
      </c>
      <c r="BE1251" s="3">
        <v>0</v>
      </c>
      <c r="BF1251" s="3">
        <v>0</v>
      </c>
      <c r="BG1251" s="3">
        <v>0</v>
      </c>
      <c r="BH1251" s="3">
        <v>0</v>
      </c>
      <c r="BI1251" s="3">
        <v>0</v>
      </c>
      <c r="BJ1251" s="3">
        <v>0</v>
      </c>
      <c r="BK1251" s="3">
        <v>0</v>
      </c>
      <c r="BL1251" s="3">
        <v>0</v>
      </c>
      <c r="BM1251" s="3">
        <v>0</v>
      </c>
    </row>
    <row r="1252" spans="1:65" x14ac:dyDescent="0.25">
      <c r="A1252" s="2" t="s">
        <v>143</v>
      </c>
      <c r="B1252" s="4">
        <v>71</v>
      </c>
      <c r="C1252" s="4">
        <v>1</v>
      </c>
      <c r="D1252" s="4">
        <v>3</v>
      </c>
      <c r="E1252" s="4">
        <v>3</v>
      </c>
      <c r="F1252" s="4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0</v>
      </c>
      <c r="AX1252" s="3">
        <v>0</v>
      </c>
      <c r="AY1252" s="3">
        <v>0</v>
      </c>
      <c r="AZ1252" s="3">
        <v>0</v>
      </c>
      <c r="BA1252" s="3">
        <v>0</v>
      </c>
      <c r="BB1252" s="3">
        <v>0</v>
      </c>
      <c r="BC1252" s="3">
        <v>0</v>
      </c>
      <c r="BD1252" s="3">
        <v>1</v>
      </c>
      <c r="BE1252" s="3">
        <v>0</v>
      </c>
      <c r="BF1252" s="3">
        <v>0</v>
      </c>
      <c r="BG1252" s="3">
        <v>0</v>
      </c>
      <c r="BH1252" s="3">
        <v>0</v>
      </c>
      <c r="BI1252" s="3">
        <v>0</v>
      </c>
      <c r="BJ1252" s="3">
        <v>0</v>
      </c>
      <c r="BK1252" s="3">
        <v>0</v>
      </c>
      <c r="BL1252" s="3">
        <v>0</v>
      </c>
      <c r="BM1252" s="3">
        <v>0</v>
      </c>
    </row>
    <row r="1253" spans="1:65" x14ac:dyDescent="0.25">
      <c r="A1253" s="2" t="s">
        <v>143</v>
      </c>
      <c r="B1253" s="4">
        <v>71</v>
      </c>
      <c r="C1253" s="4">
        <v>2</v>
      </c>
      <c r="D1253" s="4">
        <v>1</v>
      </c>
      <c r="E1253" s="4">
        <v>1</v>
      </c>
      <c r="F1253" s="6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2</v>
      </c>
      <c r="AG1253" s="3">
        <v>0</v>
      </c>
      <c r="AH1253" s="3">
        <v>0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0</v>
      </c>
      <c r="AX1253" s="3">
        <v>0</v>
      </c>
      <c r="AY1253" s="3">
        <v>0</v>
      </c>
      <c r="AZ1253" s="3">
        <v>0</v>
      </c>
      <c r="BA1253" s="3">
        <v>0</v>
      </c>
      <c r="BB1253" s="3">
        <v>0</v>
      </c>
      <c r="BC1253" s="3">
        <v>0</v>
      </c>
      <c r="BD1253" s="3">
        <v>0</v>
      </c>
      <c r="BE1253" s="3">
        <v>0</v>
      </c>
      <c r="BF1253" s="3">
        <v>0</v>
      </c>
      <c r="BG1253" s="3">
        <v>0</v>
      </c>
      <c r="BH1253" s="3">
        <v>0</v>
      </c>
      <c r="BI1253" s="3">
        <v>0</v>
      </c>
      <c r="BJ1253" s="3">
        <v>0</v>
      </c>
      <c r="BK1253" s="3">
        <v>0</v>
      </c>
      <c r="BL1253" s="3">
        <v>1</v>
      </c>
      <c r="BM1253" s="3">
        <v>0</v>
      </c>
    </row>
    <row r="1254" spans="1:65" x14ac:dyDescent="0.25">
      <c r="A1254" s="2" t="s">
        <v>143</v>
      </c>
      <c r="B1254" s="4">
        <v>71</v>
      </c>
      <c r="C1254" s="4">
        <v>2</v>
      </c>
      <c r="D1254" s="4">
        <v>1</v>
      </c>
      <c r="E1254" s="4">
        <v>2</v>
      </c>
      <c r="F1254" s="6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1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1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1</v>
      </c>
      <c r="AC1254" s="3">
        <v>0</v>
      </c>
      <c r="AD1254" s="3">
        <v>0</v>
      </c>
      <c r="AE1254" s="3">
        <v>0</v>
      </c>
      <c r="AF1254" s="3">
        <v>1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0</v>
      </c>
      <c r="AX1254" s="3">
        <v>0</v>
      </c>
      <c r="AY1254" s="3">
        <v>0</v>
      </c>
      <c r="AZ1254" s="3">
        <v>0</v>
      </c>
      <c r="BA1254" s="3">
        <v>0</v>
      </c>
      <c r="BB1254" s="3">
        <v>0</v>
      </c>
      <c r="BC1254" s="3">
        <v>0</v>
      </c>
      <c r="BD1254" s="3">
        <v>0</v>
      </c>
      <c r="BE1254" s="3">
        <v>0</v>
      </c>
      <c r="BF1254" s="3">
        <v>0</v>
      </c>
      <c r="BG1254" s="3">
        <v>0</v>
      </c>
      <c r="BH1254" s="3">
        <v>0</v>
      </c>
      <c r="BI1254" s="3">
        <v>0</v>
      </c>
      <c r="BJ1254" s="3">
        <v>0</v>
      </c>
      <c r="BK1254" s="3">
        <v>0</v>
      </c>
      <c r="BL1254" s="3">
        <v>1</v>
      </c>
      <c r="BM1254" s="3">
        <v>0</v>
      </c>
    </row>
    <row r="1255" spans="1:65" x14ac:dyDescent="0.25">
      <c r="A1255" s="2" t="s">
        <v>143</v>
      </c>
      <c r="B1255" s="4">
        <v>71</v>
      </c>
      <c r="C1255" s="4">
        <v>2</v>
      </c>
      <c r="D1255" s="4">
        <v>1</v>
      </c>
      <c r="E1255" s="4">
        <v>3</v>
      </c>
      <c r="F1255" s="6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1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3">
        <v>0</v>
      </c>
      <c r="AV1255" s="3">
        <v>0</v>
      </c>
      <c r="AW1255" s="3">
        <v>0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0</v>
      </c>
      <c r="BD1255" s="3">
        <v>0</v>
      </c>
      <c r="BE1255" s="3">
        <v>0</v>
      </c>
      <c r="BF1255" s="3">
        <v>0</v>
      </c>
      <c r="BG1255" s="3">
        <v>0</v>
      </c>
      <c r="BH1255" s="3">
        <v>0</v>
      </c>
      <c r="BI1255" s="3">
        <v>0</v>
      </c>
      <c r="BJ1255" s="3">
        <v>0</v>
      </c>
      <c r="BK1255" s="3">
        <v>0</v>
      </c>
      <c r="BL1255" s="3">
        <v>0</v>
      </c>
      <c r="BM1255" s="3">
        <v>0</v>
      </c>
    </row>
    <row r="1256" spans="1:65" x14ac:dyDescent="0.25">
      <c r="A1256" s="2" t="s">
        <v>143</v>
      </c>
      <c r="B1256" s="4">
        <v>71</v>
      </c>
      <c r="C1256" s="4">
        <v>2</v>
      </c>
      <c r="D1256" s="4">
        <v>2</v>
      </c>
      <c r="E1256" s="4">
        <v>1</v>
      </c>
      <c r="F1256" s="6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0</v>
      </c>
      <c r="AX1256" s="3">
        <v>0</v>
      </c>
      <c r="AY1256" s="3">
        <v>0</v>
      </c>
      <c r="AZ1256" s="3">
        <v>0</v>
      </c>
      <c r="BA1256" s="3">
        <v>0</v>
      </c>
      <c r="BB1256" s="3">
        <v>1</v>
      </c>
      <c r="BC1256" s="3">
        <v>0</v>
      </c>
      <c r="BD1256" s="3">
        <v>0</v>
      </c>
      <c r="BE1256" s="3">
        <v>0</v>
      </c>
      <c r="BF1256" s="3">
        <v>0</v>
      </c>
      <c r="BG1256" s="3">
        <v>0</v>
      </c>
      <c r="BH1256" s="3">
        <v>0</v>
      </c>
      <c r="BI1256" s="3">
        <v>0</v>
      </c>
      <c r="BJ1256" s="3">
        <v>0</v>
      </c>
      <c r="BK1256" s="3">
        <v>0</v>
      </c>
      <c r="BL1256" s="3">
        <v>0</v>
      </c>
      <c r="BM1256" s="3">
        <v>0</v>
      </c>
    </row>
    <row r="1257" spans="1:65" x14ac:dyDescent="0.25">
      <c r="A1257" s="2" t="s">
        <v>143</v>
      </c>
      <c r="B1257" s="4">
        <v>71</v>
      </c>
      <c r="C1257" s="4">
        <v>2</v>
      </c>
      <c r="D1257" s="4">
        <v>2</v>
      </c>
      <c r="E1257" s="4">
        <v>2</v>
      </c>
      <c r="F1257" s="6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2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0</v>
      </c>
      <c r="AX1257" s="3">
        <v>0</v>
      </c>
      <c r="AY1257" s="3">
        <v>0</v>
      </c>
      <c r="AZ1257" s="3">
        <v>0</v>
      </c>
      <c r="BA1257" s="3">
        <v>0</v>
      </c>
      <c r="BB1257" s="3">
        <v>0</v>
      </c>
      <c r="BC1257" s="3">
        <v>0</v>
      </c>
      <c r="BD1257" s="3">
        <v>0</v>
      </c>
      <c r="BE1257" s="3">
        <v>0</v>
      </c>
      <c r="BF1257" s="3">
        <v>0</v>
      </c>
      <c r="BG1257" s="3">
        <v>0</v>
      </c>
      <c r="BH1257" s="3">
        <v>0</v>
      </c>
      <c r="BI1257" s="3">
        <v>0</v>
      </c>
      <c r="BJ1257" s="3">
        <v>0</v>
      </c>
      <c r="BK1257" s="3">
        <v>0</v>
      </c>
      <c r="BL1257" s="3">
        <v>0</v>
      </c>
      <c r="BM1257" s="3">
        <v>0</v>
      </c>
    </row>
    <row r="1258" spans="1:65" x14ac:dyDescent="0.25">
      <c r="A1258" s="2" t="s">
        <v>143</v>
      </c>
      <c r="B1258" s="4">
        <v>71</v>
      </c>
      <c r="C1258" s="4">
        <v>2</v>
      </c>
      <c r="D1258" s="4">
        <v>2</v>
      </c>
      <c r="E1258" s="4">
        <v>3</v>
      </c>
      <c r="F1258" s="6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  <c r="AU1258" s="3">
        <v>0</v>
      </c>
      <c r="AV1258" s="3">
        <v>0</v>
      </c>
      <c r="AW1258" s="3">
        <v>0</v>
      </c>
      <c r="AX1258" s="3">
        <v>0</v>
      </c>
      <c r="AY1258" s="3">
        <v>0</v>
      </c>
      <c r="AZ1258" s="3">
        <v>0</v>
      </c>
      <c r="BA1258" s="3">
        <v>0</v>
      </c>
      <c r="BB1258" s="3">
        <v>0</v>
      </c>
      <c r="BC1258" s="3">
        <v>0</v>
      </c>
      <c r="BD1258" s="3">
        <v>0</v>
      </c>
      <c r="BE1258" s="3">
        <v>0</v>
      </c>
      <c r="BF1258" s="3">
        <v>0</v>
      </c>
      <c r="BG1258" s="3">
        <v>0</v>
      </c>
      <c r="BH1258" s="3">
        <v>0</v>
      </c>
      <c r="BI1258" s="3">
        <v>0</v>
      </c>
      <c r="BJ1258" s="3">
        <v>0</v>
      </c>
      <c r="BK1258" s="3">
        <v>0</v>
      </c>
      <c r="BL1258" s="3">
        <v>0</v>
      </c>
      <c r="BM1258" s="3">
        <v>0</v>
      </c>
    </row>
    <row r="1259" spans="1:65" x14ac:dyDescent="0.25">
      <c r="A1259" s="2" t="s">
        <v>143</v>
      </c>
      <c r="B1259" s="4">
        <v>71</v>
      </c>
      <c r="C1259" s="4">
        <v>2</v>
      </c>
      <c r="D1259" s="4">
        <v>3</v>
      </c>
      <c r="E1259" s="4">
        <v>1</v>
      </c>
      <c r="F1259" s="6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0</v>
      </c>
      <c r="AX1259" s="3">
        <v>0</v>
      </c>
      <c r="AY1259" s="3">
        <v>0</v>
      </c>
      <c r="AZ1259" s="3">
        <v>0</v>
      </c>
      <c r="BA1259" s="3">
        <v>0</v>
      </c>
      <c r="BB1259" s="3">
        <v>0</v>
      </c>
      <c r="BC1259" s="3">
        <v>0</v>
      </c>
      <c r="BD1259" s="3">
        <v>0</v>
      </c>
      <c r="BE1259" s="3">
        <v>0</v>
      </c>
      <c r="BF1259" s="3">
        <v>0</v>
      </c>
      <c r="BG1259" s="3">
        <v>0</v>
      </c>
      <c r="BH1259" s="3">
        <v>0</v>
      </c>
      <c r="BI1259" s="3">
        <v>0</v>
      </c>
      <c r="BJ1259" s="3">
        <v>0</v>
      </c>
      <c r="BK1259" s="3">
        <v>0</v>
      </c>
      <c r="BL1259" s="3">
        <v>0</v>
      </c>
      <c r="BM1259" s="3">
        <v>0</v>
      </c>
    </row>
    <row r="1260" spans="1:65" x14ac:dyDescent="0.25">
      <c r="A1260" s="2" t="s">
        <v>143</v>
      </c>
      <c r="B1260" s="4">
        <v>71</v>
      </c>
      <c r="C1260" s="4">
        <v>2</v>
      </c>
      <c r="D1260" s="4">
        <v>3</v>
      </c>
      <c r="E1260" s="4">
        <v>2</v>
      </c>
      <c r="F1260" s="6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0</v>
      </c>
      <c r="AX1260" s="3">
        <v>0</v>
      </c>
      <c r="AY1260" s="3">
        <v>0</v>
      </c>
      <c r="AZ1260" s="3">
        <v>0</v>
      </c>
      <c r="BA1260" s="3">
        <v>0</v>
      </c>
      <c r="BB1260" s="3">
        <v>0</v>
      </c>
      <c r="BC1260" s="3">
        <v>0</v>
      </c>
      <c r="BD1260" s="3">
        <v>0</v>
      </c>
      <c r="BE1260" s="3">
        <v>0</v>
      </c>
      <c r="BF1260" s="3">
        <v>0</v>
      </c>
      <c r="BG1260" s="3">
        <v>0</v>
      </c>
      <c r="BH1260" s="3">
        <v>0</v>
      </c>
      <c r="BI1260" s="3">
        <v>0</v>
      </c>
      <c r="BJ1260" s="3">
        <v>0</v>
      </c>
      <c r="BK1260" s="3">
        <v>0</v>
      </c>
      <c r="BL1260" s="3">
        <v>0</v>
      </c>
      <c r="BM1260" s="3">
        <v>0</v>
      </c>
    </row>
    <row r="1261" spans="1:65" x14ac:dyDescent="0.25">
      <c r="A1261" s="2" t="s">
        <v>143</v>
      </c>
      <c r="B1261" s="4">
        <v>71</v>
      </c>
      <c r="C1261" s="4">
        <v>2</v>
      </c>
      <c r="D1261" s="4">
        <v>3</v>
      </c>
      <c r="E1261" s="4">
        <v>3</v>
      </c>
      <c r="F1261" s="6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  <c r="AP1261" s="3">
        <v>0</v>
      </c>
      <c r="AQ1261" s="3">
        <v>0</v>
      </c>
      <c r="AR1261" s="3">
        <v>0</v>
      </c>
      <c r="AS1261" s="3">
        <v>0</v>
      </c>
      <c r="AT1261" s="3">
        <v>0</v>
      </c>
      <c r="AU1261" s="3">
        <v>0</v>
      </c>
      <c r="AV1261" s="3">
        <v>0</v>
      </c>
      <c r="AW1261" s="3">
        <v>0</v>
      </c>
      <c r="AX1261" s="3">
        <v>0</v>
      </c>
      <c r="AY1261" s="3">
        <v>0</v>
      </c>
      <c r="AZ1261" s="3">
        <v>0</v>
      </c>
      <c r="BA1261" s="3">
        <v>0</v>
      </c>
      <c r="BB1261" s="3">
        <v>0</v>
      </c>
      <c r="BC1261" s="3">
        <v>0</v>
      </c>
      <c r="BD1261" s="3">
        <v>0</v>
      </c>
      <c r="BE1261" s="3">
        <v>0</v>
      </c>
      <c r="BF1261" s="3">
        <v>0</v>
      </c>
      <c r="BG1261" s="3">
        <v>0</v>
      </c>
      <c r="BH1261" s="3">
        <v>0</v>
      </c>
      <c r="BI1261" s="3">
        <v>0</v>
      </c>
      <c r="BJ1261" s="3">
        <v>0</v>
      </c>
      <c r="BK1261" s="3">
        <v>0</v>
      </c>
      <c r="BL1261" s="3">
        <v>0</v>
      </c>
      <c r="BM1261" s="3">
        <v>0</v>
      </c>
    </row>
    <row r="1262" spans="1:65" x14ac:dyDescent="0.25">
      <c r="A1262" s="2" t="s">
        <v>144</v>
      </c>
      <c r="B1262" s="4">
        <v>72</v>
      </c>
      <c r="C1262" s="4">
        <v>1</v>
      </c>
      <c r="D1262" s="4">
        <v>1</v>
      </c>
      <c r="E1262" s="4">
        <v>1</v>
      </c>
      <c r="F1262" s="4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1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1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1</v>
      </c>
      <c r="AG1262" s="3">
        <v>0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0</v>
      </c>
      <c r="AX1262" s="3">
        <v>0</v>
      </c>
      <c r="AY1262" s="3">
        <v>0</v>
      </c>
      <c r="AZ1262" s="3">
        <v>0</v>
      </c>
      <c r="BA1262" s="3">
        <v>0</v>
      </c>
      <c r="BB1262" s="3">
        <v>0</v>
      </c>
      <c r="BC1262" s="3">
        <v>0</v>
      </c>
      <c r="BD1262" s="3">
        <v>0</v>
      </c>
      <c r="BE1262" s="3">
        <v>0</v>
      </c>
      <c r="BF1262" s="3">
        <v>0</v>
      </c>
      <c r="BG1262" s="3">
        <v>0</v>
      </c>
      <c r="BH1262" s="3">
        <v>0</v>
      </c>
      <c r="BI1262" s="3">
        <v>0</v>
      </c>
      <c r="BJ1262" s="3">
        <v>0</v>
      </c>
      <c r="BK1262" s="3">
        <v>0</v>
      </c>
      <c r="BL1262" s="3">
        <v>0</v>
      </c>
      <c r="BM1262" s="3">
        <v>0</v>
      </c>
    </row>
    <row r="1263" spans="1:65" x14ac:dyDescent="0.25">
      <c r="A1263" s="2" t="s">
        <v>144</v>
      </c>
      <c r="B1263" s="4">
        <v>72</v>
      </c>
      <c r="C1263" s="4">
        <v>1</v>
      </c>
      <c r="D1263" s="4">
        <v>1</v>
      </c>
      <c r="E1263" s="4">
        <v>2</v>
      </c>
      <c r="F1263" s="4">
        <v>0</v>
      </c>
      <c r="G1263" s="3">
        <v>0</v>
      </c>
      <c r="H1263" s="3">
        <v>0</v>
      </c>
      <c r="I1263" s="3">
        <v>2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0</v>
      </c>
      <c r="AX1263" s="3">
        <v>0</v>
      </c>
      <c r="AY1263" s="3">
        <v>0</v>
      </c>
      <c r="AZ1263" s="3">
        <v>0</v>
      </c>
      <c r="BA1263" s="3">
        <v>0</v>
      </c>
      <c r="BB1263" s="3">
        <v>0</v>
      </c>
      <c r="BC1263" s="3">
        <v>0</v>
      </c>
      <c r="BD1263" s="3">
        <v>0</v>
      </c>
      <c r="BE1263" s="3">
        <v>1</v>
      </c>
      <c r="BF1263" s="3">
        <v>0</v>
      </c>
      <c r="BG1263" s="3">
        <v>0</v>
      </c>
      <c r="BH1263" s="3">
        <v>0</v>
      </c>
      <c r="BI1263" s="3">
        <v>0</v>
      </c>
      <c r="BJ1263" s="3">
        <v>0</v>
      </c>
      <c r="BK1263" s="3">
        <v>0</v>
      </c>
      <c r="BL1263" s="3">
        <v>0</v>
      </c>
      <c r="BM1263" s="3">
        <v>0</v>
      </c>
    </row>
    <row r="1264" spans="1:65" x14ac:dyDescent="0.25">
      <c r="A1264" s="2" t="s">
        <v>144</v>
      </c>
      <c r="B1264" s="4">
        <v>72</v>
      </c>
      <c r="C1264" s="4">
        <v>1</v>
      </c>
      <c r="D1264" s="4">
        <v>1</v>
      </c>
      <c r="E1264" s="4">
        <v>3</v>
      </c>
      <c r="F1264" s="4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1</v>
      </c>
      <c r="AS1264" s="3">
        <v>0</v>
      </c>
      <c r="AT1264" s="3">
        <v>0</v>
      </c>
      <c r="AU1264" s="3">
        <v>0</v>
      </c>
      <c r="AV1264" s="3">
        <v>0</v>
      </c>
      <c r="AW1264" s="3">
        <v>0</v>
      </c>
      <c r="AX1264" s="3">
        <v>0</v>
      </c>
      <c r="AY1264" s="3">
        <v>0</v>
      </c>
      <c r="AZ1264" s="3">
        <v>0</v>
      </c>
      <c r="BA1264" s="3">
        <v>0</v>
      </c>
      <c r="BB1264" s="3">
        <v>0</v>
      </c>
      <c r="BC1264" s="3">
        <v>0</v>
      </c>
      <c r="BD1264" s="3">
        <v>0</v>
      </c>
      <c r="BE1264" s="3">
        <v>0</v>
      </c>
      <c r="BF1264" s="3">
        <v>0</v>
      </c>
      <c r="BG1264" s="3">
        <v>0</v>
      </c>
      <c r="BH1264" s="3">
        <v>0</v>
      </c>
      <c r="BI1264" s="3">
        <v>0</v>
      </c>
      <c r="BJ1264" s="3">
        <v>1</v>
      </c>
      <c r="BK1264" s="3">
        <v>0</v>
      </c>
      <c r="BL1264" s="3">
        <v>0</v>
      </c>
      <c r="BM1264" s="3">
        <v>0</v>
      </c>
    </row>
    <row r="1265" spans="1:65" x14ac:dyDescent="0.25">
      <c r="A1265" s="2" t="s">
        <v>144</v>
      </c>
      <c r="B1265" s="4">
        <v>72</v>
      </c>
      <c r="C1265" s="4">
        <v>1</v>
      </c>
      <c r="D1265" s="4">
        <v>2</v>
      </c>
      <c r="E1265" s="4">
        <v>1</v>
      </c>
      <c r="F1265" s="4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1</v>
      </c>
      <c r="AC1265" s="3">
        <v>0</v>
      </c>
      <c r="AD1265" s="3">
        <v>0</v>
      </c>
      <c r="AE1265" s="3">
        <v>0</v>
      </c>
      <c r="AF1265" s="3">
        <v>2</v>
      </c>
      <c r="AG1265" s="3">
        <v>0</v>
      </c>
      <c r="AH1265" s="3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3">
        <v>0</v>
      </c>
      <c r="AY1265" s="3">
        <v>0</v>
      </c>
      <c r="AZ1265" s="3">
        <v>0</v>
      </c>
      <c r="BA1265" s="3">
        <v>0</v>
      </c>
      <c r="BB1265" s="3">
        <v>0</v>
      </c>
      <c r="BC1265" s="3">
        <v>0</v>
      </c>
      <c r="BD1265" s="3">
        <v>0</v>
      </c>
      <c r="BE1265" s="3">
        <v>0</v>
      </c>
      <c r="BF1265" s="3">
        <v>0</v>
      </c>
      <c r="BG1265" s="3">
        <v>0</v>
      </c>
      <c r="BH1265" s="3">
        <v>0</v>
      </c>
      <c r="BI1265" s="3">
        <v>0</v>
      </c>
      <c r="BJ1265" s="3">
        <v>0</v>
      </c>
      <c r="BK1265" s="3">
        <v>0</v>
      </c>
      <c r="BL1265" s="3">
        <v>1</v>
      </c>
      <c r="BM1265" s="3">
        <v>0</v>
      </c>
    </row>
    <row r="1266" spans="1:65" x14ac:dyDescent="0.25">
      <c r="A1266" s="2" t="s">
        <v>144</v>
      </c>
      <c r="B1266" s="4">
        <v>72</v>
      </c>
      <c r="C1266" s="4">
        <v>1</v>
      </c>
      <c r="D1266" s="4">
        <v>2</v>
      </c>
      <c r="E1266" s="4">
        <v>2</v>
      </c>
      <c r="F1266" s="4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0</v>
      </c>
      <c r="BD1266" s="3">
        <v>0</v>
      </c>
      <c r="BE1266" s="3">
        <v>0</v>
      </c>
      <c r="BF1266" s="3">
        <v>0</v>
      </c>
      <c r="BG1266" s="3">
        <v>0</v>
      </c>
      <c r="BH1266" s="3">
        <v>0</v>
      </c>
      <c r="BI1266" s="3">
        <v>0</v>
      </c>
      <c r="BJ1266" s="3">
        <v>0</v>
      </c>
      <c r="BK1266" s="3">
        <v>0</v>
      </c>
      <c r="BL1266" s="3">
        <v>0</v>
      </c>
      <c r="BM1266" s="3">
        <v>0</v>
      </c>
    </row>
    <row r="1267" spans="1:65" x14ac:dyDescent="0.25">
      <c r="A1267" s="2" t="s">
        <v>144</v>
      </c>
      <c r="B1267" s="4">
        <v>72</v>
      </c>
      <c r="C1267" s="4">
        <v>1</v>
      </c>
      <c r="D1267" s="4">
        <v>2</v>
      </c>
      <c r="E1267" s="4">
        <v>3</v>
      </c>
      <c r="F1267" s="4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0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0</v>
      </c>
      <c r="BD1267" s="3">
        <v>0</v>
      </c>
      <c r="BE1267" s="3">
        <v>0</v>
      </c>
      <c r="BF1267" s="3">
        <v>0</v>
      </c>
      <c r="BG1267" s="3">
        <v>0</v>
      </c>
      <c r="BH1267" s="3">
        <v>0</v>
      </c>
      <c r="BI1267" s="3">
        <v>0</v>
      </c>
      <c r="BJ1267" s="3">
        <v>0</v>
      </c>
      <c r="BK1267" s="3">
        <v>0</v>
      </c>
      <c r="BL1267" s="3">
        <v>0</v>
      </c>
      <c r="BM1267" s="3">
        <v>0</v>
      </c>
    </row>
    <row r="1268" spans="1:65" x14ac:dyDescent="0.25">
      <c r="A1268" s="2" t="s">
        <v>144</v>
      </c>
      <c r="B1268" s="4">
        <v>72</v>
      </c>
      <c r="C1268" s="4">
        <v>1</v>
      </c>
      <c r="D1268" s="4">
        <v>3</v>
      </c>
      <c r="E1268" s="4">
        <v>1</v>
      </c>
      <c r="F1268" s="4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1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0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0</v>
      </c>
      <c r="BD1268" s="3">
        <v>0</v>
      </c>
      <c r="BE1268" s="3">
        <v>0</v>
      </c>
      <c r="BF1268" s="3">
        <v>0</v>
      </c>
      <c r="BG1268" s="3">
        <v>0</v>
      </c>
      <c r="BH1268" s="3">
        <v>0</v>
      </c>
      <c r="BI1268" s="3">
        <v>0</v>
      </c>
      <c r="BJ1268" s="3">
        <v>0</v>
      </c>
      <c r="BK1268" s="3">
        <v>0</v>
      </c>
      <c r="BL1268" s="3">
        <v>1</v>
      </c>
      <c r="BM1268" s="3">
        <v>0</v>
      </c>
    </row>
    <row r="1269" spans="1:65" x14ac:dyDescent="0.25">
      <c r="A1269" s="2" t="s">
        <v>144</v>
      </c>
      <c r="B1269" s="4">
        <v>72</v>
      </c>
      <c r="C1269" s="4">
        <v>1</v>
      </c>
      <c r="D1269" s="4">
        <v>3</v>
      </c>
      <c r="E1269" s="4">
        <v>2</v>
      </c>
      <c r="F1269" s="4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3">
        <v>0</v>
      </c>
      <c r="AV1269" s="3">
        <v>0</v>
      </c>
      <c r="AW1269" s="3">
        <v>0</v>
      </c>
      <c r="AX1269" s="3">
        <v>0</v>
      </c>
      <c r="AY1269" s="3">
        <v>0</v>
      </c>
      <c r="AZ1269" s="3">
        <v>0</v>
      </c>
      <c r="BA1269" s="3">
        <v>0</v>
      </c>
      <c r="BB1269" s="3">
        <v>0</v>
      </c>
      <c r="BC1269" s="3">
        <v>0</v>
      </c>
      <c r="BD1269" s="3">
        <v>0</v>
      </c>
      <c r="BE1269" s="3">
        <v>0</v>
      </c>
      <c r="BF1269" s="3">
        <v>0</v>
      </c>
      <c r="BG1269" s="3">
        <v>0</v>
      </c>
      <c r="BH1269" s="3">
        <v>0</v>
      </c>
      <c r="BI1269" s="3">
        <v>0</v>
      </c>
      <c r="BJ1269" s="3">
        <v>0</v>
      </c>
      <c r="BK1269" s="3">
        <v>0</v>
      </c>
      <c r="BL1269" s="3">
        <v>0</v>
      </c>
      <c r="BM1269" s="3">
        <v>0</v>
      </c>
    </row>
    <row r="1270" spans="1:65" x14ac:dyDescent="0.25">
      <c r="A1270" s="2" t="s">
        <v>144</v>
      </c>
      <c r="B1270" s="4">
        <v>72</v>
      </c>
      <c r="C1270" s="4">
        <v>1</v>
      </c>
      <c r="D1270" s="4">
        <v>3</v>
      </c>
      <c r="E1270" s="4">
        <v>3</v>
      </c>
      <c r="F1270" s="4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0</v>
      </c>
      <c r="AX1270" s="3">
        <v>0</v>
      </c>
      <c r="AY1270" s="3">
        <v>0</v>
      </c>
      <c r="AZ1270" s="3">
        <v>0</v>
      </c>
      <c r="BA1270" s="3">
        <v>0</v>
      </c>
      <c r="BB1270" s="3">
        <v>0</v>
      </c>
      <c r="BC1270" s="3">
        <v>0</v>
      </c>
      <c r="BD1270" s="3">
        <v>0</v>
      </c>
      <c r="BE1270" s="3">
        <v>0</v>
      </c>
      <c r="BF1270" s="3">
        <v>0</v>
      </c>
      <c r="BG1270" s="3">
        <v>0</v>
      </c>
      <c r="BH1270" s="3">
        <v>0</v>
      </c>
      <c r="BI1270" s="3">
        <v>0</v>
      </c>
      <c r="BJ1270" s="3">
        <v>0</v>
      </c>
      <c r="BK1270" s="3">
        <v>0</v>
      </c>
      <c r="BL1270" s="3">
        <v>0</v>
      </c>
      <c r="BM1270" s="3">
        <v>0</v>
      </c>
    </row>
    <row r="1271" spans="1:65" x14ac:dyDescent="0.25">
      <c r="A1271" s="2" t="s">
        <v>144</v>
      </c>
      <c r="B1271" s="4">
        <v>72</v>
      </c>
      <c r="C1271" s="4">
        <v>2</v>
      </c>
      <c r="D1271" s="4">
        <v>1</v>
      </c>
      <c r="E1271" s="4">
        <v>1</v>
      </c>
      <c r="F1271" s="6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1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1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  <c r="BA1271" s="3">
        <v>0</v>
      </c>
      <c r="BB1271" s="3">
        <v>0</v>
      </c>
      <c r="BC1271" s="3">
        <v>0</v>
      </c>
      <c r="BD1271" s="3">
        <v>0</v>
      </c>
      <c r="BE1271" s="3">
        <v>0</v>
      </c>
      <c r="BF1271" s="3">
        <v>0</v>
      </c>
      <c r="BG1271" s="3">
        <v>0</v>
      </c>
      <c r="BH1271" s="3">
        <v>0</v>
      </c>
      <c r="BI1271" s="3">
        <v>0</v>
      </c>
      <c r="BJ1271" s="3">
        <v>0</v>
      </c>
      <c r="BK1271" s="3">
        <v>0</v>
      </c>
      <c r="BL1271" s="3">
        <v>2</v>
      </c>
      <c r="BM1271" s="3">
        <v>0</v>
      </c>
    </row>
    <row r="1272" spans="1:65" x14ac:dyDescent="0.25">
      <c r="A1272" s="2" t="s">
        <v>144</v>
      </c>
      <c r="B1272" s="4">
        <v>72</v>
      </c>
      <c r="C1272" s="4">
        <v>2</v>
      </c>
      <c r="D1272" s="4">
        <v>1</v>
      </c>
      <c r="E1272" s="4">
        <v>2</v>
      </c>
      <c r="F1272" s="6">
        <v>0</v>
      </c>
      <c r="G1272" s="3">
        <v>0</v>
      </c>
      <c r="H1272" s="3">
        <v>0</v>
      </c>
      <c r="I1272" s="3">
        <v>1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1</v>
      </c>
      <c r="AC1272" s="3">
        <v>0</v>
      </c>
      <c r="AD1272" s="3">
        <v>0</v>
      </c>
      <c r="AE1272" s="3">
        <v>0</v>
      </c>
      <c r="AF1272" s="3">
        <v>1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  <c r="BA1272" s="3">
        <v>0</v>
      </c>
      <c r="BB1272" s="3">
        <v>0</v>
      </c>
      <c r="BC1272" s="3">
        <v>0</v>
      </c>
      <c r="BD1272" s="3">
        <v>0</v>
      </c>
      <c r="BE1272" s="3">
        <v>0</v>
      </c>
      <c r="BF1272" s="3">
        <v>0</v>
      </c>
      <c r="BG1272" s="3">
        <v>0</v>
      </c>
      <c r="BH1272" s="3">
        <v>0</v>
      </c>
      <c r="BI1272" s="3">
        <v>0</v>
      </c>
      <c r="BJ1272" s="3">
        <v>0</v>
      </c>
      <c r="BK1272" s="3">
        <v>0</v>
      </c>
      <c r="BL1272" s="3">
        <v>1</v>
      </c>
      <c r="BM1272" s="3">
        <v>0</v>
      </c>
    </row>
    <row r="1273" spans="1:65" x14ac:dyDescent="0.25">
      <c r="A1273" s="2" t="s">
        <v>144</v>
      </c>
      <c r="B1273" s="4">
        <v>72</v>
      </c>
      <c r="C1273" s="4">
        <v>2</v>
      </c>
      <c r="D1273" s="4">
        <v>1</v>
      </c>
      <c r="E1273" s="4">
        <v>3</v>
      </c>
      <c r="F1273" s="6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1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  <c r="BA1273" s="3">
        <v>0</v>
      </c>
      <c r="BB1273" s="3">
        <v>0</v>
      </c>
      <c r="BC1273" s="3">
        <v>0</v>
      </c>
      <c r="BD1273" s="3">
        <v>0</v>
      </c>
      <c r="BE1273" s="3">
        <v>0</v>
      </c>
      <c r="BF1273" s="3">
        <v>0</v>
      </c>
      <c r="BG1273" s="3">
        <v>0</v>
      </c>
      <c r="BH1273" s="3">
        <v>0</v>
      </c>
      <c r="BI1273" s="3">
        <v>0</v>
      </c>
      <c r="BJ1273" s="3">
        <v>0</v>
      </c>
      <c r="BK1273" s="3">
        <v>0</v>
      </c>
      <c r="BL1273" s="3">
        <v>0</v>
      </c>
      <c r="BM1273" s="3">
        <v>0</v>
      </c>
    </row>
    <row r="1274" spans="1:65" x14ac:dyDescent="0.25">
      <c r="A1274" s="2" t="s">
        <v>144</v>
      </c>
      <c r="B1274" s="4">
        <v>72</v>
      </c>
      <c r="C1274" s="4">
        <v>2</v>
      </c>
      <c r="D1274" s="4">
        <v>2</v>
      </c>
      <c r="E1274" s="4">
        <v>1</v>
      </c>
      <c r="F1274" s="6">
        <v>0</v>
      </c>
      <c r="G1274" s="3">
        <v>1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0</v>
      </c>
      <c r="BD1274" s="3">
        <v>0</v>
      </c>
      <c r="BE1274" s="3">
        <v>0</v>
      </c>
      <c r="BF1274" s="3">
        <v>0</v>
      </c>
      <c r="BG1274" s="3">
        <v>0</v>
      </c>
      <c r="BH1274" s="3">
        <v>0</v>
      </c>
      <c r="BI1274" s="3">
        <v>0</v>
      </c>
      <c r="BJ1274" s="3">
        <v>0</v>
      </c>
      <c r="BK1274" s="3">
        <v>0</v>
      </c>
      <c r="BL1274" s="3">
        <v>0</v>
      </c>
      <c r="BM1274" s="3">
        <v>0</v>
      </c>
    </row>
    <row r="1275" spans="1:65" x14ac:dyDescent="0.25">
      <c r="A1275" s="2" t="s">
        <v>144</v>
      </c>
      <c r="B1275" s="4">
        <v>72</v>
      </c>
      <c r="C1275" s="4">
        <v>2</v>
      </c>
      <c r="D1275" s="4">
        <v>2</v>
      </c>
      <c r="E1275" s="4">
        <v>2</v>
      </c>
      <c r="F1275" s="6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0</v>
      </c>
      <c r="AX1275" s="3">
        <v>0</v>
      </c>
      <c r="AY1275" s="3">
        <v>0</v>
      </c>
      <c r="AZ1275" s="3">
        <v>0</v>
      </c>
      <c r="BA1275" s="3">
        <v>0</v>
      </c>
      <c r="BB1275" s="3">
        <v>0</v>
      </c>
      <c r="BC1275" s="3">
        <v>0</v>
      </c>
      <c r="BD1275" s="3">
        <v>0</v>
      </c>
      <c r="BE1275" s="3">
        <v>0</v>
      </c>
      <c r="BF1275" s="3">
        <v>0</v>
      </c>
      <c r="BG1275" s="3">
        <v>0</v>
      </c>
      <c r="BH1275" s="3">
        <v>0</v>
      </c>
      <c r="BI1275" s="3">
        <v>0</v>
      </c>
      <c r="BJ1275" s="3">
        <v>0</v>
      </c>
      <c r="BK1275" s="3">
        <v>0</v>
      </c>
      <c r="BL1275" s="3">
        <v>0</v>
      </c>
      <c r="BM1275" s="3">
        <v>0</v>
      </c>
    </row>
    <row r="1276" spans="1:65" x14ac:dyDescent="0.25">
      <c r="A1276" s="2" t="s">
        <v>144</v>
      </c>
      <c r="B1276" s="4">
        <v>72</v>
      </c>
      <c r="C1276" s="4">
        <v>2</v>
      </c>
      <c r="D1276" s="4">
        <v>2</v>
      </c>
      <c r="E1276" s="4">
        <v>3</v>
      </c>
      <c r="F1276" s="6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3">
        <v>0</v>
      </c>
      <c r="AW1276" s="3">
        <v>0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0</v>
      </c>
      <c r="BD1276" s="3">
        <v>0</v>
      </c>
      <c r="BE1276" s="3">
        <v>0</v>
      </c>
      <c r="BF1276" s="3">
        <v>0</v>
      </c>
      <c r="BG1276" s="3">
        <v>0</v>
      </c>
      <c r="BH1276" s="3">
        <v>0</v>
      </c>
      <c r="BI1276" s="3">
        <v>0</v>
      </c>
      <c r="BJ1276" s="3">
        <v>0</v>
      </c>
      <c r="BK1276" s="3">
        <v>0</v>
      </c>
      <c r="BL1276" s="3">
        <v>0</v>
      </c>
      <c r="BM1276" s="3">
        <v>0</v>
      </c>
    </row>
    <row r="1277" spans="1:65" x14ac:dyDescent="0.25">
      <c r="A1277" s="2" t="s">
        <v>144</v>
      </c>
      <c r="B1277" s="4">
        <v>72</v>
      </c>
      <c r="C1277" s="4">
        <v>2</v>
      </c>
      <c r="D1277" s="4">
        <v>3</v>
      </c>
      <c r="E1277" s="4">
        <v>1</v>
      </c>
      <c r="F1277" s="6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1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3">
        <v>0</v>
      </c>
      <c r="AV1277" s="3">
        <v>0</v>
      </c>
      <c r="AW1277" s="3">
        <v>0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0</v>
      </c>
      <c r="BD1277" s="3">
        <v>1</v>
      </c>
      <c r="BE1277" s="3">
        <v>0</v>
      </c>
      <c r="BF1277" s="3">
        <v>0</v>
      </c>
      <c r="BG1277" s="3">
        <v>0</v>
      </c>
      <c r="BH1277" s="3">
        <v>0</v>
      </c>
      <c r="BI1277" s="3">
        <v>0</v>
      </c>
      <c r="BJ1277" s="3">
        <v>0</v>
      </c>
      <c r="BK1277" s="3">
        <v>0</v>
      </c>
      <c r="BL1277" s="3">
        <v>0</v>
      </c>
      <c r="BM1277" s="3">
        <v>0</v>
      </c>
    </row>
    <row r="1278" spans="1:65" x14ac:dyDescent="0.25">
      <c r="A1278" s="2" t="s">
        <v>144</v>
      </c>
      <c r="B1278" s="4">
        <v>72</v>
      </c>
      <c r="C1278" s="4">
        <v>2</v>
      </c>
      <c r="D1278" s="4">
        <v>3</v>
      </c>
      <c r="E1278" s="4">
        <v>2</v>
      </c>
      <c r="F1278" s="6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1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  <c r="AV1278" s="3">
        <v>1</v>
      </c>
      <c r="AW1278" s="3">
        <v>0</v>
      </c>
      <c r="AX1278" s="3">
        <v>0</v>
      </c>
      <c r="AY1278" s="3">
        <v>0</v>
      </c>
      <c r="AZ1278" s="3">
        <v>0</v>
      </c>
      <c r="BA1278" s="3">
        <v>0</v>
      </c>
      <c r="BB1278" s="3">
        <v>0</v>
      </c>
      <c r="BC1278" s="3">
        <v>0</v>
      </c>
      <c r="BD1278" s="3">
        <v>0</v>
      </c>
      <c r="BE1278" s="3">
        <v>0</v>
      </c>
      <c r="BF1278" s="3">
        <v>0</v>
      </c>
      <c r="BG1278" s="3">
        <v>0</v>
      </c>
      <c r="BH1278" s="3">
        <v>0</v>
      </c>
      <c r="BI1278" s="3">
        <v>0</v>
      </c>
      <c r="BJ1278" s="3">
        <v>0</v>
      </c>
      <c r="BK1278" s="3">
        <v>0</v>
      </c>
      <c r="BL1278" s="3">
        <v>0</v>
      </c>
      <c r="BM1278" s="3">
        <v>0</v>
      </c>
    </row>
    <row r="1279" spans="1:65" x14ac:dyDescent="0.25">
      <c r="A1279" s="2" t="s">
        <v>144</v>
      </c>
      <c r="B1279" s="4">
        <v>72</v>
      </c>
      <c r="C1279" s="4">
        <v>2</v>
      </c>
      <c r="D1279" s="4">
        <v>3</v>
      </c>
      <c r="E1279" s="4">
        <v>3</v>
      </c>
      <c r="F1279" s="6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3">
        <v>0</v>
      </c>
      <c r="AV1279" s="3">
        <v>0</v>
      </c>
      <c r="AW1279" s="3">
        <v>0</v>
      </c>
      <c r="AX1279" s="3">
        <v>0</v>
      </c>
      <c r="AY1279" s="3">
        <v>0</v>
      </c>
      <c r="AZ1279" s="3">
        <v>0</v>
      </c>
      <c r="BA1279" s="3">
        <v>0</v>
      </c>
      <c r="BB1279" s="3">
        <v>0</v>
      </c>
      <c r="BC1279" s="3">
        <v>0</v>
      </c>
      <c r="BD1279" s="3">
        <v>0</v>
      </c>
      <c r="BE1279" s="3">
        <v>0</v>
      </c>
      <c r="BF1279" s="3">
        <v>0</v>
      </c>
      <c r="BG1279" s="3">
        <v>0</v>
      </c>
      <c r="BH1279" s="3">
        <v>0</v>
      </c>
      <c r="BI1279" s="3">
        <v>0</v>
      </c>
      <c r="BJ1279" s="3">
        <v>0</v>
      </c>
      <c r="BK1279" s="3">
        <v>0</v>
      </c>
      <c r="BL1279" s="3">
        <v>0</v>
      </c>
      <c r="BM1279" s="3">
        <v>0</v>
      </c>
    </row>
    <row r="1280" spans="1:65" x14ac:dyDescent="0.25">
      <c r="A1280" s="2" t="s">
        <v>145</v>
      </c>
      <c r="B1280" s="4">
        <v>73</v>
      </c>
      <c r="C1280" s="4">
        <v>1</v>
      </c>
      <c r="D1280" s="4">
        <v>1</v>
      </c>
      <c r="E1280" s="4">
        <v>1</v>
      </c>
      <c r="F1280" s="4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1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2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3</v>
      </c>
      <c r="AG1280" s="3">
        <v>0</v>
      </c>
      <c r="AH1280" s="3">
        <v>0</v>
      </c>
      <c r="AI1280" s="3">
        <v>0</v>
      </c>
      <c r="AJ1280" s="3">
        <v>0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  <c r="AU1280" s="3">
        <v>0</v>
      </c>
      <c r="AV1280" s="3">
        <v>0</v>
      </c>
      <c r="AW1280" s="3">
        <v>0</v>
      </c>
      <c r="AX1280" s="3">
        <v>0</v>
      </c>
      <c r="AY1280" s="3">
        <v>0</v>
      </c>
      <c r="AZ1280" s="3">
        <v>0</v>
      </c>
      <c r="BA1280" s="3">
        <v>0</v>
      </c>
      <c r="BB1280" s="3">
        <v>0</v>
      </c>
      <c r="BC1280" s="3">
        <v>0</v>
      </c>
      <c r="BD1280" s="3">
        <v>0</v>
      </c>
      <c r="BE1280" s="3">
        <v>0</v>
      </c>
      <c r="BF1280" s="3">
        <v>0</v>
      </c>
      <c r="BG1280" s="3">
        <v>1</v>
      </c>
      <c r="BH1280" s="3">
        <v>0</v>
      </c>
      <c r="BI1280" s="3">
        <v>0</v>
      </c>
      <c r="BJ1280" s="3">
        <v>0</v>
      </c>
      <c r="BK1280" s="3">
        <v>0</v>
      </c>
      <c r="BL1280" s="3">
        <v>1</v>
      </c>
      <c r="BM1280" s="3">
        <v>0</v>
      </c>
    </row>
    <row r="1281" spans="1:65" x14ac:dyDescent="0.25">
      <c r="A1281" s="2" t="s">
        <v>145</v>
      </c>
      <c r="B1281" s="4">
        <v>73</v>
      </c>
      <c r="C1281" s="4">
        <v>1</v>
      </c>
      <c r="D1281" s="4">
        <v>1</v>
      </c>
      <c r="E1281" s="4">
        <v>2</v>
      </c>
      <c r="F1281" s="4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1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  <c r="AJ1281" s="3">
        <v>0</v>
      </c>
      <c r="AK1281" s="3">
        <v>0</v>
      </c>
      <c r="AL1281" s="3">
        <v>0</v>
      </c>
      <c r="AM1281" s="3">
        <v>0</v>
      </c>
      <c r="AN1281" s="3">
        <v>0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3">
        <v>0</v>
      </c>
      <c r="AW1281" s="3">
        <v>0</v>
      </c>
      <c r="AX1281" s="3">
        <v>0</v>
      </c>
      <c r="AY1281" s="3">
        <v>0</v>
      </c>
      <c r="AZ1281" s="3">
        <v>0</v>
      </c>
      <c r="BA1281" s="3">
        <v>0</v>
      </c>
      <c r="BB1281" s="3">
        <v>0</v>
      </c>
      <c r="BC1281" s="3">
        <v>0</v>
      </c>
      <c r="BD1281" s="3">
        <v>0</v>
      </c>
      <c r="BE1281" s="3">
        <v>0</v>
      </c>
      <c r="BF1281" s="3">
        <v>0</v>
      </c>
      <c r="BG1281" s="3">
        <v>0</v>
      </c>
      <c r="BH1281" s="3">
        <v>0</v>
      </c>
      <c r="BI1281" s="3">
        <v>0</v>
      </c>
      <c r="BJ1281" s="3">
        <v>0</v>
      </c>
      <c r="BK1281" s="3">
        <v>0</v>
      </c>
      <c r="BL1281" s="3">
        <v>1</v>
      </c>
      <c r="BM1281" s="3">
        <v>0</v>
      </c>
    </row>
    <row r="1282" spans="1:65" x14ac:dyDescent="0.25">
      <c r="A1282" s="2" t="s">
        <v>145</v>
      </c>
      <c r="B1282" s="4">
        <v>73</v>
      </c>
      <c r="C1282" s="4">
        <v>1</v>
      </c>
      <c r="D1282" s="4">
        <v>1</v>
      </c>
      <c r="E1282" s="4">
        <v>3</v>
      </c>
      <c r="F1282" s="4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0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3">
        <v>0</v>
      </c>
      <c r="AV1282" s="3">
        <v>0</v>
      </c>
      <c r="AW1282" s="3">
        <v>0</v>
      </c>
      <c r="AX1282" s="3">
        <v>0</v>
      </c>
      <c r="AY1282" s="3">
        <v>0</v>
      </c>
      <c r="AZ1282" s="3">
        <v>0</v>
      </c>
      <c r="BA1282" s="3">
        <v>0</v>
      </c>
      <c r="BB1282" s="3">
        <v>0</v>
      </c>
      <c r="BC1282" s="3">
        <v>0</v>
      </c>
      <c r="BD1282" s="3">
        <v>0</v>
      </c>
      <c r="BE1282" s="3">
        <v>0</v>
      </c>
      <c r="BF1282" s="3">
        <v>0</v>
      </c>
      <c r="BG1282" s="3">
        <v>0</v>
      </c>
      <c r="BH1282" s="3">
        <v>0</v>
      </c>
      <c r="BI1282" s="3">
        <v>0</v>
      </c>
      <c r="BJ1282" s="3">
        <v>0</v>
      </c>
      <c r="BK1282" s="3">
        <v>0</v>
      </c>
      <c r="BL1282" s="3">
        <v>0</v>
      </c>
      <c r="BM1282" s="3">
        <v>0</v>
      </c>
    </row>
    <row r="1283" spans="1:65" x14ac:dyDescent="0.25">
      <c r="A1283" s="2" t="s">
        <v>145</v>
      </c>
      <c r="B1283" s="4">
        <v>73</v>
      </c>
      <c r="C1283" s="4">
        <v>1</v>
      </c>
      <c r="D1283" s="4">
        <v>2</v>
      </c>
      <c r="E1283" s="4">
        <v>1</v>
      </c>
      <c r="F1283" s="4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V1283" s="3">
        <v>0</v>
      </c>
      <c r="AW1283" s="3">
        <v>0</v>
      </c>
      <c r="AX1283" s="3">
        <v>0</v>
      </c>
      <c r="AY1283" s="3">
        <v>0</v>
      </c>
      <c r="AZ1283" s="3">
        <v>0</v>
      </c>
      <c r="BA1283" s="3">
        <v>0</v>
      </c>
      <c r="BB1283" s="3">
        <v>0</v>
      </c>
      <c r="BC1283" s="3">
        <v>0</v>
      </c>
      <c r="BD1283" s="3">
        <v>0</v>
      </c>
      <c r="BE1283" s="3">
        <v>0</v>
      </c>
      <c r="BF1283" s="3">
        <v>0</v>
      </c>
      <c r="BG1283" s="3">
        <v>0</v>
      </c>
      <c r="BH1283" s="3">
        <v>0</v>
      </c>
      <c r="BI1283" s="3">
        <v>0</v>
      </c>
      <c r="BJ1283" s="3">
        <v>0</v>
      </c>
      <c r="BK1283" s="3">
        <v>0</v>
      </c>
      <c r="BL1283" s="3">
        <v>0</v>
      </c>
      <c r="BM1283" s="3">
        <v>0</v>
      </c>
    </row>
    <row r="1284" spans="1:65" x14ac:dyDescent="0.25">
      <c r="A1284" s="2" t="s">
        <v>145</v>
      </c>
      <c r="B1284" s="4">
        <v>73</v>
      </c>
      <c r="C1284" s="4">
        <v>1</v>
      </c>
      <c r="D1284" s="4">
        <v>2</v>
      </c>
      <c r="E1284" s="4">
        <v>2</v>
      </c>
      <c r="F1284" s="4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1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  <c r="AV1284" s="3">
        <v>0</v>
      </c>
      <c r="AW1284" s="3">
        <v>0</v>
      </c>
      <c r="AX1284" s="3">
        <v>0</v>
      </c>
      <c r="AY1284" s="3">
        <v>0</v>
      </c>
      <c r="AZ1284" s="3">
        <v>0</v>
      </c>
      <c r="BA1284" s="3">
        <v>0</v>
      </c>
      <c r="BB1284" s="3">
        <v>0</v>
      </c>
      <c r="BC1284" s="3">
        <v>0</v>
      </c>
      <c r="BD1284" s="3">
        <v>0</v>
      </c>
      <c r="BE1284" s="3">
        <v>0</v>
      </c>
      <c r="BF1284" s="3">
        <v>0</v>
      </c>
      <c r="BG1284" s="3">
        <v>0</v>
      </c>
      <c r="BH1284" s="3">
        <v>0</v>
      </c>
      <c r="BI1284" s="3">
        <v>0</v>
      </c>
      <c r="BJ1284" s="3">
        <v>0</v>
      </c>
      <c r="BK1284" s="3">
        <v>0</v>
      </c>
      <c r="BL1284" s="3">
        <v>0</v>
      </c>
      <c r="BM1284" s="3">
        <v>0</v>
      </c>
    </row>
    <row r="1285" spans="1:65" x14ac:dyDescent="0.25">
      <c r="A1285" s="2" t="s">
        <v>145</v>
      </c>
      <c r="B1285" s="4">
        <v>73</v>
      </c>
      <c r="C1285" s="4">
        <v>1</v>
      </c>
      <c r="D1285" s="4">
        <v>2</v>
      </c>
      <c r="E1285" s="4">
        <v>3</v>
      </c>
      <c r="F1285" s="4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3">
        <v>0</v>
      </c>
      <c r="AW1285" s="3">
        <v>0</v>
      </c>
      <c r="AX1285" s="3">
        <v>0</v>
      </c>
      <c r="AY1285" s="3">
        <v>0</v>
      </c>
      <c r="AZ1285" s="3">
        <v>0</v>
      </c>
      <c r="BA1285" s="3">
        <v>0</v>
      </c>
      <c r="BB1285" s="3">
        <v>0</v>
      </c>
      <c r="BC1285" s="3">
        <v>0</v>
      </c>
      <c r="BD1285" s="3">
        <v>0</v>
      </c>
      <c r="BE1285" s="3">
        <v>0</v>
      </c>
      <c r="BF1285" s="3">
        <v>0</v>
      </c>
      <c r="BG1285" s="3">
        <v>0</v>
      </c>
      <c r="BH1285" s="3">
        <v>0</v>
      </c>
      <c r="BI1285" s="3">
        <v>0</v>
      </c>
      <c r="BJ1285" s="3">
        <v>0</v>
      </c>
      <c r="BK1285" s="3">
        <v>0</v>
      </c>
      <c r="BL1285" s="3">
        <v>0</v>
      </c>
      <c r="BM1285" s="3">
        <v>0</v>
      </c>
    </row>
    <row r="1286" spans="1:65" x14ac:dyDescent="0.25">
      <c r="A1286" s="2" t="s">
        <v>145</v>
      </c>
      <c r="B1286" s="4">
        <v>73</v>
      </c>
      <c r="C1286" s="4">
        <v>1</v>
      </c>
      <c r="D1286" s="4">
        <v>3</v>
      </c>
      <c r="E1286" s="4">
        <v>1</v>
      </c>
      <c r="F1286" s="4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  <c r="AV1286" s="3">
        <v>0</v>
      </c>
      <c r="AW1286" s="3">
        <v>0</v>
      </c>
      <c r="AX1286" s="3">
        <v>0</v>
      </c>
      <c r="AY1286" s="3">
        <v>0</v>
      </c>
      <c r="AZ1286" s="3">
        <v>0</v>
      </c>
      <c r="BA1286" s="3">
        <v>0</v>
      </c>
      <c r="BB1286" s="3">
        <v>0</v>
      </c>
      <c r="BC1286" s="3">
        <v>0</v>
      </c>
      <c r="BD1286" s="3">
        <v>0</v>
      </c>
      <c r="BE1286" s="3">
        <v>0</v>
      </c>
      <c r="BF1286" s="3">
        <v>0</v>
      </c>
      <c r="BG1286" s="3">
        <v>0</v>
      </c>
      <c r="BH1286" s="3">
        <v>0</v>
      </c>
      <c r="BI1286" s="3">
        <v>0</v>
      </c>
      <c r="BJ1286" s="3">
        <v>0</v>
      </c>
      <c r="BK1286" s="3">
        <v>0</v>
      </c>
      <c r="BL1286" s="3">
        <v>0</v>
      </c>
      <c r="BM1286" s="3">
        <v>0</v>
      </c>
    </row>
    <row r="1287" spans="1:65" x14ac:dyDescent="0.25">
      <c r="A1287" s="2" t="s">
        <v>145</v>
      </c>
      <c r="B1287" s="4">
        <v>73</v>
      </c>
      <c r="C1287" s="4">
        <v>1</v>
      </c>
      <c r="D1287" s="4">
        <v>3</v>
      </c>
      <c r="E1287" s="4">
        <v>2</v>
      </c>
      <c r="F1287" s="4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3">
        <v>0</v>
      </c>
      <c r="AQ1287" s="3">
        <v>0</v>
      </c>
      <c r="AR1287" s="3">
        <v>0</v>
      </c>
      <c r="AS1287" s="3">
        <v>0</v>
      </c>
      <c r="AT1287" s="3">
        <v>0</v>
      </c>
      <c r="AU1287" s="3">
        <v>0</v>
      </c>
      <c r="AV1287" s="3">
        <v>0</v>
      </c>
      <c r="AW1287" s="3">
        <v>0</v>
      </c>
      <c r="AX1287" s="3">
        <v>0</v>
      </c>
      <c r="AY1287" s="3">
        <v>0</v>
      </c>
      <c r="AZ1287" s="3">
        <v>0</v>
      </c>
      <c r="BA1287" s="3">
        <v>0</v>
      </c>
      <c r="BB1287" s="3">
        <v>0</v>
      </c>
      <c r="BC1287" s="3">
        <v>0</v>
      </c>
      <c r="BD1287" s="3">
        <v>0</v>
      </c>
      <c r="BE1287" s="3">
        <v>0</v>
      </c>
      <c r="BF1287" s="3">
        <v>0</v>
      </c>
      <c r="BG1287" s="3">
        <v>0</v>
      </c>
      <c r="BH1287" s="3">
        <v>0</v>
      </c>
      <c r="BI1287" s="3">
        <v>0</v>
      </c>
      <c r="BJ1287" s="3">
        <v>0</v>
      </c>
      <c r="BK1287" s="3">
        <v>0</v>
      </c>
      <c r="BL1287" s="3">
        <v>0</v>
      </c>
      <c r="BM1287" s="3">
        <v>0</v>
      </c>
    </row>
    <row r="1288" spans="1:65" x14ac:dyDescent="0.25">
      <c r="A1288" s="2" t="s">
        <v>145</v>
      </c>
      <c r="B1288" s="4">
        <v>73</v>
      </c>
      <c r="C1288" s="4">
        <v>1</v>
      </c>
      <c r="D1288" s="4">
        <v>3</v>
      </c>
      <c r="E1288" s="4">
        <v>3</v>
      </c>
      <c r="F1288" s="4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V1288" s="3">
        <v>0</v>
      </c>
      <c r="AW1288" s="3">
        <v>0</v>
      </c>
      <c r="AX1288" s="3">
        <v>0</v>
      </c>
      <c r="AY1288" s="3">
        <v>0</v>
      </c>
      <c r="AZ1288" s="3">
        <v>0</v>
      </c>
      <c r="BA1288" s="3">
        <v>0</v>
      </c>
      <c r="BB1288" s="3">
        <v>0</v>
      </c>
      <c r="BC1288" s="3">
        <v>0</v>
      </c>
      <c r="BD1288" s="3">
        <v>0</v>
      </c>
      <c r="BE1288" s="3">
        <v>0</v>
      </c>
      <c r="BF1288" s="3">
        <v>0</v>
      </c>
      <c r="BG1288" s="3">
        <v>0</v>
      </c>
      <c r="BH1288" s="3">
        <v>0</v>
      </c>
      <c r="BI1288" s="3">
        <v>0</v>
      </c>
      <c r="BJ1288" s="3">
        <v>0</v>
      </c>
      <c r="BK1288" s="3">
        <v>0</v>
      </c>
      <c r="BL1288" s="3">
        <v>0</v>
      </c>
      <c r="BM1288" s="3">
        <v>0</v>
      </c>
    </row>
    <row r="1289" spans="1:65" x14ac:dyDescent="0.25">
      <c r="A1289" s="2" t="s">
        <v>145</v>
      </c>
      <c r="B1289" s="4">
        <v>73</v>
      </c>
      <c r="C1289" s="4">
        <v>2</v>
      </c>
      <c r="D1289" s="4">
        <v>1</v>
      </c>
      <c r="E1289" s="4">
        <v>1</v>
      </c>
      <c r="F1289" s="6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1</v>
      </c>
      <c r="Z1289" s="3">
        <v>0</v>
      </c>
      <c r="AA1289" s="3">
        <v>0</v>
      </c>
      <c r="AB1289" s="3">
        <v>1</v>
      </c>
      <c r="AC1289" s="3">
        <v>0</v>
      </c>
      <c r="AD1289" s="3">
        <v>0</v>
      </c>
      <c r="AE1289" s="3">
        <v>0</v>
      </c>
      <c r="AF1289" s="3">
        <v>2</v>
      </c>
      <c r="AG1289" s="3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0</v>
      </c>
      <c r="AX1289" s="3">
        <v>0</v>
      </c>
      <c r="AY1289" s="3">
        <v>0</v>
      </c>
      <c r="AZ1289" s="3">
        <v>0</v>
      </c>
      <c r="BA1289" s="3">
        <v>0</v>
      </c>
      <c r="BB1289" s="3">
        <v>0</v>
      </c>
      <c r="BC1289" s="3">
        <v>0</v>
      </c>
      <c r="BD1289" s="3">
        <v>0</v>
      </c>
      <c r="BE1289" s="3">
        <v>0</v>
      </c>
      <c r="BF1289" s="3">
        <v>0</v>
      </c>
      <c r="BG1289" s="3">
        <v>0</v>
      </c>
      <c r="BH1289" s="3">
        <v>0</v>
      </c>
      <c r="BI1289" s="3">
        <v>0</v>
      </c>
      <c r="BJ1289" s="3">
        <v>0</v>
      </c>
      <c r="BK1289" s="3">
        <v>0</v>
      </c>
      <c r="BL1289" s="3">
        <v>2</v>
      </c>
      <c r="BM1289" s="3">
        <v>0</v>
      </c>
    </row>
    <row r="1290" spans="1:65" x14ac:dyDescent="0.25">
      <c r="A1290" s="2" t="s">
        <v>145</v>
      </c>
      <c r="B1290" s="4">
        <v>73</v>
      </c>
      <c r="C1290" s="4">
        <v>2</v>
      </c>
      <c r="D1290" s="4">
        <v>1</v>
      </c>
      <c r="E1290" s="4">
        <v>2</v>
      </c>
      <c r="F1290" s="6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2</v>
      </c>
      <c r="AG1290" s="3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  <c r="AT1290" s="3">
        <v>0</v>
      </c>
      <c r="AU1290" s="3">
        <v>0</v>
      </c>
      <c r="AV1290" s="3">
        <v>0</v>
      </c>
      <c r="AW1290" s="3">
        <v>0</v>
      </c>
      <c r="AX1290" s="3">
        <v>0</v>
      </c>
      <c r="AY1290" s="3">
        <v>0</v>
      </c>
      <c r="AZ1290" s="3">
        <v>0</v>
      </c>
      <c r="BA1290" s="3">
        <v>0</v>
      </c>
      <c r="BB1290" s="3">
        <v>0</v>
      </c>
      <c r="BC1290" s="3">
        <v>0</v>
      </c>
      <c r="BD1290" s="3">
        <v>0</v>
      </c>
      <c r="BE1290" s="3">
        <v>0</v>
      </c>
      <c r="BF1290" s="3">
        <v>0</v>
      </c>
      <c r="BG1290" s="3">
        <v>0</v>
      </c>
      <c r="BH1290" s="3">
        <v>0</v>
      </c>
      <c r="BI1290" s="3">
        <v>0</v>
      </c>
      <c r="BJ1290" s="3">
        <v>0</v>
      </c>
      <c r="BK1290" s="3">
        <v>0</v>
      </c>
      <c r="BL1290" s="3">
        <v>0</v>
      </c>
      <c r="BM1290" s="3">
        <v>0</v>
      </c>
    </row>
    <row r="1291" spans="1:65" x14ac:dyDescent="0.25">
      <c r="A1291" s="2" t="s">
        <v>145</v>
      </c>
      <c r="B1291" s="4">
        <v>73</v>
      </c>
      <c r="C1291" s="4">
        <v>2</v>
      </c>
      <c r="D1291" s="4">
        <v>1</v>
      </c>
      <c r="E1291" s="4">
        <v>3</v>
      </c>
      <c r="F1291" s="6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1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3">
        <v>0</v>
      </c>
      <c r="AV1291" s="3">
        <v>0</v>
      </c>
      <c r="AW1291" s="3">
        <v>0</v>
      </c>
      <c r="AX1291" s="3">
        <v>0</v>
      </c>
      <c r="AY1291" s="3">
        <v>0</v>
      </c>
      <c r="AZ1291" s="3">
        <v>0</v>
      </c>
      <c r="BA1291" s="3">
        <v>0</v>
      </c>
      <c r="BB1291" s="3">
        <v>0</v>
      </c>
      <c r="BC1291" s="3">
        <v>0</v>
      </c>
      <c r="BD1291" s="3">
        <v>1</v>
      </c>
      <c r="BE1291" s="3">
        <v>0</v>
      </c>
      <c r="BF1291" s="3">
        <v>0</v>
      </c>
      <c r="BG1291" s="3">
        <v>0</v>
      </c>
      <c r="BH1291" s="3">
        <v>0</v>
      </c>
      <c r="BI1291" s="3">
        <v>0</v>
      </c>
      <c r="BJ1291" s="3">
        <v>0</v>
      </c>
      <c r="BK1291" s="3">
        <v>0</v>
      </c>
      <c r="BL1291" s="3">
        <v>0</v>
      </c>
      <c r="BM1291" s="3">
        <v>0</v>
      </c>
    </row>
    <row r="1292" spans="1:65" x14ac:dyDescent="0.25">
      <c r="A1292" s="2" t="s">
        <v>145</v>
      </c>
      <c r="B1292" s="4">
        <v>73</v>
      </c>
      <c r="C1292" s="4">
        <v>2</v>
      </c>
      <c r="D1292" s="4">
        <v>2</v>
      </c>
      <c r="E1292" s="4">
        <v>1</v>
      </c>
      <c r="F1292" s="6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1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V1292" s="3">
        <v>0</v>
      </c>
      <c r="AW1292" s="3">
        <v>0</v>
      </c>
      <c r="AX1292" s="3">
        <v>0</v>
      </c>
      <c r="AY1292" s="3">
        <v>0</v>
      </c>
      <c r="AZ1292" s="3">
        <v>0</v>
      </c>
      <c r="BA1292" s="3">
        <v>0</v>
      </c>
      <c r="BB1292" s="3">
        <v>0</v>
      </c>
      <c r="BC1292" s="3">
        <v>0</v>
      </c>
      <c r="BD1292" s="3">
        <v>0</v>
      </c>
      <c r="BE1292" s="3">
        <v>0</v>
      </c>
      <c r="BF1292" s="3">
        <v>0</v>
      </c>
      <c r="BG1292" s="3">
        <v>0</v>
      </c>
      <c r="BH1292" s="3">
        <v>0</v>
      </c>
      <c r="BI1292" s="3">
        <v>0</v>
      </c>
      <c r="BJ1292" s="3">
        <v>0</v>
      </c>
      <c r="BK1292" s="3">
        <v>0</v>
      </c>
      <c r="BL1292" s="3">
        <v>0</v>
      </c>
      <c r="BM1292" s="3">
        <v>0</v>
      </c>
    </row>
    <row r="1293" spans="1:65" x14ac:dyDescent="0.25">
      <c r="A1293" s="2" t="s">
        <v>145</v>
      </c>
      <c r="B1293" s="4">
        <v>73</v>
      </c>
      <c r="C1293" s="4">
        <v>2</v>
      </c>
      <c r="D1293" s="4">
        <v>2</v>
      </c>
      <c r="E1293" s="4">
        <v>2</v>
      </c>
      <c r="F1293" s="6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  <c r="AO1293" s="3">
        <v>0</v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3">
        <v>0</v>
      </c>
      <c r="AV1293" s="3">
        <v>0</v>
      </c>
      <c r="AW1293" s="3">
        <v>0</v>
      </c>
      <c r="AX1293" s="3">
        <v>0</v>
      </c>
      <c r="AY1293" s="3">
        <v>0</v>
      </c>
      <c r="AZ1293" s="3">
        <v>0</v>
      </c>
      <c r="BA1293" s="3">
        <v>0</v>
      </c>
      <c r="BB1293" s="3">
        <v>0</v>
      </c>
      <c r="BC1293" s="3">
        <v>0</v>
      </c>
      <c r="BD1293" s="3">
        <v>0</v>
      </c>
      <c r="BE1293" s="3">
        <v>0</v>
      </c>
      <c r="BF1293" s="3">
        <v>0</v>
      </c>
      <c r="BG1293" s="3">
        <v>0</v>
      </c>
      <c r="BH1293" s="3">
        <v>0</v>
      </c>
      <c r="BI1293" s="3">
        <v>0</v>
      </c>
      <c r="BJ1293" s="3">
        <v>0</v>
      </c>
      <c r="BK1293" s="3">
        <v>0</v>
      </c>
      <c r="BL1293" s="3">
        <v>0</v>
      </c>
      <c r="BM1293" s="3">
        <v>0</v>
      </c>
    </row>
    <row r="1294" spans="1:65" x14ac:dyDescent="0.25">
      <c r="A1294" s="2" t="s">
        <v>145</v>
      </c>
      <c r="B1294" s="4">
        <v>73</v>
      </c>
      <c r="C1294" s="4">
        <v>2</v>
      </c>
      <c r="D1294" s="4">
        <v>2</v>
      </c>
      <c r="E1294" s="4">
        <v>3</v>
      </c>
      <c r="F1294" s="6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  <c r="AV1294" s="3">
        <v>0</v>
      </c>
      <c r="AW1294" s="3">
        <v>0</v>
      </c>
      <c r="AX1294" s="3">
        <v>0</v>
      </c>
      <c r="AY1294" s="3">
        <v>0</v>
      </c>
      <c r="AZ1294" s="3">
        <v>0</v>
      </c>
      <c r="BA1294" s="3">
        <v>0</v>
      </c>
      <c r="BB1294" s="3">
        <v>0</v>
      </c>
      <c r="BC1294" s="3">
        <v>0</v>
      </c>
      <c r="BD1294" s="3">
        <v>0</v>
      </c>
      <c r="BE1294" s="3">
        <v>0</v>
      </c>
      <c r="BF1294" s="3">
        <v>0</v>
      </c>
      <c r="BG1294" s="3">
        <v>0</v>
      </c>
      <c r="BH1294" s="3">
        <v>0</v>
      </c>
      <c r="BI1294" s="3">
        <v>0</v>
      </c>
      <c r="BJ1294" s="3">
        <v>0</v>
      </c>
      <c r="BK1294" s="3">
        <v>0</v>
      </c>
      <c r="BL1294" s="3">
        <v>0</v>
      </c>
      <c r="BM1294" s="3">
        <v>0</v>
      </c>
    </row>
    <row r="1295" spans="1:65" x14ac:dyDescent="0.25">
      <c r="A1295" s="2" t="s">
        <v>145</v>
      </c>
      <c r="B1295" s="4">
        <v>73</v>
      </c>
      <c r="C1295" s="4">
        <v>2</v>
      </c>
      <c r="D1295" s="4">
        <v>3</v>
      </c>
      <c r="E1295" s="4">
        <v>1</v>
      </c>
      <c r="F1295" s="6">
        <v>0</v>
      </c>
      <c r="G1295" s="3">
        <v>1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1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0</v>
      </c>
      <c r="AW1295" s="3">
        <v>0</v>
      </c>
      <c r="AX1295" s="3">
        <v>0</v>
      </c>
      <c r="AY1295" s="3">
        <v>0</v>
      </c>
      <c r="AZ1295" s="3">
        <v>0</v>
      </c>
      <c r="BA1295" s="3">
        <v>0</v>
      </c>
      <c r="BB1295" s="3">
        <v>0</v>
      </c>
      <c r="BC1295" s="3">
        <v>0</v>
      </c>
      <c r="BD1295" s="3">
        <v>0</v>
      </c>
      <c r="BE1295" s="3">
        <v>0</v>
      </c>
      <c r="BF1295" s="3">
        <v>0</v>
      </c>
      <c r="BG1295" s="3">
        <v>0</v>
      </c>
      <c r="BH1295" s="3">
        <v>0</v>
      </c>
      <c r="BI1295" s="3">
        <v>0</v>
      </c>
      <c r="BJ1295" s="3">
        <v>0</v>
      </c>
      <c r="BK1295" s="3">
        <v>0</v>
      </c>
      <c r="BL1295" s="3">
        <v>0</v>
      </c>
      <c r="BM1295" s="3">
        <v>0</v>
      </c>
    </row>
    <row r="1296" spans="1:65" x14ac:dyDescent="0.25">
      <c r="A1296" s="2" t="s">
        <v>145</v>
      </c>
      <c r="B1296" s="4">
        <v>73</v>
      </c>
      <c r="C1296" s="4">
        <v>2</v>
      </c>
      <c r="D1296" s="4">
        <v>3</v>
      </c>
      <c r="E1296" s="4">
        <v>2</v>
      </c>
      <c r="F1296" s="6">
        <v>0</v>
      </c>
      <c r="G1296" s="3">
        <v>1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  <c r="AU1296" s="3">
        <v>0</v>
      </c>
      <c r="AV1296" s="3">
        <v>0</v>
      </c>
      <c r="AW1296" s="3">
        <v>0</v>
      </c>
      <c r="AX1296" s="3">
        <v>0</v>
      </c>
      <c r="AY1296" s="3">
        <v>0</v>
      </c>
      <c r="AZ1296" s="3">
        <v>0</v>
      </c>
      <c r="BA1296" s="3">
        <v>0</v>
      </c>
      <c r="BB1296" s="3">
        <v>0</v>
      </c>
      <c r="BC1296" s="3">
        <v>0</v>
      </c>
      <c r="BD1296" s="3">
        <v>0</v>
      </c>
      <c r="BE1296" s="3">
        <v>1</v>
      </c>
      <c r="BF1296" s="3">
        <v>0</v>
      </c>
      <c r="BG1296" s="3">
        <v>0</v>
      </c>
      <c r="BH1296" s="3">
        <v>0</v>
      </c>
      <c r="BI1296" s="3">
        <v>0</v>
      </c>
      <c r="BJ1296" s="3">
        <v>0</v>
      </c>
      <c r="BK1296" s="3">
        <v>0</v>
      </c>
      <c r="BL1296" s="3">
        <v>0</v>
      </c>
      <c r="BM1296" s="3">
        <v>0</v>
      </c>
    </row>
    <row r="1297" spans="1:65" x14ac:dyDescent="0.25">
      <c r="A1297" s="2" t="s">
        <v>145</v>
      </c>
      <c r="B1297" s="4">
        <v>73</v>
      </c>
      <c r="C1297" s="4">
        <v>2</v>
      </c>
      <c r="D1297" s="4">
        <v>3</v>
      </c>
      <c r="E1297" s="4">
        <v>3</v>
      </c>
      <c r="F1297" s="6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3">
        <v>0</v>
      </c>
      <c r="AW1297" s="3">
        <v>0</v>
      </c>
      <c r="AX1297" s="3">
        <v>0</v>
      </c>
      <c r="AY1297" s="3">
        <v>0</v>
      </c>
      <c r="AZ1297" s="3">
        <v>0</v>
      </c>
      <c r="BA1297" s="3">
        <v>0</v>
      </c>
      <c r="BB1297" s="3">
        <v>0</v>
      </c>
      <c r="BC1297" s="3">
        <v>0</v>
      </c>
      <c r="BD1297" s="3">
        <v>0</v>
      </c>
      <c r="BE1297" s="3">
        <v>0</v>
      </c>
      <c r="BF1297" s="3">
        <v>0</v>
      </c>
      <c r="BG1297" s="3">
        <v>0</v>
      </c>
      <c r="BH1297" s="3">
        <v>0</v>
      </c>
      <c r="BI1297" s="3">
        <v>0</v>
      </c>
      <c r="BJ1297" s="3">
        <v>0</v>
      </c>
      <c r="BK1297" s="3">
        <v>0</v>
      </c>
      <c r="BL1297" s="3">
        <v>0</v>
      </c>
      <c r="BM1297" s="3">
        <v>0</v>
      </c>
    </row>
    <row r="1298" spans="1:65" x14ac:dyDescent="0.25">
      <c r="A1298" s="2" t="s">
        <v>146</v>
      </c>
      <c r="B1298" s="4">
        <v>74</v>
      </c>
      <c r="C1298" s="4">
        <v>1</v>
      </c>
      <c r="D1298" s="4">
        <v>1</v>
      </c>
      <c r="E1298" s="4">
        <v>1</v>
      </c>
      <c r="F1298" s="4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2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1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2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1</v>
      </c>
      <c r="AG1298" s="3">
        <v>0</v>
      </c>
      <c r="AH1298" s="3">
        <v>0</v>
      </c>
      <c r="AI1298" s="3">
        <v>0</v>
      </c>
      <c r="AJ1298" s="3">
        <v>0</v>
      </c>
      <c r="AK1298" s="3">
        <v>0</v>
      </c>
      <c r="AL1298" s="3">
        <v>0</v>
      </c>
      <c r="AM1298" s="3">
        <v>0</v>
      </c>
      <c r="AN1298" s="3">
        <v>0</v>
      </c>
      <c r="AO1298" s="3">
        <v>0</v>
      </c>
      <c r="AP1298" s="3">
        <v>0</v>
      </c>
      <c r="AQ1298" s="3">
        <v>0</v>
      </c>
      <c r="AR1298" s="3">
        <v>0</v>
      </c>
      <c r="AS1298" s="3">
        <v>0</v>
      </c>
      <c r="AT1298" s="3">
        <v>0</v>
      </c>
      <c r="AU1298" s="3">
        <v>0</v>
      </c>
      <c r="AV1298" s="3">
        <v>0</v>
      </c>
      <c r="AW1298" s="3">
        <v>0</v>
      </c>
      <c r="AX1298" s="3">
        <v>0</v>
      </c>
      <c r="AY1298" s="3">
        <v>0</v>
      </c>
      <c r="AZ1298" s="3">
        <v>0</v>
      </c>
      <c r="BA1298" s="3">
        <v>0</v>
      </c>
      <c r="BB1298" s="3">
        <v>0</v>
      </c>
      <c r="BC1298" s="3">
        <v>0</v>
      </c>
      <c r="BD1298" s="3">
        <v>0</v>
      </c>
      <c r="BE1298" s="3">
        <v>0</v>
      </c>
      <c r="BF1298" s="3">
        <v>0</v>
      </c>
      <c r="BG1298" s="3">
        <v>0</v>
      </c>
      <c r="BH1298" s="3">
        <v>0</v>
      </c>
      <c r="BI1298" s="3">
        <v>0</v>
      </c>
      <c r="BJ1298" s="3">
        <v>0</v>
      </c>
      <c r="BK1298" s="3">
        <v>0</v>
      </c>
      <c r="BL1298" s="3">
        <v>2</v>
      </c>
      <c r="BM1298" s="3">
        <v>0</v>
      </c>
    </row>
    <row r="1299" spans="1:65" x14ac:dyDescent="0.25">
      <c r="A1299" s="2" t="s">
        <v>146</v>
      </c>
      <c r="B1299" s="4">
        <v>74</v>
      </c>
      <c r="C1299" s="4">
        <v>1</v>
      </c>
      <c r="D1299" s="4">
        <v>1</v>
      </c>
      <c r="E1299" s="4">
        <v>2</v>
      </c>
      <c r="F1299" s="4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1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1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1</v>
      </c>
      <c r="AG1299" s="3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3">
        <v>0</v>
      </c>
      <c r="AV1299" s="3">
        <v>0</v>
      </c>
      <c r="AW1299" s="3">
        <v>0</v>
      </c>
      <c r="AX1299" s="3">
        <v>0</v>
      </c>
      <c r="AY1299" s="3">
        <v>0</v>
      </c>
      <c r="AZ1299" s="3">
        <v>0</v>
      </c>
      <c r="BA1299" s="3">
        <v>0</v>
      </c>
      <c r="BB1299" s="3">
        <v>0</v>
      </c>
      <c r="BC1299" s="3">
        <v>0</v>
      </c>
      <c r="BD1299" s="3">
        <v>0</v>
      </c>
      <c r="BE1299" s="3">
        <v>0</v>
      </c>
      <c r="BF1299" s="3">
        <v>0</v>
      </c>
      <c r="BG1299" s="3">
        <v>0</v>
      </c>
      <c r="BH1299" s="3">
        <v>0</v>
      </c>
      <c r="BI1299" s="3">
        <v>0</v>
      </c>
      <c r="BJ1299" s="3">
        <v>0</v>
      </c>
      <c r="BK1299" s="3">
        <v>0</v>
      </c>
      <c r="BL1299" s="3">
        <v>0</v>
      </c>
      <c r="BM1299" s="3">
        <v>0</v>
      </c>
    </row>
    <row r="1300" spans="1:65" x14ac:dyDescent="0.25">
      <c r="A1300" s="2" t="s">
        <v>146</v>
      </c>
      <c r="B1300" s="4">
        <v>74</v>
      </c>
      <c r="C1300" s="4">
        <v>1</v>
      </c>
      <c r="D1300" s="4">
        <v>1</v>
      </c>
      <c r="E1300" s="4">
        <v>3</v>
      </c>
      <c r="F1300" s="4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  <c r="AU1300" s="3">
        <v>0</v>
      </c>
      <c r="AV1300" s="3">
        <v>0</v>
      </c>
      <c r="AW1300" s="3">
        <v>0</v>
      </c>
      <c r="AX1300" s="3">
        <v>0</v>
      </c>
      <c r="AY1300" s="3">
        <v>0</v>
      </c>
      <c r="AZ1300" s="3">
        <v>0</v>
      </c>
      <c r="BA1300" s="3">
        <v>0</v>
      </c>
      <c r="BB1300" s="3">
        <v>0</v>
      </c>
      <c r="BC1300" s="3">
        <v>0</v>
      </c>
      <c r="BD1300" s="3">
        <v>0</v>
      </c>
      <c r="BE1300" s="3">
        <v>0</v>
      </c>
      <c r="BF1300" s="3">
        <v>0</v>
      </c>
      <c r="BG1300" s="3">
        <v>0</v>
      </c>
      <c r="BH1300" s="3">
        <v>0</v>
      </c>
      <c r="BI1300" s="3">
        <v>0</v>
      </c>
      <c r="BJ1300" s="3">
        <v>0</v>
      </c>
      <c r="BK1300" s="3">
        <v>0</v>
      </c>
      <c r="BL1300" s="3">
        <v>0</v>
      </c>
      <c r="BM1300" s="3">
        <v>0</v>
      </c>
    </row>
    <row r="1301" spans="1:65" x14ac:dyDescent="0.25">
      <c r="A1301" s="2" t="s">
        <v>146</v>
      </c>
      <c r="B1301" s="4">
        <v>74</v>
      </c>
      <c r="C1301" s="4">
        <v>1</v>
      </c>
      <c r="D1301" s="4">
        <v>2</v>
      </c>
      <c r="E1301" s="4">
        <v>1</v>
      </c>
      <c r="F1301" s="4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0</v>
      </c>
      <c r="AX1301" s="3">
        <v>0</v>
      </c>
      <c r="AY1301" s="3">
        <v>0</v>
      </c>
      <c r="AZ1301" s="3">
        <v>0</v>
      </c>
      <c r="BA1301" s="3">
        <v>0</v>
      </c>
      <c r="BB1301" s="3">
        <v>0</v>
      </c>
      <c r="BC1301" s="3">
        <v>0</v>
      </c>
      <c r="BD1301" s="3">
        <v>0</v>
      </c>
      <c r="BE1301" s="3">
        <v>0</v>
      </c>
      <c r="BF1301" s="3">
        <v>0</v>
      </c>
      <c r="BG1301" s="3">
        <v>0</v>
      </c>
      <c r="BH1301" s="3">
        <v>0</v>
      </c>
      <c r="BI1301" s="3">
        <v>0</v>
      </c>
      <c r="BJ1301" s="3">
        <v>0</v>
      </c>
      <c r="BK1301" s="3">
        <v>0</v>
      </c>
      <c r="BL1301" s="3">
        <v>1</v>
      </c>
      <c r="BM1301" s="3">
        <v>0</v>
      </c>
    </row>
    <row r="1302" spans="1:65" x14ac:dyDescent="0.25">
      <c r="A1302" s="2" t="s">
        <v>146</v>
      </c>
      <c r="B1302" s="4">
        <v>74</v>
      </c>
      <c r="C1302" s="4">
        <v>1</v>
      </c>
      <c r="D1302" s="4">
        <v>2</v>
      </c>
      <c r="E1302" s="4">
        <v>2</v>
      </c>
      <c r="F1302" s="4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2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0</v>
      </c>
      <c r="AK1302" s="3">
        <v>0</v>
      </c>
      <c r="AL1302" s="3">
        <v>0</v>
      </c>
      <c r="AM1302" s="3">
        <v>0</v>
      </c>
      <c r="AN1302" s="3">
        <v>0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3">
        <v>0</v>
      </c>
      <c r="AV1302" s="3">
        <v>0</v>
      </c>
      <c r="AW1302" s="3">
        <v>0</v>
      </c>
      <c r="AX1302" s="3">
        <v>0</v>
      </c>
      <c r="AY1302" s="3">
        <v>0</v>
      </c>
      <c r="AZ1302" s="3">
        <v>0</v>
      </c>
      <c r="BA1302" s="3">
        <v>0</v>
      </c>
      <c r="BB1302" s="3">
        <v>0</v>
      </c>
      <c r="BC1302" s="3">
        <v>0</v>
      </c>
      <c r="BD1302" s="3">
        <v>0</v>
      </c>
      <c r="BE1302" s="3">
        <v>0</v>
      </c>
      <c r="BF1302" s="3">
        <v>0</v>
      </c>
      <c r="BG1302" s="3">
        <v>0</v>
      </c>
      <c r="BH1302" s="3">
        <v>0</v>
      </c>
      <c r="BI1302" s="3">
        <v>0</v>
      </c>
      <c r="BJ1302" s="3">
        <v>0</v>
      </c>
      <c r="BK1302" s="3">
        <v>0</v>
      </c>
      <c r="BL1302" s="3">
        <v>0</v>
      </c>
      <c r="BM1302" s="3">
        <v>0</v>
      </c>
    </row>
    <row r="1303" spans="1:65" x14ac:dyDescent="0.25">
      <c r="A1303" s="2" t="s">
        <v>146</v>
      </c>
      <c r="B1303" s="4">
        <v>74</v>
      </c>
      <c r="C1303" s="4">
        <v>1</v>
      </c>
      <c r="D1303" s="4">
        <v>2</v>
      </c>
      <c r="E1303" s="4">
        <v>3</v>
      </c>
      <c r="F1303" s="4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  <c r="AV1303" s="3">
        <v>0</v>
      </c>
      <c r="AW1303" s="3">
        <v>0</v>
      </c>
      <c r="AX1303" s="3">
        <v>0</v>
      </c>
      <c r="AY1303" s="3">
        <v>0</v>
      </c>
      <c r="AZ1303" s="3">
        <v>0</v>
      </c>
      <c r="BA1303" s="3">
        <v>0</v>
      </c>
      <c r="BB1303" s="3">
        <v>0</v>
      </c>
      <c r="BC1303" s="3">
        <v>0</v>
      </c>
      <c r="BD1303" s="3">
        <v>0</v>
      </c>
      <c r="BE1303" s="3">
        <v>0</v>
      </c>
      <c r="BF1303" s="3">
        <v>0</v>
      </c>
      <c r="BG1303" s="3">
        <v>0</v>
      </c>
      <c r="BH1303" s="3">
        <v>0</v>
      </c>
      <c r="BI1303" s="3">
        <v>0</v>
      </c>
      <c r="BJ1303" s="3">
        <v>0</v>
      </c>
      <c r="BK1303" s="3">
        <v>0</v>
      </c>
      <c r="BL1303" s="3">
        <v>0</v>
      </c>
      <c r="BM1303" s="3">
        <v>0</v>
      </c>
    </row>
    <row r="1304" spans="1:65" x14ac:dyDescent="0.25">
      <c r="A1304" s="2" t="s">
        <v>146</v>
      </c>
      <c r="B1304" s="4">
        <v>74</v>
      </c>
      <c r="C1304" s="4">
        <v>1</v>
      </c>
      <c r="D1304" s="4">
        <v>3</v>
      </c>
      <c r="E1304" s="4">
        <v>1</v>
      </c>
      <c r="F1304" s="4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1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3">
        <v>0</v>
      </c>
      <c r="AV1304" s="3">
        <v>0</v>
      </c>
      <c r="AW1304" s="3">
        <v>0</v>
      </c>
      <c r="AX1304" s="3">
        <v>0</v>
      </c>
      <c r="AY1304" s="3">
        <v>0</v>
      </c>
      <c r="AZ1304" s="3">
        <v>0</v>
      </c>
      <c r="BA1304" s="3">
        <v>0</v>
      </c>
      <c r="BB1304" s="3">
        <v>0</v>
      </c>
      <c r="BC1304" s="3">
        <v>0</v>
      </c>
      <c r="BD1304" s="3">
        <v>0</v>
      </c>
      <c r="BE1304" s="3">
        <v>0</v>
      </c>
      <c r="BF1304" s="3">
        <v>0</v>
      </c>
      <c r="BG1304" s="3">
        <v>0</v>
      </c>
      <c r="BH1304" s="3">
        <v>0</v>
      </c>
      <c r="BI1304" s="3">
        <v>0</v>
      </c>
      <c r="BJ1304" s="3">
        <v>0</v>
      </c>
      <c r="BK1304" s="3">
        <v>0</v>
      </c>
      <c r="BL1304" s="3">
        <v>0</v>
      </c>
      <c r="BM1304" s="3">
        <v>0</v>
      </c>
    </row>
    <row r="1305" spans="1:65" x14ac:dyDescent="0.25">
      <c r="A1305" s="2" t="s">
        <v>146</v>
      </c>
      <c r="B1305" s="4">
        <v>74</v>
      </c>
      <c r="C1305" s="4">
        <v>1</v>
      </c>
      <c r="D1305" s="4">
        <v>3</v>
      </c>
      <c r="E1305" s="4">
        <v>2</v>
      </c>
      <c r="F1305" s="4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V1305" s="3">
        <v>0</v>
      </c>
      <c r="AW1305" s="3">
        <v>0</v>
      </c>
      <c r="AX1305" s="3">
        <v>0</v>
      </c>
      <c r="AY1305" s="3">
        <v>0</v>
      </c>
      <c r="AZ1305" s="3">
        <v>0</v>
      </c>
      <c r="BA1305" s="3">
        <v>0</v>
      </c>
      <c r="BB1305" s="3">
        <v>0</v>
      </c>
      <c r="BC1305" s="3">
        <v>0</v>
      </c>
      <c r="BD1305" s="3">
        <v>0</v>
      </c>
      <c r="BE1305" s="3">
        <v>0</v>
      </c>
      <c r="BF1305" s="3">
        <v>0</v>
      </c>
      <c r="BG1305" s="3">
        <v>0</v>
      </c>
      <c r="BH1305" s="3">
        <v>0</v>
      </c>
      <c r="BI1305" s="3">
        <v>0</v>
      </c>
      <c r="BJ1305" s="3">
        <v>0</v>
      </c>
      <c r="BK1305" s="3">
        <v>0</v>
      </c>
      <c r="BL1305" s="3">
        <v>0</v>
      </c>
      <c r="BM1305" s="3">
        <v>0</v>
      </c>
    </row>
    <row r="1306" spans="1:65" x14ac:dyDescent="0.25">
      <c r="A1306" s="2" t="s">
        <v>146</v>
      </c>
      <c r="B1306" s="4">
        <v>74</v>
      </c>
      <c r="C1306" s="4">
        <v>1</v>
      </c>
      <c r="D1306" s="4">
        <v>3</v>
      </c>
      <c r="E1306" s="4">
        <v>3</v>
      </c>
      <c r="F1306" s="4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0</v>
      </c>
      <c r="AX1306" s="3">
        <v>0</v>
      </c>
      <c r="AY1306" s="3">
        <v>0</v>
      </c>
      <c r="AZ1306" s="3">
        <v>0</v>
      </c>
      <c r="BA1306" s="3">
        <v>0</v>
      </c>
      <c r="BB1306" s="3">
        <v>0</v>
      </c>
      <c r="BC1306" s="3">
        <v>0</v>
      </c>
      <c r="BD1306" s="3">
        <v>0</v>
      </c>
      <c r="BE1306" s="3">
        <v>0</v>
      </c>
      <c r="BF1306" s="3">
        <v>0</v>
      </c>
      <c r="BG1306" s="3">
        <v>0</v>
      </c>
      <c r="BH1306" s="3">
        <v>0</v>
      </c>
      <c r="BI1306" s="3">
        <v>0</v>
      </c>
      <c r="BJ1306" s="3">
        <v>0</v>
      </c>
      <c r="BK1306" s="3">
        <v>0</v>
      </c>
      <c r="BL1306" s="3">
        <v>0</v>
      </c>
      <c r="BM1306" s="3">
        <v>0</v>
      </c>
    </row>
    <row r="1307" spans="1:65" x14ac:dyDescent="0.25">
      <c r="A1307" s="2" t="s">
        <v>146</v>
      </c>
      <c r="B1307" s="4">
        <v>74</v>
      </c>
      <c r="C1307" s="4">
        <v>2</v>
      </c>
      <c r="D1307" s="4">
        <v>1</v>
      </c>
      <c r="E1307" s="4">
        <v>1</v>
      </c>
      <c r="F1307" s="6">
        <v>0</v>
      </c>
      <c r="G1307" s="3">
        <v>1</v>
      </c>
      <c r="H1307" s="3">
        <v>0</v>
      </c>
      <c r="I1307" s="3">
        <v>0</v>
      </c>
      <c r="J1307" s="3">
        <v>0</v>
      </c>
      <c r="K1307" s="3">
        <v>0</v>
      </c>
      <c r="L1307" s="3">
        <v>1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1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3">
        <v>0</v>
      </c>
      <c r="AW1307" s="3">
        <v>0</v>
      </c>
      <c r="AX1307" s="3">
        <v>0</v>
      </c>
      <c r="AY1307" s="3">
        <v>0</v>
      </c>
      <c r="AZ1307" s="3">
        <v>0</v>
      </c>
      <c r="BA1307" s="3">
        <v>0</v>
      </c>
      <c r="BB1307" s="3">
        <v>0</v>
      </c>
      <c r="BC1307" s="3">
        <v>0</v>
      </c>
      <c r="BD1307" s="3">
        <v>0</v>
      </c>
      <c r="BE1307" s="3">
        <v>0</v>
      </c>
      <c r="BF1307" s="3">
        <v>0</v>
      </c>
      <c r="BG1307" s="3">
        <v>0</v>
      </c>
      <c r="BH1307" s="3">
        <v>0</v>
      </c>
      <c r="BI1307" s="3">
        <v>0</v>
      </c>
      <c r="BJ1307" s="3">
        <v>0</v>
      </c>
      <c r="BK1307" s="3">
        <v>0</v>
      </c>
      <c r="BL1307" s="3">
        <v>1</v>
      </c>
      <c r="BM1307" s="3">
        <v>0</v>
      </c>
    </row>
    <row r="1308" spans="1:65" x14ac:dyDescent="0.25">
      <c r="A1308" s="2" t="s">
        <v>146</v>
      </c>
      <c r="B1308" s="4">
        <v>74</v>
      </c>
      <c r="C1308" s="4">
        <v>2</v>
      </c>
      <c r="D1308" s="4">
        <v>1</v>
      </c>
      <c r="E1308" s="4">
        <v>2</v>
      </c>
      <c r="F1308" s="6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1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1</v>
      </c>
      <c r="AC1308" s="3">
        <v>0</v>
      </c>
      <c r="AD1308" s="3">
        <v>0</v>
      </c>
      <c r="AE1308" s="3">
        <v>0</v>
      </c>
      <c r="AF1308" s="3">
        <v>1</v>
      </c>
      <c r="AG1308" s="3">
        <v>0</v>
      </c>
      <c r="AH1308" s="3">
        <v>0</v>
      </c>
      <c r="AI1308" s="3">
        <v>0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  <c r="AV1308" s="3">
        <v>0</v>
      </c>
      <c r="AW1308" s="3">
        <v>0</v>
      </c>
      <c r="AX1308" s="3">
        <v>0</v>
      </c>
      <c r="AY1308" s="3">
        <v>0</v>
      </c>
      <c r="AZ1308" s="3">
        <v>0</v>
      </c>
      <c r="BA1308" s="3">
        <v>0</v>
      </c>
      <c r="BB1308" s="3">
        <v>0</v>
      </c>
      <c r="BC1308" s="3">
        <v>0</v>
      </c>
      <c r="BD1308" s="3">
        <v>0</v>
      </c>
      <c r="BE1308" s="3">
        <v>0</v>
      </c>
      <c r="BF1308" s="3">
        <v>0</v>
      </c>
      <c r="BG1308" s="3">
        <v>0</v>
      </c>
      <c r="BH1308" s="3">
        <v>0</v>
      </c>
      <c r="BI1308" s="3">
        <v>0</v>
      </c>
      <c r="BJ1308" s="3">
        <v>0</v>
      </c>
      <c r="BK1308" s="3">
        <v>0</v>
      </c>
      <c r="BL1308" s="3">
        <v>1</v>
      </c>
      <c r="BM1308" s="3">
        <v>0</v>
      </c>
    </row>
    <row r="1309" spans="1:65" x14ac:dyDescent="0.25">
      <c r="A1309" s="2" t="s">
        <v>146</v>
      </c>
      <c r="B1309" s="4">
        <v>74</v>
      </c>
      <c r="C1309" s="4">
        <v>2</v>
      </c>
      <c r="D1309" s="4">
        <v>1</v>
      </c>
      <c r="E1309" s="4">
        <v>3</v>
      </c>
      <c r="F1309" s="6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1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3">
        <v>0</v>
      </c>
      <c r="AV1309" s="3">
        <v>0</v>
      </c>
      <c r="AW1309" s="3">
        <v>0</v>
      </c>
      <c r="AX1309" s="3">
        <v>0</v>
      </c>
      <c r="AY1309" s="3">
        <v>0</v>
      </c>
      <c r="AZ1309" s="3">
        <v>0</v>
      </c>
      <c r="BA1309" s="3">
        <v>0</v>
      </c>
      <c r="BB1309" s="3">
        <v>0</v>
      </c>
      <c r="BC1309" s="3">
        <v>0</v>
      </c>
      <c r="BD1309" s="3">
        <v>0</v>
      </c>
      <c r="BE1309" s="3">
        <v>0</v>
      </c>
      <c r="BF1309" s="3">
        <v>0</v>
      </c>
      <c r="BG1309" s="3">
        <v>0</v>
      </c>
      <c r="BH1309" s="3">
        <v>0</v>
      </c>
      <c r="BI1309" s="3">
        <v>0</v>
      </c>
      <c r="BJ1309" s="3">
        <v>0</v>
      </c>
      <c r="BK1309" s="3">
        <v>0</v>
      </c>
      <c r="BL1309" s="3">
        <v>0</v>
      </c>
      <c r="BM1309" s="3">
        <v>0</v>
      </c>
    </row>
    <row r="1310" spans="1:65" x14ac:dyDescent="0.25">
      <c r="A1310" s="2" t="s">
        <v>146</v>
      </c>
      <c r="B1310" s="4">
        <v>74</v>
      </c>
      <c r="C1310" s="4">
        <v>2</v>
      </c>
      <c r="D1310" s="4">
        <v>2</v>
      </c>
      <c r="E1310" s="4">
        <v>1</v>
      </c>
      <c r="F1310" s="6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1</v>
      </c>
      <c r="AG1310" s="3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V1310" s="3">
        <v>0</v>
      </c>
      <c r="AW1310" s="3">
        <v>0</v>
      </c>
      <c r="AX1310" s="3">
        <v>0</v>
      </c>
      <c r="AY1310" s="3">
        <v>0</v>
      </c>
      <c r="AZ1310" s="3">
        <v>0</v>
      </c>
      <c r="BA1310" s="3">
        <v>0</v>
      </c>
      <c r="BB1310" s="3">
        <v>0</v>
      </c>
      <c r="BC1310" s="3">
        <v>0</v>
      </c>
      <c r="BD1310" s="3">
        <v>0</v>
      </c>
      <c r="BE1310" s="3">
        <v>0</v>
      </c>
      <c r="BF1310" s="3">
        <v>0</v>
      </c>
      <c r="BG1310" s="3">
        <v>0</v>
      </c>
      <c r="BH1310" s="3">
        <v>0</v>
      </c>
      <c r="BI1310" s="3">
        <v>0</v>
      </c>
      <c r="BJ1310" s="3">
        <v>0</v>
      </c>
      <c r="BK1310" s="3">
        <v>0</v>
      </c>
      <c r="BL1310" s="3">
        <v>0</v>
      </c>
      <c r="BM1310" s="3">
        <v>0</v>
      </c>
    </row>
    <row r="1311" spans="1:65" x14ac:dyDescent="0.25">
      <c r="A1311" s="2" t="s">
        <v>146</v>
      </c>
      <c r="B1311" s="4">
        <v>74</v>
      </c>
      <c r="C1311" s="4">
        <v>2</v>
      </c>
      <c r="D1311" s="4">
        <v>2</v>
      </c>
      <c r="E1311" s="4">
        <v>2</v>
      </c>
      <c r="F1311" s="6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3">
        <v>0</v>
      </c>
      <c r="AT1311" s="3">
        <v>1</v>
      </c>
      <c r="AU1311" s="3">
        <v>0</v>
      </c>
      <c r="AV1311" s="3">
        <v>0</v>
      </c>
      <c r="AW1311" s="3">
        <v>0</v>
      </c>
      <c r="AX1311" s="3">
        <v>0</v>
      </c>
      <c r="AY1311" s="3">
        <v>0</v>
      </c>
      <c r="AZ1311" s="3">
        <v>0</v>
      </c>
      <c r="BA1311" s="3">
        <v>0</v>
      </c>
      <c r="BB1311" s="3">
        <v>0</v>
      </c>
      <c r="BC1311" s="3">
        <v>0</v>
      </c>
      <c r="BD1311" s="3">
        <v>0</v>
      </c>
      <c r="BE1311" s="3">
        <v>0</v>
      </c>
      <c r="BF1311" s="3">
        <v>0</v>
      </c>
      <c r="BG1311" s="3">
        <v>0</v>
      </c>
      <c r="BH1311" s="3">
        <v>0</v>
      </c>
      <c r="BI1311" s="3">
        <v>0</v>
      </c>
      <c r="BJ1311" s="3">
        <v>0</v>
      </c>
      <c r="BK1311" s="3">
        <v>0</v>
      </c>
      <c r="BL1311" s="3">
        <v>0</v>
      </c>
      <c r="BM1311" s="3">
        <v>0</v>
      </c>
    </row>
    <row r="1312" spans="1:65" x14ac:dyDescent="0.25">
      <c r="A1312" s="2" t="s">
        <v>146</v>
      </c>
      <c r="B1312" s="4">
        <v>74</v>
      </c>
      <c r="C1312" s="4">
        <v>2</v>
      </c>
      <c r="D1312" s="4">
        <v>2</v>
      </c>
      <c r="E1312" s="4">
        <v>3</v>
      </c>
      <c r="F1312" s="6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  <c r="AP1312" s="3">
        <v>0</v>
      </c>
      <c r="AQ1312" s="3">
        <v>0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0</v>
      </c>
      <c r="AX1312" s="3">
        <v>0</v>
      </c>
      <c r="AY1312" s="3">
        <v>0</v>
      </c>
      <c r="AZ1312" s="3">
        <v>0</v>
      </c>
      <c r="BA1312" s="3">
        <v>0</v>
      </c>
      <c r="BB1312" s="3">
        <v>1</v>
      </c>
      <c r="BC1312" s="3">
        <v>0</v>
      </c>
      <c r="BD1312" s="3">
        <v>0</v>
      </c>
      <c r="BE1312" s="3">
        <v>0</v>
      </c>
      <c r="BF1312" s="3">
        <v>0</v>
      </c>
      <c r="BG1312" s="3">
        <v>0</v>
      </c>
      <c r="BH1312" s="3">
        <v>0</v>
      </c>
      <c r="BI1312" s="3">
        <v>0</v>
      </c>
      <c r="BJ1312" s="3">
        <v>0</v>
      </c>
      <c r="BK1312" s="3">
        <v>0</v>
      </c>
      <c r="BL1312" s="3">
        <v>0</v>
      </c>
      <c r="BM1312" s="3">
        <v>0</v>
      </c>
    </row>
    <row r="1313" spans="1:65" x14ac:dyDescent="0.25">
      <c r="A1313" s="2" t="s">
        <v>146</v>
      </c>
      <c r="B1313" s="4">
        <v>74</v>
      </c>
      <c r="C1313" s="4">
        <v>2</v>
      </c>
      <c r="D1313" s="4">
        <v>3</v>
      </c>
      <c r="E1313" s="4">
        <v>1</v>
      </c>
      <c r="F1313" s="6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1</v>
      </c>
      <c r="AG1313" s="3">
        <v>0</v>
      </c>
      <c r="AH1313" s="3">
        <v>0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  <c r="AP1313" s="3">
        <v>0</v>
      </c>
      <c r="AQ1313" s="3">
        <v>0</v>
      </c>
      <c r="AR1313" s="3">
        <v>0</v>
      </c>
      <c r="AS1313" s="3">
        <v>0</v>
      </c>
      <c r="AT1313" s="3">
        <v>0</v>
      </c>
      <c r="AU1313" s="3">
        <v>0</v>
      </c>
      <c r="AV1313" s="3">
        <v>0</v>
      </c>
      <c r="AW1313" s="3">
        <v>0</v>
      </c>
      <c r="AX1313" s="3">
        <v>0</v>
      </c>
      <c r="AY1313" s="3">
        <v>1</v>
      </c>
      <c r="AZ1313" s="3">
        <v>0</v>
      </c>
      <c r="BA1313" s="3">
        <v>0</v>
      </c>
      <c r="BB1313" s="3">
        <v>0</v>
      </c>
      <c r="BC1313" s="3">
        <v>0</v>
      </c>
      <c r="BD1313" s="3">
        <v>0</v>
      </c>
      <c r="BE1313" s="3">
        <v>0</v>
      </c>
      <c r="BF1313" s="3">
        <v>0</v>
      </c>
      <c r="BG1313" s="3">
        <v>0</v>
      </c>
      <c r="BH1313" s="3">
        <v>0</v>
      </c>
      <c r="BI1313" s="3">
        <v>0</v>
      </c>
      <c r="BJ1313" s="3">
        <v>0</v>
      </c>
      <c r="BK1313" s="3">
        <v>0</v>
      </c>
      <c r="BL1313" s="3">
        <v>0</v>
      </c>
      <c r="BM1313" s="3">
        <v>0</v>
      </c>
    </row>
    <row r="1314" spans="1:65" x14ac:dyDescent="0.25">
      <c r="A1314" s="2" t="s">
        <v>146</v>
      </c>
      <c r="B1314" s="4">
        <v>74</v>
      </c>
      <c r="C1314" s="4">
        <v>2</v>
      </c>
      <c r="D1314" s="4">
        <v>3</v>
      </c>
      <c r="E1314" s="4">
        <v>2</v>
      </c>
      <c r="F1314" s="6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0</v>
      </c>
      <c r="AX1314" s="3">
        <v>0</v>
      </c>
      <c r="AY1314" s="3">
        <v>0</v>
      </c>
      <c r="AZ1314" s="3">
        <v>0</v>
      </c>
      <c r="BA1314" s="3">
        <v>0</v>
      </c>
      <c r="BB1314" s="3">
        <v>0</v>
      </c>
      <c r="BC1314" s="3">
        <v>0</v>
      </c>
      <c r="BD1314" s="3">
        <v>0</v>
      </c>
      <c r="BE1314" s="3">
        <v>0</v>
      </c>
      <c r="BF1314" s="3">
        <v>0</v>
      </c>
      <c r="BG1314" s="3">
        <v>0</v>
      </c>
      <c r="BH1314" s="3">
        <v>0</v>
      </c>
      <c r="BI1314" s="3">
        <v>1</v>
      </c>
      <c r="BJ1314" s="3">
        <v>0</v>
      </c>
      <c r="BK1314" s="3">
        <v>0</v>
      </c>
      <c r="BL1314" s="3">
        <v>1</v>
      </c>
      <c r="BM1314" s="3">
        <v>0</v>
      </c>
    </row>
    <row r="1315" spans="1:65" x14ac:dyDescent="0.25">
      <c r="A1315" s="2" t="s">
        <v>146</v>
      </c>
      <c r="B1315" s="4">
        <v>74</v>
      </c>
      <c r="C1315" s="4">
        <v>2</v>
      </c>
      <c r="D1315" s="4">
        <v>3</v>
      </c>
      <c r="E1315" s="4">
        <v>3</v>
      </c>
      <c r="F1315" s="6">
        <v>0</v>
      </c>
      <c r="G1315" s="3">
        <v>0</v>
      </c>
      <c r="H1315" s="3">
        <v>0</v>
      </c>
      <c r="I1315" s="3">
        <v>1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  <c r="AX1315" s="3">
        <v>0</v>
      </c>
      <c r="AY1315" s="3">
        <v>0</v>
      </c>
      <c r="AZ1315" s="3">
        <v>0</v>
      </c>
      <c r="BA1315" s="3">
        <v>0</v>
      </c>
      <c r="BB1315" s="3">
        <v>0</v>
      </c>
      <c r="BC1315" s="3">
        <v>0</v>
      </c>
      <c r="BD1315" s="3">
        <v>0</v>
      </c>
      <c r="BE1315" s="3">
        <v>1</v>
      </c>
      <c r="BF1315" s="3">
        <v>0</v>
      </c>
      <c r="BG1315" s="3">
        <v>0</v>
      </c>
      <c r="BH1315" s="3">
        <v>0</v>
      </c>
      <c r="BI1315" s="3">
        <v>0</v>
      </c>
      <c r="BJ1315" s="3">
        <v>0</v>
      </c>
      <c r="BK1315" s="3">
        <v>0</v>
      </c>
      <c r="BL1315" s="3">
        <v>0</v>
      </c>
      <c r="BM1315" s="3">
        <v>0</v>
      </c>
    </row>
    <row r="1316" spans="1:65" x14ac:dyDescent="0.25">
      <c r="A1316" s="2" t="s">
        <v>147</v>
      </c>
      <c r="B1316" s="4">
        <v>75</v>
      </c>
      <c r="C1316" s="4">
        <v>1</v>
      </c>
      <c r="D1316" s="4">
        <v>1</v>
      </c>
      <c r="E1316" s="4">
        <v>1</v>
      </c>
      <c r="F1316" s="4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2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2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2</v>
      </c>
      <c r="Z1316" s="3">
        <v>0</v>
      </c>
      <c r="AA1316" s="3">
        <v>0</v>
      </c>
      <c r="AB1316" s="3">
        <v>1</v>
      </c>
      <c r="AC1316" s="3">
        <v>0</v>
      </c>
      <c r="AD1316" s="3">
        <v>0</v>
      </c>
      <c r="AE1316" s="3">
        <v>0</v>
      </c>
      <c r="AF1316" s="3">
        <v>1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  <c r="BA1316" s="3">
        <v>0</v>
      </c>
      <c r="BB1316" s="3">
        <v>0</v>
      </c>
      <c r="BC1316" s="3">
        <v>0</v>
      </c>
      <c r="BD1316" s="3">
        <v>0</v>
      </c>
      <c r="BE1316" s="3">
        <v>0</v>
      </c>
      <c r="BF1316" s="3">
        <v>0</v>
      </c>
      <c r="BG1316" s="3">
        <v>0</v>
      </c>
      <c r="BH1316" s="3">
        <v>0</v>
      </c>
      <c r="BI1316" s="3">
        <v>0</v>
      </c>
      <c r="BJ1316" s="3">
        <v>0</v>
      </c>
      <c r="BK1316" s="3">
        <v>0</v>
      </c>
      <c r="BL1316" s="3">
        <v>0</v>
      </c>
      <c r="BM1316" s="3">
        <v>0</v>
      </c>
    </row>
    <row r="1317" spans="1:65" x14ac:dyDescent="0.25">
      <c r="A1317" s="2" t="s">
        <v>147</v>
      </c>
      <c r="B1317" s="4">
        <v>75</v>
      </c>
      <c r="C1317" s="4">
        <v>1</v>
      </c>
      <c r="D1317" s="4">
        <v>1</v>
      </c>
      <c r="E1317" s="4">
        <v>2</v>
      </c>
      <c r="F1317" s="4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>
        <v>0</v>
      </c>
      <c r="AS1317" s="3">
        <v>0</v>
      </c>
      <c r="AT1317" s="3">
        <v>0</v>
      </c>
      <c r="AU1317" s="3">
        <v>0</v>
      </c>
      <c r="AV1317" s="3">
        <v>0</v>
      </c>
      <c r="AW1317" s="3">
        <v>0</v>
      </c>
      <c r="AX1317" s="3">
        <v>0</v>
      </c>
      <c r="AY1317" s="3">
        <v>0</v>
      </c>
      <c r="AZ1317" s="3">
        <v>0</v>
      </c>
      <c r="BA1317" s="3">
        <v>0</v>
      </c>
      <c r="BB1317" s="3">
        <v>0</v>
      </c>
      <c r="BC1317" s="3">
        <v>0</v>
      </c>
      <c r="BD1317" s="3">
        <v>0</v>
      </c>
      <c r="BE1317" s="3">
        <v>0</v>
      </c>
      <c r="BF1317" s="3">
        <v>0</v>
      </c>
      <c r="BG1317" s="3">
        <v>0</v>
      </c>
      <c r="BH1317" s="3">
        <v>0</v>
      </c>
      <c r="BI1317" s="3">
        <v>0</v>
      </c>
      <c r="BJ1317" s="3">
        <v>0</v>
      </c>
      <c r="BK1317" s="3">
        <v>0</v>
      </c>
      <c r="BL1317" s="3">
        <v>2</v>
      </c>
      <c r="BM1317" s="3">
        <v>0</v>
      </c>
    </row>
    <row r="1318" spans="1:65" x14ac:dyDescent="0.25">
      <c r="A1318" s="2" t="s">
        <v>147</v>
      </c>
      <c r="B1318" s="4">
        <v>75</v>
      </c>
      <c r="C1318" s="4">
        <v>1</v>
      </c>
      <c r="D1318" s="4">
        <v>1</v>
      </c>
      <c r="E1318" s="4">
        <v>3</v>
      </c>
      <c r="F1318" s="4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1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0</v>
      </c>
      <c r="AX1318" s="3">
        <v>0</v>
      </c>
      <c r="AY1318" s="3">
        <v>0</v>
      </c>
      <c r="AZ1318" s="3">
        <v>0</v>
      </c>
      <c r="BA1318" s="3">
        <v>0</v>
      </c>
      <c r="BB1318" s="3">
        <v>0</v>
      </c>
      <c r="BC1318" s="3">
        <v>0</v>
      </c>
      <c r="BD1318" s="3">
        <v>0</v>
      </c>
      <c r="BE1318" s="3">
        <v>0</v>
      </c>
      <c r="BF1318" s="3">
        <v>0</v>
      </c>
      <c r="BG1318" s="3">
        <v>0</v>
      </c>
      <c r="BH1318" s="3">
        <v>0</v>
      </c>
      <c r="BI1318" s="3">
        <v>0</v>
      </c>
      <c r="BJ1318" s="3">
        <v>0</v>
      </c>
      <c r="BK1318" s="3">
        <v>0</v>
      </c>
      <c r="BL1318" s="3">
        <v>1</v>
      </c>
      <c r="BM1318" s="3">
        <v>0</v>
      </c>
    </row>
    <row r="1319" spans="1:65" x14ac:dyDescent="0.25">
      <c r="A1319" s="2" t="s">
        <v>147</v>
      </c>
      <c r="B1319" s="4">
        <v>75</v>
      </c>
      <c r="C1319" s="4">
        <v>1</v>
      </c>
      <c r="D1319" s="4">
        <v>2</v>
      </c>
      <c r="E1319" s="4">
        <v>1</v>
      </c>
      <c r="F1319" s="4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0</v>
      </c>
      <c r="AX1319" s="3">
        <v>0</v>
      </c>
      <c r="AY1319" s="3">
        <v>0</v>
      </c>
      <c r="AZ1319" s="3">
        <v>0</v>
      </c>
      <c r="BA1319" s="3">
        <v>0</v>
      </c>
      <c r="BB1319" s="3">
        <v>0</v>
      </c>
      <c r="BC1319" s="3">
        <v>0</v>
      </c>
      <c r="BD1319" s="3">
        <v>0</v>
      </c>
      <c r="BE1319" s="3">
        <v>0</v>
      </c>
      <c r="BF1319" s="3">
        <v>0</v>
      </c>
      <c r="BG1319" s="3">
        <v>0</v>
      </c>
      <c r="BH1319" s="3">
        <v>0</v>
      </c>
      <c r="BI1319" s="3">
        <v>0</v>
      </c>
      <c r="BJ1319" s="3">
        <v>0</v>
      </c>
      <c r="BK1319" s="3">
        <v>0</v>
      </c>
      <c r="BL1319" s="3">
        <v>0</v>
      </c>
      <c r="BM1319" s="3">
        <v>0</v>
      </c>
    </row>
    <row r="1320" spans="1:65" x14ac:dyDescent="0.25">
      <c r="A1320" s="2" t="s">
        <v>147</v>
      </c>
      <c r="B1320" s="4">
        <v>75</v>
      </c>
      <c r="C1320" s="4">
        <v>1</v>
      </c>
      <c r="D1320" s="4">
        <v>2</v>
      </c>
      <c r="E1320" s="4">
        <v>2</v>
      </c>
      <c r="F1320" s="4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  <c r="AQ1320" s="3">
        <v>0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0</v>
      </c>
      <c r="AX1320" s="3">
        <v>0</v>
      </c>
      <c r="AY1320" s="3">
        <v>0</v>
      </c>
      <c r="AZ1320" s="3">
        <v>0</v>
      </c>
      <c r="BA1320" s="3">
        <v>0</v>
      </c>
      <c r="BB1320" s="3">
        <v>0</v>
      </c>
      <c r="BC1320" s="3">
        <v>0</v>
      </c>
      <c r="BD1320" s="3">
        <v>0</v>
      </c>
      <c r="BE1320" s="3">
        <v>0</v>
      </c>
      <c r="BF1320" s="3">
        <v>0</v>
      </c>
      <c r="BG1320" s="3">
        <v>0</v>
      </c>
      <c r="BH1320" s="3">
        <v>0</v>
      </c>
      <c r="BI1320" s="3">
        <v>0</v>
      </c>
      <c r="BJ1320" s="3">
        <v>0</v>
      </c>
      <c r="BK1320" s="3">
        <v>0</v>
      </c>
      <c r="BL1320" s="3">
        <v>0</v>
      </c>
      <c r="BM1320" s="3">
        <v>0</v>
      </c>
    </row>
    <row r="1321" spans="1:65" x14ac:dyDescent="0.25">
      <c r="A1321" s="2" t="s">
        <v>147</v>
      </c>
      <c r="B1321" s="4">
        <v>75</v>
      </c>
      <c r="C1321" s="4">
        <v>1</v>
      </c>
      <c r="D1321" s="4">
        <v>2</v>
      </c>
      <c r="E1321" s="4">
        <v>3</v>
      </c>
      <c r="F1321" s="4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1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T1321" s="3">
        <v>0</v>
      </c>
      <c r="AU1321" s="3">
        <v>0</v>
      </c>
      <c r="AV1321" s="3">
        <v>0</v>
      </c>
      <c r="AW1321" s="3">
        <v>0</v>
      </c>
      <c r="AX1321" s="3">
        <v>0</v>
      </c>
      <c r="AY1321" s="3">
        <v>0</v>
      </c>
      <c r="AZ1321" s="3">
        <v>0</v>
      </c>
      <c r="BA1321" s="3">
        <v>0</v>
      </c>
      <c r="BB1321" s="3">
        <v>0</v>
      </c>
      <c r="BC1321" s="3">
        <v>0</v>
      </c>
      <c r="BD1321" s="3">
        <v>0</v>
      </c>
      <c r="BE1321" s="3">
        <v>0</v>
      </c>
      <c r="BF1321" s="3">
        <v>0</v>
      </c>
      <c r="BG1321" s="3">
        <v>0</v>
      </c>
      <c r="BH1321" s="3">
        <v>0</v>
      </c>
      <c r="BI1321" s="3">
        <v>0</v>
      </c>
      <c r="BJ1321" s="3">
        <v>0</v>
      </c>
      <c r="BK1321" s="3">
        <v>0</v>
      </c>
      <c r="BL1321" s="3">
        <v>0</v>
      </c>
      <c r="BM1321" s="3">
        <v>0</v>
      </c>
    </row>
    <row r="1322" spans="1:65" x14ac:dyDescent="0.25">
      <c r="A1322" s="2" t="s">
        <v>147</v>
      </c>
      <c r="B1322" s="4">
        <v>75</v>
      </c>
      <c r="C1322" s="4">
        <v>1</v>
      </c>
      <c r="D1322" s="4">
        <v>3</v>
      </c>
      <c r="E1322" s="4">
        <v>1</v>
      </c>
      <c r="F1322" s="4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1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3">
        <v>0</v>
      </c>
      <c r="AV1322" s="3">
        <v>0</v>
      </c>
      <c r="AW1322" s="3">
        <v>0</v>
      </c>
      <c r="AX1322" s="3">
        <v>0</v>
      </c>
      <c r="AY1322" s="3">
        <v>0</v>
      </c>
      <c r="AZ1322" s="3">
        <v>0</v>
      </c>
      <c r="BA1322" s="3">
        <v>0</v>
      </c>
      <c r="BB1322" s="3">
        <v>0</v>
      </c>
      <c r="BC1322" s="3">
        <v>0</v>
      </c>
      <c r="BD1322" s="3">
        <v>0</v>
      </c>
      <c r="BE1322" s="3">
        <v>1</v>
      </c>
      <c r="BF1322" s="3">
        <v>0</v>
      </c>
      <c r="BG1322" s="3">
        <v>0</v>
      </c>
      <c r="BH1322" s="3">
        <v>0</v>
      </c>
      <c r="BI1322" s="3">
        <v>0</v>
      </c>
      <c r="BJ1322" s="3">
        <v>0</v>
      </c>
      <c r="BK1322" s="3">
        <v>0</v>
      </c>
      <c r="BL1322" s="3">
        <v>0</v>
      </c>
      <c r="BM1322" s="3">
        <v>0</v>
      </c>
    </row>
    <row r="1323" spans="1:65" x14ac:dyDescent="0.25">
      <c r="A1323" s="2" t="s">
        <v>147</v>
      </c>
      <c r="B1323" s="4">
        <v>75</v>
      </c>
      <c r="C1323" s="4">
        <v>1</v>
      </c>
      <c r="D1323" s="4">
        <v>3</v>
      </c>
      <c r="E1323" s="4">
        <v>2</v>
      </c>
      <c r="F1323" s="4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1</v>
      </c>
      <c r="AG1323" s="3">
        <v>0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  <c r="AV1323" s="3">
        <v>0</v>
      </c>
      <c r="AW1323" s="3">
        <v>0</v>
      </c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v>0</v>
      </c>
      <c r="BD1323" s="3">
        <v>0</v>
      </c>
      <c r="BE1323" s="3">
        <v>0</v>
      </c>
      <c r="BF1323" s="3">
        <v>0</v>
      </c>
      <c r="BG1323" s="3">
        <v>0</v>
      </c>
      <c r="BH1323" s="3">
        <v>0</v>
      </c>
      <c r="BI1323" s="3">
        <v>0</v>
      </c>
      <c r="BJ1323" s="3">
        <v>0</v>
      </c>
      <c r="BK1323" s="3">
        <v>0</v>
      </c>
      <c r="BL1323" s="3">
        <v>0</v>
      </c>
      <c r="BM1323" s="3">
        <v>0</v>
      </c>
    </row>
    <row r="1324" spans="1:65" x14ac:dyDescent="0.25">
      <c r="A1324" s="2" t="s">
        <v>147</v>
      </c>
      <c r="B1324" s="4">
        <v>75</v>
      </c>
      <c r="C1324" s="4">
        <v>1</v>
      </c>
      <c r="D1324" s="4">
        <v>3</v>
      </c>
      <c r="E1324" s="4">
        <v>3</v>
      </c>
      <c r="F1324" s="4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T1324" s="3">
        <v>0</v>
      </c>
      <c r="AU1324" s="3">
        <v>0</v>
      </c>
      <c r="AV1324" s="3">
        <v>0</v>
      </c>
      <c r="AW1324" s="3">
        <v>0</v>
      </c>
      <c r="AX1324" s="3">
        <v>0</v>
      </c>
      <c r="AY1324" s="3">
        <v>0</v>
      </c>
      <c r="AZ1324" s="3">
        <v>0</v>
      </c>
      <c r="BA1324" s="3">
        <v>0</v>
      </c>
      <c r="BB1324" s="3">
        <v>0</v>
      </c>
      <c r="BC1324" s="3">
        <v>0</v>
      </c>
      <c r="BD1324" s="3">
        <v>0</v>
      </c>
      <c r="BE1324" s="3">
        <v>0</v>
      </c>
      <c r="BF1324" s="3">
        <v>0</v>
      </c>
      <c r="BG1324" s="3">
        <v>0</v>
      </c>
      <c r="BH1324" s="3">
        <v>0</v>
      </c>
      <c r="BI1324" s="3">
        <v>0</v>
      </c>
      <c r="BJ1324" s="3">
        <v>0</v>
      </c>
      <c r="BK1324" s="3">
        <v>0</v>
      </c>
      <c r="BL1324" s="3">
        <v>0</v>
      </c>
      <c r="BM1324" s="3">
        <v>0</v>
      </c>
    </row>
    <row r="1325" spans="1:65" x14ac:dyDescent="0.25">
      <c r="A1325" s="2" t="s">
        <v>147</v>
      </c>
      <c r="B1325" s="4">
        <v>75</v>
      </c>
      <c r="C1325" s="4">
        <v>2</v>
      </c>
      <c r="D1325" s="4">
        <v>1</v>
      </c>
      <c r="E1325" s="4">
        <v>1</v>
      </c>
      <c r="F1325" s="6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1</v>
      </c>
      <c r="AC1325" s="3">
        <v>0</v>
      </c>
      <c r="AD1325" s="3">
        <v>0</v>
      </c>
      <c r="AE1325" s="3">
        <v>0</v>
      </c>
      <c r="AF1325" s="3">
        <v>2</v>
      </c>
      <c r="AG1325" s="3">
        <v>0</v>
      </c>
      <c r="AH1325" s="3">
        <v>0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0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0</v>
      </c>
      <c r="AX1325" s="3">
        <v>0</v>
      </c>
      <c r="AY1325" s="3">
        <v>0</v>
      </c>
      <c r="AZ1325" s="3">
        <v>0</v>
      </c>
      <c r="BA1325" s="3">
        <v>0</v>
      </c>
      <c r="BB1325" s="3">
        <v>0</v>
      </c>
      <c r="BC1325" s="3">
        <v>0</v>
      </c>
      <c r="BD1325" s="3">
        <v>0</v>
      </c>
      <c r="BE1325" s="3">
        <v>0</v>
      </c>
      <c r="BF1325" s="3">
        <v>0</v>
      </c>
      <c r="BG1325" s="3">
        <v>0</v>
      </c>
      <c r="BH1325" s="3">
        <v>0</v>
      </c>
      <c r="BI1325" s="3">
        <v>0</v>
      </c>
      <c r="BJ1325" s="3">
        <v>0</v>
      </c>
      <c r="BK1325" s="3">
        <v>0</v>
      </c>
      <c r="BL1325" s="3">
        <v>4</v>
      </c>
      <c r="BM1325" s="3">
        <v>0</v>
      </c>
    </row>
    <row r="1326" spans="1:65" x14ac:dyDescent="0.25">
      <c r="A1326" s="2" t="s">
        <v>147</v>
      </c>
      <c r="B1326" s="4">
        <v>75</v>
      </c>
      <c r="C1326" s="4">
        <v>2</v>
      </c>
      <c r="D1326" s="4">
        <v>1</v>
      </c>
      <c r="E1326" s="4">
        <v>2</v>
      </c>
      <c r="F1326" s="6">
        <v>0</v>
      </c>
      <c r="G1326" s="3">
        <v>1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1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0</v>
      </c>
      <c r="AQ1326" s="3">
        <v>0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W1326" s="3">
        <v>0</v>
      </c>
      <c r="AX1326" s="3">
        <v>0</v>
      </c>
      <c r="AY1326" s="3">
        <v>0</v>
      </c>
      <c r="AZ1326" s="3">
        <v>0</v>
      </c>
      <c r="BA1326" s="3">
        <v>0</v>
      </c>
      <c r="BB1326" s="3">
        <v>0</v>
      </c>
      <c r="BC1326" s="3">
        <v>0</v>
      </c>
      <c r="BD1326" s="3">
        <v>0</v>
      </c>
      <c r="BE1326" s="3">
        <v>0</v>
      </c>
      <c r="BF1326" s="3">
        <v>0</v>
      </c>
      <c r="BG1326" s="3">
        <v>0</v>
      </c>
      <c r="BH1326" s="3">
        <v>0</v>
      </c>
      <c r="BI1326" s="3">
        <v>0</v>
      </c>
      <c r="BJ1326" s="3">
        <v>0</v>
      </c>
      <c r="BK1326" s="3">
        <v>0</v>
      </c>
      <c r="BL1326" s="3">
        <v>0</v>
      </c>
      <c r="BM1326" s="3">
        <v>0</v>
      </c>
    </row>
    <row r="1327" spans="1:65" x14ac:dyDescent="0.25">
      <c r="A1327" s="2" t="s">
        <v>147</v>
      </c>
      <c r="B1327" s="4">
        <v>75</v>
      </c>
      <c r="C1327" s="4">
        <v>2</v>
      </c>
      <c r="D1327" s="4">
        <v>1</v>
      </c>
      <c r="E1327" s="4">
        <v>3</v>
      </c>
      <c r="F1327" s="6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1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3">
        <v>0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0</v>
      </c>
      <c r="BD1327" s="3">
        <v>0</v>
      </c>
      <c r="BE1327" s="3">
        <v>0</v>
      </c>
      <c r="BF1327" s="3">
        <v>0</v>
      </c>
      <c r="BG1327" s="3">
        <v>0</v>
      </c>
      <c r="BH1327" s="3">
        <v>0</v>
      </c>
      <c r="BI1327" s="3">
        <v>0</v>
      </c>
      <c r="BJ1327" s="3">
        <v>0</v>
      </c>
      <c r="BK1327" s="3">
        <v>0</v>
      </c>
      <c r="BL1327" s="3">
        <v>0</v>
      </c>
      <c r="BM1327" s="3">
        <v>0</v>
      </c>
    </row>
    <row r="1328" spans="1:65" x14ac:dyDescent="0.25">
      <c r="A1328" s="2" t="s">
        <v>147</v>
      </c>
      <c r="B1328" s="4">
        <v>75</v>
      </c>
      <c r="C1328" s="4">
        <v>2</v>
      </c>
      <c r="D1328" s="4">
        <v>2</v>
      </c>
      <c r="E1328" s="4">
        <v>1</v>
      </c>
      <c r="F1328" s="6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  <c r="AU1328" s="3">
        <v>0</v>
      </c>
      <c r="AV1328" s="3">
        <v>0</v>
      </c>
      <c r="AW1328" s="3">
        <v>0</v>
      </c>
      <c r="AX1328" s="3">
        <v>0</v>
      </c>
      <c r="AY1328" s="3">
        <v>0</v>
      </c>
      <c r="AZ1328" s="3">
        <v>0</v>
      </c>
      <c r="BA1328" s="3">
        <v>0</v>
      </c>
      <c r="BB1328" s="3">
        <v>0</v>
      </c>
      <c r="BC1328" s="3">
        <v>0</v>
      </c>
      <c r="BD1328" s="3">
        <v>0</v>
      </c>
      <c r="BE1328" s="3">
        <v>0</v>
      </c>
      <c r="BF1328" s="3">
        <v>0</v>
      </c>
      <c r="BG1328" s="3">
        <v>0</v>
      </c>
      <c r="BH1328" s="3">
        <v>0</v>
      </c>
      <c r="BI1328" s="3">
        <v>0</v>
      </c>
      <c r="BJ1328" s="3">
        <v>0</v>
      </c>
      <c r="BK1328" s="3">
        <v>0</v>
      </c>
      <c r="BL1328" s="3">
        <v>0</v>
      </c>
      <c r="BM1328" s="3">
        <v>0</v>
      </c>
    </row>
    <row r="1329" spans="1:65" x14ac:dyDescent="0.25">
      <c r="A1329" s="2" t="s">
        <v>147</v>
      </c>
      <c r="B1329" s="4">
        <v>75</v>
      </c>
      <c r="C1329" s="4">
        <v>2</v>
      </c>
      <c r="D1329" s="4">
        <v>2</v>
      </c>
      <c r="E1329" s="4">
        <v>2</v>
      </c>
      <c r="F1329" s="6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  <c r="AJ1329" s="3">
        <v>0</v>
      </c>
      <c r="AK1329" s="3">
        <v>0</v>
      </c>
      <c r="AL1329" s="3">
        <v>0</v>
      </c>
      <c r="AM1329" s="3">
        <v>0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0</v>
      </c>
      <c r="AX1329" s="3">
        <v>0</v>
      </c>
      <c r="AY1329" s="3">
        <v>0</v>
      </c>
      <c r="AZ1329" s="3">
        <v>0</v>
      </c>
      <c r="BA1329" s="3">
        <v>0</v>
      </c>
      <c r="BB1329" s="3">
        <v>0</v>
      </c>
      <c r="BC1329" s="3">
        <v>0</v>
      </c>
      <c r="BD1329" s="3">
        <v>0</v>
      </c>
      <c r="BE1329" s="3">
        <v>0</v>
      </c>
      <c r="BF1329" s="3">
        <v>0</v>
      </c>
      <c r="BG1329" s="3">
        <v>0</v>
      </c>
      <c r="BH1329" s="3">
        <v>0</v>
      </c>
      <c r="BI1329" s="3">
        <v>0</v>
      </c>
      <c r="BJ1329" s="3">
        <v>0</v>
      </c>
      <c r="BK1329" s="3">
        <v>0</v>
      </c>
      <c r="BL1329" s="3">
        <v>0</v>
      </c>
      <c r="BM1329" s="3">
        <v>0</v>
      </c>
    </row>
    <row r="1330" spans="1:65" x14ac:dyDescent="0.25">
      <c r="A1330" s="2" t="s">
        <v>147</v>
      </c>
      <c r="B1330" s="4">
        <v>75</v>
      </c>
      <c r="C1330" s="4">
        <v>2</v>
      </c>
      <c r="D1330" s="4">
        <v>2</v>
      </c>
      <c r="E1330" s="4">
        <v>3</v>
      </c>
      <c r="F1330" s="6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1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3">
        <v>0</v>
      </c>
      <c r="AV1330" s="3">
        <v>0</v>
      </c>
      <c r="AW1330" s="3">
        <v>0</v>
      </c>
      <c r="AX1330" s="3">
        <v>0</v>
      </c>
      <c r="AY1330" s="3">
        <v>0</v>
      </c>
      <c r="AZ1330" s="3">
        <v>0</v>
      </c>
      <c r="BA1330" s="3">
        <v>0</v>
      </c>
      <c r="BB1330" s="3">
        <v>0</v>
      </c>
      <c r="BC1330" s="3">
        <v>0</v>
      </c>
      <c r="BD1330" s="3">
        <v>0</v>
      </c>
      <c r="BE1330" s="3">
        <v>0</v>
      </c>
      <c r="BF1330" s="3">
        <v>0</v>
      </c>
      <c r="BG1330" s="3">
        <v>0</v>
      </c>
      <c r="BH1330" s="3">
        <v>0</v>
      </c>
      <c r="BI1330" s="3">
        <v>0</v>
      </c>
      <c r="BJ1330" s="3">
        <v>0</v>
      </c>
      <c r="BK1330" s="3">
        <v>0</v>
      </c>
      <c r="BL1330" s="3">
        <v>0</v>
      </c>
      <c r="BM1330" s="3">
        <v>0</v>
      </c>
    </row>
    <row r="1331" spans="1:65" x14ac:dyDescent="0.25">
      <c r="A1331" s="2" t="s">
        <v>147</v>
      </c>
      <c r="B1331" s="4">
        <v>75</v>
      </c>
      <c r="C1331" s="4">
        <v>2</v>
      </c>
      <c r="D1331" s="4">
        <v>3</v>
      </c>
      <c r="E1331" s="4">
        <v>1</v>
      </c>
      <c r="F1331" s="6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1</v>
      </c>
      <c r="Z1331" s="3">
        <v>0</v>
      </c>
      <c r="AA1331" s="3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T1331" s="3">
        <v>0</v>
      </c>
      <c r="AU1331" s="3">
        <v>0</v>
      </c>
      <c r="AV1331" s="3">
        <v>0</v>
      </c>
      <c r="AW1331" s="3">
        <v>0</v>
      </c>
      <c r="AX1331" s="3">
        <v>0</v>
      </c>
      <c r="AY1331" s="3">
        <v>0</v>
      </c>
      <c r="AZ1331" s="3">
        <v>0</v>
      </c>
      <c r="BA1331" s="3">
        <v>0</v>
      </c>
      <c r="BB1331" s="3">
        <v>0</v>
      </c>
      <c r="BC1331" s="3">
        <v>0</v>
      </c>
      <c r="BD1331" s="3">
        <v>0</v>
      </c>
      <c r="BE1331" s="3">
        <v>0</v>
      </c>
      <c r="BF1331" s="3">
        <v>0</v>
      </c>
      <c r="BG1331" s="3">
        <v>0</v>
      </c>
      <c r="BH1331" s="3">
        <v>0</v>
      </c>
      <c r="BI1331" s="3">
        <v>0</v>
      </c>
      <c r="BJ1331" s="3">
        <v>0</v>
      </c>
      <c r="BK1331" s="3">
        <v>0</v>
      </c>
      <c r="BL1331" s="3">
        <v>0</v>
      </c>
      <c r="BM1331" s="3">
        <v>0</v>
      </c>
    </row>
    <row r="1332" spans="1:65" x14ac:dyDescent="0.25">
      <c r="A1332" s="2" t="s">
        <v>147</v>
      </c>
      <c r="B1332" s="4">
        <v>75</v>
      </c>
      <c r="C1332" s="4">
        <v>2</v>
      </c>
      <c r="D1332" s="4">
        <v>3</v>
      </c>
      <c r="E1332" s="4">
        <v>2</v>
      </c>
      <c r="F1332" s="6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1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  <c r="AO1332" s="3">
        <v>1</v>
      </c>
      <c r="AP1332" s="3">
        <v>0</v>
      </c>
      <c r="AQ1332" s="3">
        <v>0</v>
      </c>
      <c r="AR1332" s="3">
        <v>0</v>
      </c>
      <c r="AS1332" s="3">
        <v>0</v>
      </c>
      <c r="AT1332" s="3">
        <v>0</v>
      </c>
      <c r="AU1332" s="3">
        <v>0</v>
      </c>
      <c r="AV1332" s="3">
        <v>0</v>
      </c>
      <c r="AW1332" s="3">
        <v>0</v>
      </c>
      <c r="AX1332" s="3">
        <v>0</v>
      </c>
      <c r="AY1332" s="3">
        <v>0</v>
      </c>
      <c r="AZ1332" s="3">
        <v>0</v>
      </c>
      <c r="BA1332" s="3">
        <v>0</v>
      </c>
      <c r="BB1332" s="3">
        <v>0</v>
      </c>
      <c r="BC1332" s="3">
        <v>0</v>
      </c>
      <c r="BD1332" s="3">
        <v>0</v>
      </c>
      <c r="BE1332" s="3">
        <v>0</v>
      </c>
      <c r="BF1332" s="3">
        <v>0</v>
      </c>
      <c r="BG1332" s="3">
        <v>0</v>
      </c>
      <c r="BH1332" s="3">
        <v>0</v>
      </c>
      <c r="BI1332" s="3">
        <v>0</v>
      </c>
      <c r="BJ1332" s="3">
        <v>0</v>
      </c>
      <c r="BK1332" s="3">
        <v>0</v>
      </c>
      <c r="BL1332" s="3">
        <v>0</v>
      </c>
      <c r="BM1332" s="3">
        <v>0</v>
      </c>
    </row>
    <row r="1333" spans="1:65" x14ac:dyDescent="0.25">
      <c r="A1333" s="2" t="s">
        <v>147</v>
      </c>
      <c r="B1333" s="4">
        <v>75</v>
      </c>
      <c r="C1333" s="4">
        <v>2</v>
      </c>
      <c r="D1333" s="4">
        <v>3</v>
      </c>
      <c r="E1333" s="4">
        <v>3</v>
      </c>
      <c r="F1333" s="6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0</v>
      </c>
      <c r="AX1333" s="3">
        <v>0</v>
      </c>
      <c r="AY1333" s="3">
        <v>0</v>
      </c>
      <c r="AZ1333" s="3">
        <v>0</v>
      </c>
      <c r="BA1333" s="3">
        <v>0</v>
      </c>
      <c r="BB1333" s="3">
        <v>0</v>
      </c>
      <c r="BC1333" s="3">
        <v>0</v>
      </c>
      <c r="BD1333" s="3">
        <v>0</v>
      </c>
      <c r="BE1333" s="3">
        <v>0</v>
      </c>
      <c r="BF1333" s="3">
        <v>0</v>
      </c>
      <c r="BG1333" s="3">
        <v>0</v>
      </c>
      <c r="BH1333" s="3">
        <v>0</v>
      </c>
      <c r="BI1333" s="3">
        <v>0</v>
      </c>
      <c r="BJ1333" s="3">
        <v>0</v>
      </c>
      <c r="BK1333" s="3">
        <v>0</v>
      </c>
      <c r="BL1333" s="3">
        <v>0</v>
      </c>
      <c r="BM1333" s="3">
        <v>0</v>
      </c>
    </row>
    <row r="1334" spans="1:65" x14ac:dyDescent="0.25">
      <c r="A1334" s="2" t="s">
        <v>148</v>
      </c>
      <c r="B1334" s="4">
        <v>76</v>
      </c>
      <c r="C1334" s="4">
        <v>1</v>
      </c>
      <c r="D1334" s="4">
        <v>1</v>
      </c>
      <c r="E1334" s="4">
        <v>1</v>
      </c>
      <c r="F1334" s="4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1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1</v>
      </c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3">
        <v>0</v>
      </c>
      <c r="AQ1334" s="3">
        <v>0</v>
      </c>
      <c r="AR1334" s="3">
        <v>0</v>
      </c>
      <c r="AS1334" s="3">
        <v>0</v>
      </c>
      <c r="AT1334" s="3">
        <v>0</v>
      </c>
      <c r="AU1334" s="3">
        <v>0</v>
      </c>
      <c r="AV1334" s="3">
        <v>0</v>
      </c>
      <c r="AW1334" s="3">
        <v>0</v>
      </c>
      <c r="AX1334" s="3">
        <v>0</v>
      </c>
      <c r="AY1334" s="3">
        <v>0</v>
      </c>
      <c r="AZ1334" s="3">
        <v>0</v>
      </c>
      <c r="BA1334" s="3">
        <v>0</v>
      </c>
      <c r="BB1334" s="3">
        <v>0</v>
      </c>
      <c r="BC1334" s="3">
        <v>0</v>
      </c>
      <c r="BD1334" s="3">
        <v>0</v>
      </c>
      <c r="BE1334" s="3">
        <v>0</v>
      </c>
      <c r="BF1334" s="3">
        <v>0</v>
      </c>
      <c r="BG1334" s="3">
        <v>0</v>
      </c>
      <c r="BH1334" s="3">
        <v>0</v>
      </c>
      <c r="BI1334" s="3">
        <v>0</v>
      </c>
      <c r="BJ1334" s="3">
        <v>0</v>
      </c>
      <c r="BK1334" s="3">
        <v>0</v>
      </c>
      <c r="BL1334" s="3">
        <v>1</v>
      </c>
      <c r="BM1334" s="3">
        <v>0</v>
      </c>
    </row>
    <row r="1335" spans="1:65" x14ac:dyDescent="0.25">
      <c r="A1335" s="2" t="s">
        <v>148</v>
      </c>
      <c r="B1335" s="4">
        <v>76</v>
      </c>
      <c r="C1335" s="4">
        <v>1</v>
      </c>
      <c r="D1335" s="4">
        <v>1</v>
      </c>
      <c r="E1335" s="4">
        <v>2</v>
      </c>
      <c r="F1335" s="4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1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1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1</v>
      </c>
      <c r="Z1335" s="3">
        <v>0</v>
      </c>
      <c r="AA1335" s="3">
        <v>0</v>
      </c>
      <c r="AB1335" s="3">
        <v>0</v>
      </c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v>0</v>
      </c>
      <c r="BD1335" s="3">
        <v>0</v>
      </c>
      <c r="BE1335" s="3">
        <v>0</v>
      </c>
      <c r="BF1335" s="3">
        <v>0</v>
      </c>
      <c r="BG1335" s="3">
        <v>0</v>
      </c>
      <c r="BH1335" s="3">
        <v>0</v>
      </c>
      <c r="BI1335" s="3">
        <v>0</v>
      </c>
      <c r="BJ1335" s="3">
        <v>0</v>
      </c>
      <c r="BK1335" s="3">
        <v>0</v>
      </c>
      <c r="BL1335" s="3">
        <v>2</v>
      </c>
      <c r="BM1335" s="3">
        <v>0</v>
      </c>
    </row>
    <row r="1336" spans="1:65" x14ac:dyDescent="0.25">
      <c r="A1336" s="2" t="s">
        <v>148</v>
      </c>
      <c r="B1336" s="4">
        <v>76</v>
      </c>
      <c r="C1336" s="4">
        <v>1</v>
      </c>
      <c r="D1336" s="4">
        <v>1</v>
      </c>
      <c r="E1336" s="4">
        <v>3</v>
      </c>
      <c r="F1336" s="4">
        <v>0</v>
      </c>
      <c r="G1336" s="3">
        <v>0</v>
      </c>
      <c r="H1336" s="3">
        <v>0</v>
      </c>
      <c r="I1336" s="3">
        <v>1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0</v>
      </c>
      <c r="AX1336" s="3">
        <v>0</v>
      </c>
      <c r="AY1336" s="3">
        <v>0</v>
      </c>
      <c r="AZ1336" s="3">
        <v>0</v>
      </c>
      <c r="BA1336" s="3">
        <v>0</v>
      </c>
      <c r="BB1336" s="3">
        <v>0</v>
      </c>
      <c r="BC1336" s="3">
        <v>0</v>
      </c>
      <c r="BD1336" s="3">
        <v>0</v>
      </c>
      <c r="BE1336" s="3">
        <v>0</v>
      </c>
      <c r="BF1336" s="3">
        <v>0</v>
      </c>
      <c r="BG1336" s="3">
        <v>0</v>
      </c>
      <c r="BH1336" s="3">
        <v>0</v>
      </c>
      <c r="BI1336" s="3">
        <v>0</v>
      </c>
      <c r="BJ1336" s="3">
        <v>0</v>
      </c>
      <c r="BK1336" s="3">
        <v>0</v>
      </c>
      <c r="BL1336" s="3">
        <v>0</v>
      </c>
      <c r="BM1336" s="3">
        <v>0</v>
      </c>
    </row>
    <row r="1337" spans="1:65" x14ac:dyDescent="0.25">
      <c r="A1337" s="2" t="s">
        <v>148</v>
      </c>
      <c r="B1337" s="4">
        <v>76</v>
      </c>
      <c r="C1337" s="4">
        <v>1</v>
      </c>
      <c r="D1337" s="4">
        <v>2</v>
      </c>
      <c r="E1337" s="4">
        <v>1</v>
      </c>
      <c r="F1337" s="4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0</v>
      </c>
      <c r="AO1337" s="3">
        <v>0</v>
      </c>
      <c r="AP1337" s="3">
        <v>0</v>
      </c>
      <c r="AQ1337" s="3">
        <v>0</v>
      </c>
      <c r="AR1337" s="3">
        <v>0</v>
      </c>
      <c r="AS1337" s="3">
        <v>0</v>
      </c>
      <c r="AT1337" s="3">
        <v>0</v>
      </c>
      <c r="AU1337" s="3">
        <v>0</v>
      </c>
      <c r="AV1337" s="3">
        <v>0</v>
      </c>
      <c r="AW1337" s="3">
        <v>0</v>
      </c>
      <c r="AX1337" s="3">
        <v>0</v>
      </c>
      <c r="AY1337" s="3">
        <v>0</v>
      </c>
      <c r="AZ1337" s="3">
        <v>0</v>
      </c>
      <c r="BA1337" s="3">
        <v>0</v>
      </c>
      <c r="BB1337" s="3">
        <v>0</v>
      </c>
      <c r="BC1337" s="3">
        <v>0</v>
      </c>
      <c r="BD1337" s="3">
        <v>0</v>
      </c>
      <c r="BE1337" s="3">
        <v>0</v>
      </c>
      <c r="BF1337" s="3">
        <v>0</v>
      </c>
      <c r="BG1337" s="3">
        <v>0</v>
      </c>
      <c r="BH1337" s="3">
        <v>0</v>
      </c>
      <c r="BI1337" s="3">
        <v>0</v>
      </c>
      <c r="BJ1337" s="3">
        <v>0</v>
      </c>
      <c r="BK1337" s="3">
        <v>0</v>
      </c>
      <c r="BL1337" s="3">
        <v>0</v>
      </c>
      <c r="BM1337" s="3">
        <v>0</v>
      </c>
    </row>
    <row r="1338" spans="1:65" x14ac:dyDescent="0.25">
      <c r="A1338" s="2" t="s">
        <v>148</v>
      </c>
      <c r="B1338" s="4">
        <v>76</v>
      </c>
      <c r="C1338" s="4">
        <v>1</v>
      </c>
      <c r="D1338" s="4">
        <v>2</v>
      </c>
      <c r="E1338" s="4">
        <v>2</v>
      </c>
      <c r="F1338" s="4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1</v>
      </c>
      <c r="Z1338" s="3">
        <v>0</v>
      </c>
      <c r="AA1338" s="3">
        <v>0</v>
      </c>
      <c r="AB1338" s="3">
        <v>0</v>
      </c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>
        <v>0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  <c r="AP1338" s="3">
        <v>0</v>
      </c>
      <c r="AQ1338" s="3">
        <v>0</v>
      </c>
      <c r="AR1338" s="3">
        <v>0</v>
      </c>
      <c r="AS1338" s="3">
        <v>0</v>
      </c>
      <c r="AT1338" s="3">
        <v>0</v>
      </c>
      <c r="AU1338" s="3">
        <v>0</v>
      </c>
      <c r="AV1338" s="3">
        <v>0</v>
      </c>
      <c r="AW1338" s="3">
        <v>0</v>
      </c>
      <c r="AX1338" s="3">
        <v>0</v>
      </c>
      <c r="AY1338" s="3">
        <v>0</v>
      </c>
      <c r="AZ1338" s="3">
        <v>0</v>
      </c>
      <c r="BA1338" s="3">
        <v>0</v>
      </c>
      <c r="BB1338" s="3">
        <v>0</v>
      </c>
      <c r="BC1338" s="3">
        <v>0</v>
      </c>
      <c r="BD1338" s="3">
        <v>0</v>
      </c>
      <c r="BE1338" s="3">
        <v>0</v>
      </c>
      <c r="BF1338" s="3">
        <v>0</v>
      </c>
      <c r="BG1338" s="3">
        <v>0</v>
      </c>
      <c r="BH1338" s="3">
        <v>0</v>
      </c>
      <c r="BI1338" s="3">
        <v>0</v>
      </c>
      <c r="BJ1338" s="3">
        <v>0</v>
      </c>
      <c r="BK1338" s="3">
        <v>0</v>
      </c>
      <c r="BL1338" s="3">
        <v>0</v>
      </c>
      <c r="BM1338" s="3">
        <v>0</v>
      </c>
    </row>
    <row r="1339" spans="1:65" x14ac:dyDescent="0.25">
      <c r="A1339" s="2" t="s">
        <v>148</v>
      </c>
      <c r="B1339" s="4">
        <v>76</v>
      </c>
      <c r="C1339" s="4">
        <v>1</v>
      </c>
      <c r="D1339" s="4">
        <v>2</v>
      </c>
      <c r="E1339" s="4">
        <v>3</v>
      </c>
      <c r="F1339" s="4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>
        <v>0</v>
      </c>
      <c r="AK1339" s="3">
        <v>0</v>
      </c>
      <c r="AL1339" s="3">
        <v>0</v>
      </c>
      <c r="AM1339" s="3">
        <v>0</v>
      </c>
      <c r="AN1339" s="3">
        <v>0</v>
      </c>
      <c r="AO1339" s="3">
        <v>0</v>
      </c>
      <c r="AP1339" s="3">
        <v>0</v>
      </c>
      <c r="AQ1339" s="3">
        <v>0</v>
      </c>
      <c r="AR1339" s="3">
        <v>0</v>
      </c>
      <c r="AS1339" s="3">
        <v>0</v>
      </c>
      <c r="AT1339" s="3">
        <v>0</v>
      </c>
      <c r="AU1339" s="3">
        <v>0</v>
      </c>
      <c r="AV1339" s="3">
        <v>0</v>
      </c>
      <c r="AW1339" s="3">
        <v>0</v>
      </c>
      <c r="AX1339" s="3">
        <v>0</v>
      </c>
      <c r="AY1339" s="3">
        <v>0</v>
      </c>
      <c r="AZ1339" s="3">
        <v>0</v>
      </c>
      <c r="BA1339" s="3">
        <v>0</v>
      </c>
      <c r="BB1339" s="3">
        <v>0</v>
      </c>
      <c r="BC1339" s="3">
        <v>0</v>
      </c>
      <c r="BD1339" s="3">
        <v>0</v>
      </c>
      <c r="BE1339" s="3">
        <v>0</v>
      </c>
      <c r="BF1339" s="3">
        <v>0</v>
      </c>
      <c r="BG1339" s="3">
        <v>0</v>
      </c>
      <c r="BH1339" s="3">
        <v>0</v>
      </c>
      <c r="BI1339" s="3">
        <v>0</v>
      </c>
      <c r="BJ1339" s="3">
        <v>0</v>
      </c>
      <c r="BK1339" s="3">
        <v>0</v>
      </c>
      <c r="BL1339" s="3">
        <v>0</v>
      </c>
      <c r="BM1339" s="3">
        <v>0</v>
      </c>
    </row>
    <row r="1340" spans="1:65" x14ac:dyDescent="0.25">
      <c r="A1340" s="2" t="s">
        <v>148</v>
      </c>
      <c r="B1340" s="4">
        <v>76</v>
      </c>
      <c r="C1340" s="4">
        <v>1</v>
      </c>
      <c r="D1340" s="4">
        <v>3</v>
      </c>
      <c r="E1340" s="4">
        <v>1</v>
      </c>
      <c r="F1340" s="4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3">
        <v>0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0</v>
      </c>
      <c r="AW1340" s="3">
        <v>0</v>
      </c>
      <c r="AX1340" s="3">
        <v>0</v>
      </c>
      <c r="AY1340" s="3">
        <v>0</v>
      </c>
      <c r="AZ1340" s="3">
        <v>0</v>
      </c>
      <c r="BA1340" s="3">
        <v>0</v>
      </c>
      <c r="BB1340" s="3">
        <v>0</v>
      </c>
      <c r="BC1340" s="3">
        <v>0</v>
      </c>
      <c r="BD1340" s="3">
        <v>0</v>
      </c>
      <c r="BE1340" s="3">
        <v>0</v>
      </c>
      <c r="BF1340" s="3">
        <v>0</v>
      </c>
      <c r="BG1340" s="3">
        <v>0</v>
      </c>
      <c r="BH1340" s="3">
        <v>0</v>
      </c>
      <c r="BI1340" s="3">
        <v>0</v>
      </c>
      <c r="BJ1340" s="3">
        <v>0</v>
      </c>
      <c r="BK1340" s="3">
        <v>0</v>
      </c>
      <c r="BL1340" s="3">
        <v>2</v>
      </c>
      <c r="BM1340" s="3">
        <v>0</v>
      </c>
    </row>
    <row r="1341" spans="1:65" x14ac:dyDescent="0.25">
      <c r="A1341" s="2" t="s">
        <v>148</v>
      </c>
      <c r="B1341" s="4">
        <v>76</v>
      </c>
      <c r="C1341" s="4">
        <v>1</v>
      </c>
      <c r="D1341" s="4">
        <v>3</v>
      </c>
      <c r="E1341" s="4">
        <v>2</v>
      </c>
      <c r="F1341" s="4">
        <v>0</v>
      </c>
      <c r="G1341" s="3">
        <v>0</v>
      </c>
      <c r="H1341" s="3">
        <v>0</v>
      </c>
      <c r="I1341" s="3">
        <v>1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  <c r="AJ1341" s="3">
        <v>0</v>
      </c>
      <c r="AK1341" s="3">
        <v>0</v>
      </c>
      <c r="AL1341" s="3">
        <v>0</v>
      </c>
      <c r="AM1341" s="3">
        <v>0</v>
      </c>
      <c r="AN1341" s="3">
        <v>0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3">
        <v>0</v>
      </c>
      <c r="AV1341" s="3">
        <v>0</v>
      </c>
      <c r="AW1341" s="3">
        <v>0</v>
      </c>
      <c r="AX1341" s="3">
        <v>0</v>
      </c>
      <c r="AY1341" s="3">
        <v>0</v>
      </c>
      <c r="AZ1341" s="3">
        <v>0</v>
      </c>
      <c r="BA1341" s="3">
        <v>0</v>
      </c>
      <c r="BB1341" s="3">
        <v>0</v>
      </c>
      <c r="BC1341" s="3">
        <v>0</v>
      </c>
      <c r="BD1341" s="3">
        <v>0</v>
      </c>
      <c r="BE1341" s="3">
        <v>0</v>
      </c>
      <c r="BF1341" s="3">
        <v>0</v>
      </c>
      <c r="BG1341" s="3">
        <v>0</v>
      </c>
      <c r="BH1341" s="3">
        <v>0</v>
      </c>
      <c r="BI1341" s="3">
        <v>0</v>
      </c>
      <c r="BJ1341" s="3">
        <v>0</v>
      </c>
      <c r="BK1341" s="3">
        <v>0</v>
      </c>
      <c r="BL1341" s="3">
        <v>0</v>
      </c>
      <c r="BM1341" s="3">
        <v>0</v>
      </c>
    </row>
    <row r="1342" spans="1:65" x14ac:dyDescent="0.25">
      <c r="A1342" s="2" t="s">
        <v>148</v>
      </c>
      <c r="B1342" s="4">
        <v>76</v>
      </c>
      <c r="C1342" s="4">
        <v>1</v>
      </c>
      <c r="D1342" s="4">
        <v>3</v>
      </c>
      <c r="E1342" s="4">
        <v>3</v>
      </c>
      <c r="F1342" s="4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  <c r="AJ1342" s="3">
        <v>0</v>
      </c>
      <c r="AK1342" s="3">
        <v>0</v>
      </c>
      <c r="AL1342" s="3">
        <v>0</v>
      </c>
      <c r="AM1342" s="3">
        <v>0</v>
      </c>
      <c r="AN1342" s="3">
        <v>0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3">
        <v>0</v>
      </c>
      <c r="AV1342" s="3">
        <v>0</v>
      </c>
      <c r="AW1342" s="3">
        <v>0</v>
      </c>
      <c r="AX1342" s="3">
        <v>0</v>
      </c>
      <c r="AY1342" s="3">
        <v>0</v>
      </c>
      <c r="AZ1342" s="3">
        <v>0</v>
      </c>
      <c r="BA1342" s="3">
        <v>0</v>
      </c>
      <c r="BB1342" s="3">
        <v>0</v>
      </c>
      <c r="BC1342" s="3">
        <v>0</v>
      </c>
      <c r="BD1342" s="3">
        <v>0</v>
      </c>
      <c r="BE1342" s="3">
        <v>0</v>
      </c>
      <c r="BF1342" s="3">
        <v>0</v>
      </c>
      <c r="BG1342" s="3">
        <v>0</v>
      </c>
      <c r="BH1342" s="3">
        <v>0</v>
      </c>
      <c r="BI1342" s="3">
        <v>0</v>
      </c>
      <c r="BJ1342" s="3">
        <v>0</v>
      </c>
      <c r="BK1342" s="3">
        <v>0</v>
      </c>
      <c r="BL1342" s="3">
        <v>0</v>
      </c>
      <c r="BM1342" s="3">
        <v>1</v>
      </c>
    </row>
    <row r="1343" spans="1:65" x14ac:dyDescent="0.25">
      <c r="A1343" s="2" t="s">
        <v>148</v>
      </c>
      <c r="B1343" s="4">
        <v>76</v>
      </c>
      <c r="C1343" s="4">
        <v>2</v>
      </c>
      <c r="D1343" s="4">
        <v>1</v>
      </c>
      <c r="E1343" s="4">
        <v>1</v>
      </c>
      <c r="F1343" s="6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0</v>
      </c>
      <c r="AE1343" s="3">
        <v>0</v>
      </c>
      <c r="AF1343" s="3">
        <v>1</v>
      </c>
      <c r="AG1343" s="3">
        <v>0</v>
      </c>
      <c r="AH1343" s="3">
        <v>0</v>
      </c>
      <c r="AI1343" s="3">
        <v>0</v>
      </c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  <c r="AT1343" s="3">
        <v>0</v>
      </c>
      <c r="AU1343" s="3">
        <v>0</v>
      </c>
      <c r="AV1343" s="3">
        <v>0</v>
      </c>
      <c r="AW1343" s="3">
        <v>0</v>
      </c>
      <c r="AX1343" s="3">
        <v>0</v>
      </c>
      <c r="AY1343" s="3">
        <v>0</v>
      </c>
      <c r="AZ1343" s="3">
        <v>0</v>
      </c>
      <c r="BA1343" s="3">
        <v>0</v>
      </c>
      <c r="BB1343" s="3">
        <v>0</v>
      </c>
      <c r="BC1343" s="3">
        <v>0</v>
      </c>
      <c r="BD1343" s="3">
        <v>0</v>
      </c>
      <c r="BE1343" s="3">
        <v>0</v>
      </c>
      <c r="BF1343" s="3">
        <v>0</v>
      </c>
      <c r="BG1343" s="3">
        <v>0</v>
      </c>
      <c r="BH1343" s="3">
        <v>0</v>
      </c>
      <c r="BI1343" s="3">
        <v>0</v>
      </c>
      <c r="BJ1343" s="3">
        <v>0</v>
      </c>
      <c r="BK1343" s="3">
        <v>0</v>
      </c>
      <c r="BL1343" s="3">
        <v>0</v>
      </c>
      <c r="BM1343" s="3">
        <v>0</v>
      </c>
    </row>
    <row r="1344" spans="1:65" x14ac:dyDescent="0.25">
      <c r="A1344" s="2" t="s">
        <v>148</v>
      </c>
      <c r="B1344" s="4">
        <v>76</v>
      </c>
      <c r="C1344" s="4">
        <v>2</v>
      </c>
      <c r="D1344" s="4">
        <v>1</v>
      </c>
      <c r="E1344" s="4">
        <v>2</v>
      </c>
      <c r="F1344" s="6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2</v>
      </c>
      <c r="Z1344" s="3">
        <v>0</v>
      </c>
      <c r="AA1344" s="3">
        <v>0</v>
      </c>
      <c r="AB1344" s="3">
        <v>1</v>
      </c>
      <c r="AC1344" s="3">
        <v>0</v>
      </c>
      <c r="AD1344" s="3">
        <v>0</v>
      </c>
      <c r="AE1344" s="3">
        <v>0</v>
      </c>
      <c r="AF1344" s="3">
        <v>1</v>
      </c>
      <c r="AG1344" s="3">
        <v>0</v>
      </c>
      <c r="AH1344" s="3">
        <v>0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  <c r="AU1344" s="3">
        <v>0</v>
      </c>
      <c r="AV1344" s="3">
        <v>0</v>
      </c>
      <c r="AW1344" s="3">
        <v>0</v>
      </c>
      <c r="AX1344" s="3">
        <v>0</v>
      </c>
      <c r="AY1344" s="3">
        <v>0</v>
      </c>
      <c r="AZ1344" s="3">
        <v>0</v>
      </c>
      <c r="BA1344" s="3">
        <v>0</v>
      </c>
      <c r="BB1344" s="3">
        <v>1</v>
      </c>
      <c r="BC1344" s="3">
        <v>0</v>
      </c>
      <c r="BD1344" s="3">
        <v>0</v>
      </c>
      <c r="BE1344" s="3">
        <v>0</v>
      </c>
      <c r="BF1344" s="3">
        <v>0</v>
      </c>
      <c r="BG1344" s="3">
        <v>0</v>
      </c>
      <c r="BH1344" s="3">
        <v>0</v>
      </c>
      <c r="BI1344" s="3">
        <v>0</v>
      </c>
      <c r="BJ1344" s="3">
        <v>0</v>
      </c>
      <c r="BK1344" s="3">
        <v>0</v>
      </c>
      <c r="BL1344" s="3">
        <v>2</v>
      </c>
      <c r="BM1344" s="3">
        <v>0</v>
      </c>
    </row>
    <row r="1345" spans="1:65" x14ac:dyDescent="0.25">
      <c r="A1345" s="2" t="s">
        <v>148</v>
      </c>
      <c r="B1345" s="4">
        <v>76</v>
      </c>
      <c r="C1345" s="4">
        <v>2</v>
      </c>
      <c r="D1345" s="4">
        <v>1</v>
      </c>
      <c r="E1345" s="4">
        <v>3</v>
      </c>
      <c r="F1345" s="6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1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3">
        <v>0</v>
      </c>
      <c r="AQ1345" s="3">
        <v>0</v>
      </c>
      <c r="AR1345" s="3">
        <v>0</v>
      </c>
      <c r="AS1345" s="3">
        <v>0</v>
      </c>
      <c r="AT1345" s="3">
        <v>0</v>
      </c>
      <c r="AU1345" s="3">
        <v>0</v>
      </c>
      <c r="AV1345" s="3">
        <v>0</v>
      </c>
      <c r="AW1345" s="3">
        <v>0</v>
      </c>
      <c r="AX1345" s="3">
        <v>0</v>
      </c>
      <c r="AY1345" s="3">
        <v>0</v>
      </c>
      <c r="AZ1345" s="3">
        <v>0</v>
      </c>
      <c r="BA1345" s="3">
        <v>0</v>
      </c>
      <c r="BB1345" s="3">
        <v>0</v>
      </c>
      <c r="BC1345" s="3">
        <v>0</v>
      </c>
      <c r="BD1345" s="3">
        <v>0</v>
      </c>
      <c r="BE1345" s="3">
        <v>0</v>
      </c>
      <c r="BF1345" s="3">
        <v>0</v>
      </c>
      <c r="BG1345" s="3">
        <v>0</v>
      </c>
      <c r="BH1345" s="3">
        <v>0</v>
      </c>
      <c r="BI1345" s="3">
        <v>0</v>
      </c>
      <c r="BJ1345" s="3">
        <v>0</v>
      </c>
      <c r="BK1345" s="3">
        <v>0</v>
      </c>
      <c r="BL1345" s="3">
        <v>0</v>
      </c>
      <c r="BM1345" s="3">
        <v>0</v>
      </c>
    </row>
    <row r="1346" spans="1:65" x14ac:dyDescent="0.25">
      <c r="A1346" s="2" t="s">
        <v>148</v>
      </c>
      <c r="B1346" s="4">
        <v>76</v>
      </c>
      <c r="C1346" s="4">
        <v>2</v>
      </c>
      <c r="D1346" s="4">
        <v>2</v>
      </c>
      <c r="E1346" s="4">
        <v>1</v>
      </c>
      <c r="F1346" s="6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V1346" s="3">
        <v>0</v>
      </c>
      <c r="AW1346" s="3">
        <v>0</v>
      </c>
      <c r="AX1346" s="3">
        <v>0</v>
      </c>
      <c r="AY1346" s="3">
        <v>0</v>
      </c>
      <c r="AZ1346" s="3">
        <v>0</v>
      </c>
      <c r="BA1346" s="3">
        <v>0</v>
      </c>
      <c r="BB1346" s="3">
        <v>0</v>
      </c>
      <c r="BC1346" s="3">
        <v>0</v>
      </c>
      <c r="BD1346" s="3">
        <v>0</v>
      </c>
      <c r="BE1346" s="3">
        <v>0</v>
      </c>
      <c r="BF1346" s="3">
        <v>0</v>
      </c>
      <c r="BG1346" s="3">
        <v>0</v>
      </c>
      <c r="BH1346" s="3">
        <v>0</v>
      </c>
      <c r="BI1346" s="3">
        <v>0</v>
      </c>
      <c r="BJ1346" s="3">
        <v>0</v>
      </c>
      <c r="BK1346" s="3">
        <v>0</v>
      </c>
      <c r="BL1346" s="3">
        <v>0</v>
      </c>
      <c r="BM1346" s="3">
        <v>0</v>
      </c>
    </row>
    <row r="1347" spans="1:65" x14ac:dyDescent="0.25">
      <c r="A1347" s="2" t="s">
        <v>148</v>
      </c>
      <c r="B1347" s="4">
        <v>76</v>
      </c>
      <c r="C1347" s="4">
        <v>2</v>
      </c>
      <c r="D1347" s="4">
        <v>2</v>
      </c>
      <c r="E1347" s="4">
        <v>2</v>
      </c>
      <c r="F1347" s="6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1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T1347" s="3">
        <v>1</v>
      </c>
      <c r="AU1347" s="3">
        <v>0</v>
      </c>
      <c r="AV1347" s="3">
        <v>0</v>
      </c>
      <c r="AW1347" s="3">
        <v>0</v>
      </c>
      <c r="AX1347" s="3">
        <v>0</v>
      </c>
      <c r="AY1347" s="3">
        <v>0</v>
      </c>
      <c r="AZ1347" s="3">
        <v>0</v>
      </c>
      <c r="BA1347" s="3">
        <v>0</v>
      </c>
      <c r="BB1347" s="3">
        <v>0</v>
      </c>
      <c r="BC1347" s="3">
        <v>0</v>
      </c>
      <c r="BD1347" s="3">
        <v>0</v>
      </c>
      <c r="BE1347" s="3">
        <v>0</v>
      </c>
      <c r="BF1347" s="3">
        <v>0</v>
      </c>
      <c r="BG1347" s="3">
        <v>0</v>
      </c>
      <c r="BH1347" s="3">
        <v>0</v>
      </c>
      <c r="BI1347" s="3">
        <v>0</v>
      </c>
      <c r="BJ1347" s="3">
        <v>0</v>
      </c>
      <c r="BK1347" s="3">
        <v>0</v>
      </c>
      <c r="BL1347" s="3">
        <v>0</v>
      </c>
      <c r="BM1347" s="3">
        <v>0</v>
      </c>
    </row>
    <row r="1348" spans="1:65" x14ac:dyDescent="0.25">
      <c r="A1348" s="2" t="s">
        <v>148</v>
      </c>
      <c r="B1348" s="4">
        <v>76</v>
      </c>
      <c r="C1348" s="4">
        <v>2</v>
      </c>
      <c r="D1348" s="4">
        <v>2</v>
      </c>
      <c r="E1348" s="4">
        <v>3</v>
      </c>
      <c r="F1348" s="6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0</v>
      </c>
      <c r="AX1348" s="3">
        <v>0</v>
      </c>
      <c r="AY1348" s="3">
        <v>0</v>
      </c>
      <c r="AZ1348" s="3">
        <v>0</v>
      </c>
      <c r="BA1348" s="3">
        <v>0</v>
      </c>
      <c r="BB1348" s="3">
        <v>0</v>
      </c>
      <c r="BC1348" s="3">
        <v>0</v>
      </c>
      <c r="BD1348" s="3">
        <v>0</v>
      </c>
      <c r="BE1348" s="3">
        <v>0</v>
      </c>
      <c r="BF1348" s="3">
        <v>0</v>
      </c>
      <c r="BG1348" s="3">
        <v>0</v>
      </c>
      <c r="BH1348" s="3">
        <v>0</v>
      </c>
      <c r="BI1348" s="3">
        <v>0</v>
      </c>
      <c r="BJ1348" s="3">
        <v>0</v>
      </c>
      <c r="BK1348" s="3">
        <v>0</v>
      </c>
      <c r="BL1348" s="3">
        <v>0</v>
      </c>
      <c r="BM1348" s="3">
        <v>0</v>
      </c>
    </row>
    <row r="1349" spans="1:65" x14ac:dyDescent="0.25">
      <c r="A1349" s="2" t="s">
        <v>148</v>
      </c>
      <c r="B1349" s="4">
        <v>76</v>
      </c>
      <c r="C1349" s="4">
        <v>2</v>
      </c>
      <c r="D1349" s="4">
        <v>3</v>
      </c>
      <c r="E1349" s="4">
        <v>1</v>
      </c>
      <c r="F1349" s="6">
        <v>0</v>
      </c>
      <c r="G1349" s="3">
        <v>1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0</v>
      </c>
      <c r="AX1349" s="3">
        <v>0</v>
      </c>
      <c r="AY1349" s="3">
        <v>0</v>
      </c>
      <c r="AZ1349" s="3">
        <v>0</v>
      </c>
      <c r="BA1349" s="3">
        <v>0</v>
      </c>
      <c r="BB1349" s="3">
        <v>0</v>
      </c>
      <c r="BC1349" s="3">
        <v>0</v>
      </c>
      <c r="BD1349" s="3">
        <v>0</v>
      </c>
      <c r="BE1349" s="3">
        <v>0</v>
      </c>
      <c r="BF1349" s="3">
        <v>0</v>
      </c>
      <c r="BG1349" s="3">
        <v>0</v>
      </c>
      <c r="BH1349" s="3">
        <v>1</v>
      </c>
      <c r="BI1349" s="3">
        <v>0</v>
      </c>
      <c r="BJ1349" s="3">
        <v>0</v>
      </c>
      <c r="BK1349" s="3">
        <v>0</v>
      </c>
      <c r="BL1349" s="3">
        <v>0</v>
      </c>
      <c r="BM1349" s="3">
        <v>0</v>
      </c>
    </row>
    <row r="1350" spans="1:65" x14ac:dyDescent="0.25">
      <c r="A1350" s="2" t="s">
        <v>148</v>
      </c>
      <c r="B1350" s="4">
        <v>76</v>
      </c>
      <c r="C1350" s="4">
        <v>2</v>
      </c>
      <c r="D1350" s="4">
        <v>3</v>
      </c>
      <c r="E1350" s="4">
        <v>2</v>
      </c>
      <c r="F1350" s="6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3">
        <v>0</v>
      </c>
      <c r="AV1350" s="3">
        <v>0</v>
      </c>
      <c r="AW1350" s="3">
        <v>0</v>
      </c>
      <c r="AX1350" s="3">
        <v>0</v>
      </c>
      <c r="AY1350" s="3">
        <v>0</v>
      </c>
      <c r="AZ1350" s="3">
        <v>0</v>
      </c>
      <c r="BA1350" s="3">
        <v>0</v>
      </c>
      <c r="BB1350" s="3">
        <v>0</v>
      </c>
      <c r="BC1350" s="3">
        <v>0</v>
      </c>
      <c r="BD1350" s="3">
        <v>0</v>
      </c>
      <c r="BE1350" s="3">
        <v>0</v>
      </c>
      <c r="BF1350" s="3">
        <v>0</v>
      </c>
      <c r="BG1350" s="3">
        <v>0</v>
      </c>
      <c r="BH1350" s="3">
        <v>0</v>
      </c>
      <c r="BI1350" s="3">
        <v>0</v>
      </c>
      <c r="BJ1350" s="3">
        <v>0</v>
      </c>
      <c r="BK1350" s="3">
        <v>0</v>
      </c>
      <c r="BL1350" s="3">
        <v>0</v>
      </c>
      <c r="BM1350" s="3">
        <v>0</v>
      </c>
    </row>
    <row r="1351" spans="1:65" x14ac:dyDescent="0.25">
      <c r="A1351" s="2" t="s">
        <v>148</v>
      </c>
      <c r="B1351" s="4">
        <v>76</v>
      </c>
      <c r="C1351" s="4">
        <v>2</v>
      </c>
      <c r="D1351" s="4">
        <v>3</v>
      </c>
      <c r="E1351" s="4">
        <v>3</v>
      </c>
      <c r="F1351" s="6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3">
        <v>0</v>
      </c>
      <c r="AV1351" s="3">
        <v>0</v>
      </c>
      <c r="AW1351" s="3">
        <v>0</v>
      </c>
      <c r="AX1351" s="3">
        <v>0</v>
      </c>
      <c r="AY1351" s="3">
        <v>0</v>
      </c>
      <c r="AZ1351" s="3">
        <v>0</v>
      </c>
      <c r="BA1351" s="3">
        <v>0</v>
      </c>
      <c r="BB1351" s="3">
        <v>0</v>
      </c>
      <c r="BC1351" s="3">
        <v>0</v>
      </c>
      <c r="BD1351" s="3">
        <v>0</v>
      </c>
      <c r="BE1351" s="3">
        <v>0</v>
      </c>
      <c r="BF1351" s="3">
        <v>0</v>
      </c>
      <c r="BG1351" s="3">
        <v>0</v>
      </c>
      <c r="BH1351" s="3">
        <v>0</v>
      </c>
      <c r="BI1351" s="3">
        <v>0</v>
      </c>
      <c r="BJ1351" s="3">
        <v>0</v>
      </c>
      <c r="BK1351" s="3">
        <v>0</v>
      </c>
      <c r="BL1351" s="3">
        <v>0</v>
      </c>
      <c r="BM1351" s="3">
        <v>0</v>
      </c>
    </row>
    <row r="1352" spans="1:65" x14ac:dyDescent="0.25">
      <c r="A1352" s="2" t="s">
        <v>161</v>
      </c>
      <c r="B1352" s="4">
        <v>77</v>
      </c>
      <c r="C1352" s="4">
        <v>1</v>
      </c>
      <c r="D1352" s="4">
        <v>1</v>
      </c>
      <c r="E1352" s="4">
        <v>1</v>
      </c>
      <c r="F1352" s="4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2</v>
      </c>
      <c r="M1352" s="3">
        <v>0</v>
      </c>
      <c r="N1352" s="3">
        <v>0</v>
      </c>
      <c r="O1352" s="3">
        <v>1</v>
      </c>
      <c r="P1352" s="3">
        <v>1</v>
      </c>
      <c r="Q1352" s="3">
        <v>0</v>
      </c>
      <c r="R1352" s="3">
        <v>1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3">
        <v>0</v>
      </c>
      <c r="AY1352" s="3">
        <v>0</v>
      </c>
      <c r="AZ1352" s="3">
        <v>0</v>
      </c>
      <c r="BA1352" s="3">
        <v>0</v>
      </c>
      <c r="BB1352" s="3">
        <v>0</v>
      </c>
      <c r="BC1352" s="3">
        <v>0</v>
      </c>
      <c r="BD1352" s="3">
        <v>0</v>
      </c>
      <c r="BE1352" s="3">
        <v>0</v>
      </c>
      <c r="BF1352" s="3">
        <v>0</v>
      </c>
      <c r="BG1352" s="3">
        <v>0</v>
      </c>
      <c r="BH1352" s="3">
        <v>0</v>
      </c>
      <c r="BI1352" s="3">
        <v>0</v>
      </c>
      <c r="BJ1352" s="3">
        <v>0</v>
      </c>
      <c r="BK1352" s="3">
        <v>0</v>
      </c>
      <c r="BL1352" s="3">
        <v>0</v>
      </c>
      <c r="BM1352" s="3">
        <v>0</v>
      </c>
    </row>
    <row r="1353" spans="1:65" x14ac:dyDescent="0.25">
      <c r="A1353" s="2" t="s">
        <v>161</v>
      </c>
      <c r="B1353" s="4">
        <v>77</v>
      </c>
      <c r="C1353" s="4">
        <v>1</v>
      </c>
      <c r="D1353" s="4">
        <v>1</v>
      </c>
      <c r="E1353" s="4">
        <v>2</v>
      </c>
      <c r="F1353" s="4">
        <v>0</v>
      </c>
      <c r="G1353" s="3">
        <v>0</v>
      </c>
      <c r="H1353" s="3">
        <v>0</v>
      </c>
      <c r="I1353" s="3">
        <v>1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1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2</v>
      </c>
      <c r="Z1353" s="3">
        <v>0</v>
      </c>
      <c r="AA1353" s="3">
        <v>0</v>
      </c>
      <c r="AB1353" s="3">
        <v>2</v>
      </c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3">
        <v>0</v>
      </c>
      <c r="AV1353" s="3">
        <v>0</v>
      </c>
      <c r="AW1353" s="3">
        <v>0</v>
      </c>
      <c r="AX1353" s="3">
        <v>0</v>
      </c>
      <c r="AY1353" s="3">
        <v>0</v>
      </c>
      <c r="AZ1353" s="3">
        <v>0</v>
      </c>
      <c r="BA1353" s="3">
        <v>0</v>
      </c>
      <c r="BB1353" s="3">
        <v>1</v>
      </c>
      <c r="BC1353" s="3">
        <v>0</v>
      </c>
      <c r="BD1353" s="3">
        <v>0</v>
      </c>
      <c r="BE1353" s="3">
        <v>0</v>
      </c>
      <c r="BF1353" s="3">
        <v>0</v>
      </c>
      <c r="BG1353" s="3">
        <v>0</v>
      </c>
      <c r="BH1353" s="3">
        <v>0</v>
      </c>
      <c r="BI1353" s="3">
        <v>0</v>
      </c>
      <c r="BJ1353" s="3">
        <v>0</v>
      </c>
      <c r="BK1353" s="3">
        <v>0</v>
      </c>
      <c r="BL1353" s="3">
        <v>1</v>
      </c>
      <c r="BM1353" s="3">
        <v>0</v>
      </c>
    </row>
    <row r="1354" spans="1:65" x14ac:dyDescent="0.25">
      <c r="A1354" s="2" t="s">
        <v>161</v>
      </c>
      <c r="B1354" s="4">
        <v>77</v>
      </c>
      <c r="C1354" s="4">
        <v>1</v>
      </c>
      <c r="D1354" s="4">
        <v>1</v>
      </c>
      <c r="E1354" s="4">
        <v>3</v>
      </c>
      <c r="F1354" s="4">
        <v>0</v>
      </c>
      <c r="G1354" s="3">
        <v>0</v>
      </c>
      <c r="H1354" s="3">
        <v>0</v>
      </c>
      <c r="I1354" s="3">
        <v>1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0</v>
      </c>
      <c r="AK1354" s="3">
        <v>0</v>
      </c>
      <c r="AL1354" s="3">
        <v>0</v>
      </c>
      <c r="AM1354" s="3">
        <v>0</v>
      </c>
      <c r="AN1354" s="3">
        <v>0</v>
      </c>
      <c r="AO1354" s="3">
        <v>0</v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  <c r="AU1354" s="3">
        <v>0</v>
      </c>
      <c r="AV1354" s="3">
        <v>0</v>
      </c>
      <c r="AW1354" s="3">
        <v>0</v>
      </c>
      <c r="AX1354" s="3">
        <v>0</v>
      </c>
      <c r="AY1354" s="3">
        <v>0</v>
      </c>
      <c r="AZ1354" s="3">
        <v>0</v>
      </c>
      <c r="BA1354" s="3">
        <v>0</v>
      </c>
      <c r="BB1354" s="3">
        <v>0</v>
      </c>
      <c r="BC1354" s="3">
        <v>0</v>
      </c>
      <c r="BD1354" s="3">
        <v>0</v>
      </c>
      <c r="BE1354" s="3">
        <v>0</v>
      </c>
      <c r="BF1354" s="3">
        <v>0</v>
      </c>
      <c r="BG1354" s="3">
        <v>0</v>
      </c>
      <c r="BH1354" s="3">
        <v>0</v>
      </c>
      <c r="BI1354" s="3">
        <v>0</v>
      </c>
      <c r="BJ1354" s="3">
        <v>0</v>
      </c>
      <c r="BK1354" s="3">
        <v>0</v>
      </c>
      <c r="BL1354" s="3">
        <v>0</v>
      </c>
      <c r="BM1354" s="3">
        <v>0</v>
      </c>
    </row>
    <row r="1355" spans="1:65" x14ac:dyDescent="0.25">
      <c r="A1355" s="2" t="s">
        <v>161</v>
      </c>
      <c r="B1355" s="4">
        <v>77</v>
      </c>
      <c r="C1355" s="4">
        <v>1</v>
      </c>
      <c r="D1355" s="4">
        <v>2</v>
      </c>
      <c r="E1355" s="4">
        <v>1</v>
      </c>
      <c r="F1355" s="4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3">
        <v>0</v>
      </c>
      <c r="AQ1355" s="3">
        <v>0</v>
      </c>
      <c r="AR1355" s="3">
        <v>0</v>
      </c>
      <c r="AS1355" s="3">
        <v>0</v>
      </c>
      <c r="AT1355" s="3">
        <v>0</v>
      </c>
      <c r="AU1355" s="3">
        <v>0</v>
      </c>
      <c r="AV1355" s="3">
        <v>0</v>
      </c>
      <c r="AW1355" s="3">
        <v>0</v>
      </c>
      <c r="AX1355" s="3">
        <v>0</v>
      </c>
      <c r="AY1355" s="3">
        <v>0</v>
      </c>
      <c r="AZ1355" s="3">
        <v>0</v>
      </c>
      <c r="BA1355" s="3">
        <v>0</v>
      </c>
      <c r="BB1355" s="3">
        <v>0</v>
      </c>
      <c r="BC1355" s="3">
        <v>0</v>
      </c>
      <c r="BD1355" s="3">
        <v>0</v>
      </c>
      <c r="BE1355" s="3">
        <v>0</v>
      </c>
      <c r="BF1355" s="3">
        <v>0</v>
      </c>
      <c r="BG1355" s="3">
        <v>0</v>
      </c>
      <c r="BH1355" s="3">
        <v>0</v>
      </c>
      <c r="BI1355" s="3">
        <v>0</v>
      </c>
      <c r="BJ1355" s="3">
        <v>0</v>
      </c>
      <c r="BK1355" s="3">
        <v>0</v>
      </c>
      <c r="BL1355" s="3">
        <v>0</v>
      </c>
      <c r="BM1355" s="3">
        <v>0</v>
      </c>
    </row>
    <row r="1356" spans="1:65" x14ac:dyDescent="0.25">
      <c r="A1356" s="2" t="s">
        <v>161</v>
      </c>
      <c r="B1356" s="4">
        <v>77</v>
      </c>
      <c r="C1356" s="4">
        <v>1</v>
      </c>
      <c r="D1356" s="4">
        <v>2</v>
      </c>
      <c r="E1356" s="4">
        <v>2</v>
      </c>
      <c r="F1356" s="4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0</v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3">
        <v>0</v>
      </c>
      <c r="AV1356" s="3">
        <v>0</v>
      </c>
      <c r="AW1356" s="3">
        <v>0</v>
      </c>
      <c r="AX1356" s="3">
        <v>0</v>
      </c>
      <c r="AY1356" s="3">
        <v>0</v>
      </c>
      <c r="AZ1356" s="3">
        <v>0</v>
      </c>
      <c r="BA1356" s="3">
        <v>0</v>
      </c>
      <c r="BB1356" s="3">
        <v>0</v>
      </c>
      <c r="BC1356" s="3">
        <v>0</v>
      </c>
      <c r="BD1356" s="3">
        <v>0</v>
      </c>
      <c r="BE1356" s="3">
        <v>0</v>
      </c>
      <c r="BF1356" s="3">
        <v>0</v>
      </c>
      <c r="BG1356" s="3">
        <v>0</v>
      </c>
      <c r="BH1356" s="3">
        <v>0</v>
      </c>
      <c r="BI1356" s="3">
        <v>0</v>
      </c>
      <c r="BJ1356" s="3">
        <v>0</v>
      </c>
      <c r="BK1356" s="3">
        <v>0</v>
      </c>
      <c r="BL1356" s="3">
        <v>0</v>
      </c>
      <c r="BM1356" s="3">
        <v>0</v>
      </c>
    </row>
    <row r="1357" spans="1:65" x14ac:dyDescent="0.25">
      <c r="A1357" s="2" t="s">
        <v>161</v>
      </c>
      <c r="B1357" s="4">
        <v>77</v>
      </c>
      <c r="C1357" s="4">
        <v>1</v>
      </c>
      <c r="D1357" s="4">
        <v>2</v>
      </c>
      <c r="E1357" s="4">
        <v>3</v>
      </c>
      <c r="F1357" s="4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0</v>
      </c>
      <c r="AO1357" s="3">
        <v>0</v>
      </c>
      <c r="AP1357" s="3">
        <v>0</v>
      </c>
      <c r="AQ1357" s="3">
        <v>0</v>
      </c>
      <c r="AR1357" s="3">
        <v>0</v>
      </c>
      <c r="AS1357" s="3">
        <v>0</v>
      </c>
      <c r="AT1357" s="3">
        <v>0</v>
      </c>
      <c r="AU1357" s="3">
        <v>0</v>
      </c>
      <c r="AV1357" s="3">
        <v>0</v>
      </c>
      <c r="AW1357" s="3">
        <v>0</v>
      </c>
      <c r="AX1357" s="3">
        <v>0</v>
      </c>
      <c r="AY1357" s="3">
        <v>0</v>
      </c>
      <c r="AZ1357" s="3">
        <v>0</v>
      </c>
      <c r="BA1357" s="3">
        <v>0</v>
      </c>
      <c r="BB1357" s="3">
        <v>0</v>
      </c>
      <c r="BC1357" s="3">
        <v>0</v>
      </c>
      <c r="BD1357" s="3">
        <v>0</v>
      </c>
      <c r="BE1357" s="3">
        <v>0</v>
      </c>
      <c r="BF1357" s="3">
        <v>0</v>
      </c>
      <c r="BG1357" s="3">
        <v>0</v>
      </c>
      <c r="BH1357" s="3">
        <v>0</v>
      </c>
      <c r="BI1357" s="3">
        <v>0</v>
      </c>
      <c r="BJ1357" s="3">
        <v>0</v>
      </c>
      <c r="BK1357" s="3">
        <v>0</v>
      </c>
      <c r="BL1357" s="3">
        <v>0</v>
      </c>
      <c r="BM1357" s="3">
        <v>0</v>
      </c>
    </row>
    <row r="1358" spans="1:65" x14ac:dyDescent="0.25">
      <c r="A1358" s="2" t="s">
        <v>161</v>
      </c>
      <c r="B1358" s="4">
        <v>77</v>
      </c>
      <c r="C1358" s="4">
        <v>1</v>
      </c>
      <c r="D1358" s="4">
        <v>3</v>
      </c>
      <c r="E1358" s="4">
        <v>1</v>
      </c>
      <c r="F1358" s="4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1</v>
      </c>
      <c r="AG1358" s="3">
        <v>0</v>
      </c>
      <c r="AH1358" s="3">
        <v>0</v>
      </c>
      <c r="AI1358" s="3">
        <v>0</v>
      </c>
      <c r="AJ1358" s="3">
        <v>0</v>
      </c>
      <c r="AK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  <c r="AU1358" s="3">
        <v>0</v>
      </c>
      <c r="AV1358" s="3">
        <v>0</v>
      </c>
      <c r="AW1358" s="3">
        <v>0</v>
      </c>
      <c r="AX1358" s="3">
        <v>0</v>
      </c>
      <c r="AY1358" s="3">
        <v>0</v>
      </c>
      <c r="AZ1358" s="3">
        <v>0</v>
      </c>
      <c r="BA1358" s="3">
        <v>0</v>
      </c>
      <c r="BB1358" s="3">
        <v>0</v>
      </c>
      <c r="BC1358" s="3">
        <v>0</v>
      </c>
      <c r="BD1358" s="3">
        <v>0</v>
      </c>
      <c r="BE1358" s="3">
        <v>0</v>
      </c>
      <c r="BF1358" s="3">
        <v>0</v>
      </c>
      <c r="BG1358" s="3">
        <v>0</v>
      </c>
      <c r="BH1358" s="3">
        <v>0</v>
      </c>
      <c r="BI1358" s="3">
        <v>0</v>
      </c>
      <c r="BJ1358" s="3">
        <v>0</v>
      </c>
      <c r="BK1358" s="3">
        <v>0</v>
      </c>
      <c r="BL1358" s="3">
        <v>0</v>
      </c>
      <c r="BM1358" s="3">
        <v>0</v>
      </c>
    </row>
    <row r="1359" spans="1:65" x14ac:dyDescent="0.25">
      <c r="A1359" s="2" t="s">
        <v>161</v>
      </c>
      <c r="B1359" s="4">
        <v>77</v>
      </c>
      <c r="C1359" s="4">
        <v>1</v>
      </c>
      <c r="D1359" s="4">
        <v>3</v>
      </c>
      <c r="E1359" s="4">
        <v>2</v>
      </c>
      <c r="F1359" s="4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1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3">
        <v>0</v>
      </c>
      <c r="AV1359" s="3">
        <v>0</v>
      </c>
      <c r="AW1359" s="3">
        <v>0</v>
      </c>
      <c r="AX1359" s="3">
        <v>0</v>
      </c>
      <c r="AY1359" s="3">
        <v>0</v>
      </c>
      <c r="AZ1359" s="3">
        <v>0</v>
      </c>
      <c r="BA1359" s="3">
        <v>0</v>
      </c>
      <c r="BB1359" s="3">
        <v>0</v>
      </c>
      <c r="BC1359" s="3">
        <v>0</v>
      </c>
      <c r="BD1359" s="3">
        <v>0</v>
      </c>
      <c r="BE1359" s="3">
        <v>0</v>
      </c>
      <c r="BF1359" s="3">
        <v>0</v>
      </c>
      <c r="BG1359" s="3">
        <v>0</v>
      </c>
      <c r="BH1359" s="3">
        <v>0</v>
      </c>
      <c r="BI1359" s="3">
        <v>0</v>
      </c>
      <c r="BJ1359" s="3">
        <v>0</v>
      </c>
      <c r="BK1359" s="3">
        <v>0</v>
      </c>
      <c r="BL1359" s="3">
        <v>0</v>
      </c>
      <c r="BM1359" s="3">
        <v>0</v>
      </c>
    </row>
    <row r="1360" spans="1:65" x14ac:dyDescent="0.25">
      <c r="A1360" s="2" t="s">
        <v>161</v>
      </c>
      <c r="B1360" s="4">
        <v>77</v>
      </c>
      <c r="C1360" s="4">
        <v>1</v>
      </c>
      <c r="D1360" s="4">
        <v>3</v>
      </c>
      <c r="E1360" s="4">
        <v>3</v>
      </c>
      <c r="F1360" s="4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  <c r="AJ1360" s="3">
        <v>0</v>
      </c>
      <c r="AK1360" s="3">
        <v>0</v>
      </c>
      <c r="AL1360" s="3">
        <v>0</v>
      </c>
      <c r="AM1360" s="3">
        <v>0</v>
      </c>
      <c r="AN1360" s="3">
        <v>0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  <c r="AV1360" s="3">
        <v>1</v>
      </c>
      <c r="AW1360" s="3">
        <v>0</v>
      </c>
      <c r="AX1360" s="3">
        <v>0</v>
      </c>
      <c r="AY1360" s="3">
        <v>0</v>
      </c>
      <c r="AZ1360" s="3">
        <v>0</v>
      </c>
      <c r="BA1360" s="3">
        <v>0</v>
      </c>
      <c r="BB1360" s="3">
        <v>0</v>
      </c>
      <c r="BC1360" s="3">
        <v>0</v>
      </c>
      <c r="BD1360" s="3">
        <v>0</v>
      </c>
      <c r="BE1360" s="3">
        <v>0</v>
      </c>
      <c r="BF1360" s="3">
        <v>0</v>
      </c>
      <c r="BG1360" s="3">
        <v>0</v>
      </c>
      <c r="BH1360" s="3">
        <v>0</v>
      </c>
      <c r="BI1360" s="3">
        <v>0</v>
      </c>
      <c r="BJ1360" s="3">
        <v>0</v>
      </c>
      <c r="BK1360" s="3">
        <v>0</v>
      </c>
      <c r="BL1360" s="3">
        <v>0</v>
      </c>
      <c r="BM1360" s="3">
        <v>0</v>
      </c>
    </row>
    <row r="1361" spans="1:65" x14ac:dyDescent="0.25">
      <c r="A1361" s="2" t="s">
        <v>149</v>
      </c>
      <c r="B1361" s="4">
        <v>77</v>
      </c>
      <c r="C1361" s="4">
        <v>2</v>
      </c>
      <c r="D1361" s="4">
        <v>1</v>
      </c>
      <c r="E1361" s="4">
        <v>1</v>
      </c>
      <c r="F1361" s="6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3">
        <v>0</v>
      </c>
      <c r="AL1361" s="3">
        <v>0</v>
      </c>
      <c r="AM1361" s="3">
        <v>0</v>
      </c>
      <c r="AN1361" s="3">
        <v>0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3">
        <v>0</v>
      </c>
      <c r="AV1361" s="3">
        <v>0</v>
      </c>
      <c r="AW1361" s="3">
        <v>0</v>
      </c>
      <c r="AX1361" s="3">
        <v>0</v>
      </c>
      <c r="AY1361" s="3">
        <v>0</v>
      </c>
      <c r="AZ1361" s="3">
        <v>0</v>
      </c>
      <c r="BA1361" s="3">
        <v>0</v>
      </c>
      <c r="BB1361" s="3">
        <v>0</v>
      </c>
      <c r="BC1361" s="3">
        <v>0</v>
      </c>
      <c r="BD1361" s="3">
        <v>0</v>
      </c>
      <c r="BE1361" s="3">
        <v>0</v>
      </c>
      <c r="BF1361" s="3">
        <v>0</v>
      </c>
      <c r="BG1361" s="3">
        <v>0</v>
      </c>
      <c r="BH1361" s="3">
        <v>0</v>
      </c>
      <c r="BI1361" s="3">
        <v>0</v>
      </c>
      <c r="BJ1361" s="3">
        <v>0</v>
      </c>
      <c r="BK1361" s="3">
        <v>0</v>
      </c>
      <c r="BL1361" s="3">
        <v>2</v>
      </c>
      <c r="BM1361" s="3">
        <v>0</v>
      </c>
    </row>
    <row r="1362" spans="1:65" x14ac:dyDescent="0.25">
      <c r="A1362" s="2" t="s">
        <v>149</v>
      </c>
      <c r="B1362" s="4">
        <v>77</v>
      </c>
      <c r="C1362" s="4">
        <v>2</v>
      </c>
      <c r="D1362" s="4">
        <v>1</v>
      </c>
      <c r="E1362" s="4">
        <v>2</v>
      </c>
      <c r="F1362" s="6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1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3">
        <v>1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>
        <v>0</v>
      </c>
      <c r="AK1362" s="3">
        <v>0</v>
      </c>
      <c r="AL1362" s="3">
        <v>0</v>
      </c>
      <c r="AM1362" s="3">
        <v>0</v>
      </c>
      <c r="AN1362" s="3">
        <v>0</v>
      </c>
      <c r="AO1362" s="3">
        <v>0</v>
      </c>
      <c r="AP1362" s="3">
        <v>0</v>
      </c>
      <c r="AQ1362" s="3">
        <v>0</v>
      </c>
      <c r="AR1362" s="3">
        <v>0</v>
      </c>
      <c r="AS1362" s="3">
        <v>0</v>
      </c>
      <c r="AT1362" s="3">
        <v>0</v>
      </c>
      <c r="AU1362" s="3">
        <v>0</v>
      </c>
      <c r="AV1362" s="3">
        <v>0</v>
      </c>
      <c r="AW1362" s="3">
        <v>0</v>
      </c>
      <c r="AX1362" s="3">
        <v>0</v>
      </c>
      <c r="AY1362" s="3">
        <v>0</v>
      </c>
      <c r="AZ1362" s="3">
        <v>0</v>
      </c>
      <c r="BA1362" s="3">
        <v>0</v>
      </c>
      <c r="BB1362" s="3">
        <v>1</v>
      </c>
      <c r="BC1362" s="3">
        <v>0</v>
      </c>
      <c r="BD1362" s="3">
        <v>0</v>
      </c>
      <c r="BE1362" s="3">
        <v>0</v>
      </c>
      <c r="BF1362" s="3">
        <v>0</v>
      </c>
      <c r="BG1362" s="3">
        <v>0</v>
      </c>
      <c r="BH1362" s="3">
        <v>0</v>
      </c>
      <c r="BI1362" s="3">
        <v>0</v>
      </c>
      <c r="BJ1362" s="3">
        <v>0</v>
      </c>
      <c r="BK1362" s="3">
        <v>0</v>
      </c>
      <c r="BL1362" s="3">
        <v>0</v>
      </c>
      <c r="BM1362" s="3">
        <v>0</v>
      </c>
    </row>
    <row r="1363" spans="1:65" x14ac:dyDescent="0.25">
      <c r="A1363" s="2" t="s">
        <v>149</v>
      </c>
      <c r="B1363" s="4">
        <v>77</v>
      </c>
      <c r="C1363" s="4">
        <v>2</v>
      </c>
      <c r="D1363" s="4">
        <v>1</v>
      </c>
      <c r="E1363" s="4">
        <v>3</v>
      </c>
      <c r="F1363" s="6">
        <v>0</v>
      </c>
      <c r="G1363" s="3">
        <v>0</v>
      </c>
      <c r="H1363" s="3">
        <v>0</v>
      </c>
      <c r="I1363" s="3">
        <v>1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1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0</v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  <c r="AU1363" s="3">
        <v>0</v>
      </c>
      <c r="AV1363" s="3">
        <v>0</v>
      </c>
      <c r="AW1363" s="3">
        <v>0</v>
      </c>
      <c r="AX1363" s="3">
        <v>0</v>
      </c>
      <c r="AY1363" s="3">
        <v>0</v>
      </c>
      <c r="AZ1363" s="3">
        <v>0</v>
      </c>
      <c r="BA1363" s="3">
        <v>0</v>
      </c>
      <c r="BB1363" s="3">
        <v>0</v>
      </c>
      <c r="BC1363" s="3">
        <v>0</v>
      </c>
      <c r="BD1363" s="3">
        <v>0</v>
      </c>
      <c r="BE1363" s="3">
        <v>0</v>
      </c>
      <c r="BF1363" s="3">
        <v>0</v>
      </c>
      <c r="BG1363" s="3">
        <v>0</v>
      </c>
      <c r="BH1363" s="3">
        <v>0</v>
      </c>
      <c r="BI1363" s="3">
        <v>0</v>
      </c>
      <c r="BJ1363" s="3">
        <v>0</v>
      </c>
      <c r="BK1363" s="3">
        <v>0</v>
      </c>
      <c r="BL1363" s="3">
        <v>0</v>
      </c>
      <c r="BM1363" s="3">
        <v>0</v>
      </c>
    </row>
    <row r="1364" spans="1:65" x14ac:dyDescent="0.25">
      <c r="A1364" s="2" t="s">
        <v>149</v>
      </c>
      <c r="B1364" s="4">
        <v>77</v>
      </c>
      <c r="C1364" s="4">
        <v>2</v>
      </c>
      <c r="D1364" s="4">
        <v>2</v>
      </c>
      <c r="E1364" s="4">
        <v>1</v>
      </c>
      <c r="F1364" s="6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0</v>
      </c>
      <c r="AX1364" s="3">
        <v>0</v>
      </c>
      <c r="AY1364" s="3">
        <v>0</v>
      </c>
      <c r="AZ1364" s="3">
        <v>0</v>
      </c>
      <c r="BA1364" s="3">
        <v>0</v>
      </c>
      <c r="BB1364" s="3">
        <v>1</v>
      </c>
      <c r="BC1364" s="3">
        <v>0</v>
      </c>
      <c r="BD1364" s="3">
        <v>0</v>
      </c>
      <c r="BE1364" s="3">
        <v>0</v>
      </c>
      <c r="BF1364" s="3">
        <v>0</v>
      </c>
      <c r="BG1364" s="3">
        <v>0</v>
      </c>
      <c r="BH1364" s="3">
        <v>0</v>
      </c>
      <c r="BI1364" s="3">
        <v>0</v>
      </c>
      <c r="BJ1364" s="3">
        <v>0</v>
      </c>
      <c r="BK1364" s="3">
        <v>0</v>
      </c>
      <c r="BL1364" s="3">
        <v>0</v>
      </c>
      <c r="BM1364" s="3">
        <v>0</v>
      </c>
    </row>
    <row r="1365" spans="1:65" x14ac:dyDescent="0.25">
      <c r="A1365" s="2" t="s">
        <v>149</v>
      </c>
      <c r="B1365" s="4">
        <v>77</v>
      </c>
      <c r="C1365" s="4">
        <v>2</v>
      </c>
      <c r="D1365" s="4">
        <v>2</v>
      </c>
      <c r="E1365" s="4">
        <v>2</v>
      </c>
      <c r="F1365" s="6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1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0</v>
      </c>
      <c r="AX1365" s="3">
        <v>0</v>
      </c>
      <c r="AY1365" s="3">
        <v>0</v>
      </c>
      <c r="AZ1365" s="3">
        <v>0</v>
      </c>
      <c r="BA1365" s="3">
        <v>0</v>
      </c>
      <c r="BB1365" s="3">
        <v>0</v>
      </c>
      <c r="BC1365" s="3">
        <v>0</v>
      </c>
      <c r="BD1365" s="3">
        <v>0</v>
      </c>
      <c r="BE1365" s="3">
        <v>0</v>
      </c>
      <c r="BF1365" s="3">
        <v>0</v>
      </c>
      <c r="BG1365" s="3">
        <v>0</v>
      </c>
      <c r="BH1365" s="3">
        <v>0</v>
      </c>
      <c r="BI1365" s="3">
        <v>0</v>
      </c>
      <c r="BJ1365" s="3">
        <v>0</v>
      </c>
      <c r="BK1365" s="3">
        <v>0</v>
      </c>
      <c r="BL1365" s="3">
        <v>0</v>
      </c>
      <c r="BM1365" s="3">
        <v>0</v>
      </c>
    </row>
    <row r="1366" spans="1:65" x14ac:dyDescent="0.25">
      <c r="A1366" s="2" t="s">
        <v>149</v>
      </c>
      <c r="B1366" s="4">
        <v>77</v>
      </c>
      <c r="C1366" s="4">
        <v>2</v>
      </c>
      <c r="D1366" s="4">
        <v>2</v>
      </c>
      <c r="E1366" s="4">
        <v>3</v>
      </c>
      <c r="F1366" s="6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0</v>
      </c>
      <c r="AX1366" s="3">
        <v>0</v>
      </c>
      <c r="AY1366" s="3">
        <v>0</v>
      </c>
      <c r="AZ1366" s="3">
        <v>0</v>
      </c>
      <c r="BA1366" s="3">
        <v>0</v>
      </c>
      <c r="BB1366" s="3">
        <v>0</v>
      </c>
      <c r="BC1366" s="3">
        <v>0</v>
      </c>
      <c r="BD1366" s="3">
        <v>0</v>
      </c>
      <c r="BE1366" s="3">
        <v>0</v>
      </c>
      <c r="BF1366" s="3">
        <v>0</v>
      </c>
      <c r="BG1366" s="3">
        <v>0</v>
      </c>
      <c r="BH1366" s="3">
        <v>0</v>
      </c>
      <c r="BI1366" s="3">
        <v>0</v>
      </c>
      <c r="BJ1366" s="3">
        <v>0</v>
      </c>
      <c r="BK1366" s="3">
        <v>0</v>
      </c>
      <c r="BL1366" s="3">
        <v>0</v>
      </c>
      <c r="BM1366" s="3">
        <v>0</v>
      </c>
    </row>
    <row r="1367" spans="1:65" x14ac:dyDescent="0.25">
      <c r="A1367" s="2" t="s">
        <v>149</v>
      </c>
      <c r="B1367" s="4">
        <v>77</v>
      </c>
      <c r="C1367" s="4">
        <v>2</v>
      </c>
      <c r="D1367" s="4">
        <v>3</v>
      </c>
      <c r="E1367" s="4">
        <v>1</v>
      </c>
      <c r="F1367" s="6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1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2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0</v>
      </c>
      <c r="AX1367" s="3">
        <v>0</v>
      </c>
      <c r="AY1367" s="3">
        <v>0</v>
      </c>
      <c r="AZ1367" s="3">
        <v>0</v>
      </c>
      <c r="BA1367" s="3">
        <v>0</v>
      </c>
      <c r="BB1367" s="3">
        <v>0</v>
      </c>
      <c r="BC1367" s="3">
        <v>0</v>
      </c>
      <c r="BD1367" s="3">
        <v>0</v>
      </c>
      <c r="BE1367" s="3">
        <v>0</v>
      </c>
      <c r="BF1367" s="3">
        <v>0</v>
      </c>
      <c r="BG1367" s="3">
        <v>0</v>
      </c>
      <c r="BH1367" s="3">
        <v>0</v>
      </c>
      <c r="BI1367" s="3">
        <v>0</v>
      </c>
      <c r="BJ1367" s="3">
        <v>0</v>
      </c>
      <c r="BK1367" s="3">
        <v>0</v>
      </c>
      <c r="BL1367" s="3">
        <v>0</v>
      </c>
      <c r="BM1367" s="3">
        <v>0</v>
      </c>
    </row>
    <row r="1368" spans="1:65" x14ac:dyDescent="0.25">
      <c r="A1368" s="2" t="s">
        <v>149</v>
      </c>
      <c r="B1368" s="4">
        <v>77</v>
      </c>
      <c r="C1368" s="4">
        <v>2</v>
      </c>
      <c r="D1368" s="4">
        <v>3</v>
      </c>
      <c r="E1368" s="4">
        <v>2</v>
      </c>
      <c r="F1368" s="6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1</v>
      </c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T1368" s="3">
        <v>0</v>
      </c>
      <c r="AU1368" s="3">
        <v>0</v>
      </c>
      <c r="AV1368" s="3">
        <v>0</v>
      </c>
      <c r="AW1368" s="3">
        <v>0</v>
      </c>
      <c r="AX1368" s="3">
        <v>0</v>
      </c>
      <c r="AY1368" s="3">
        <v>0</v>
      </c>
      <c r="AZ1368" s="3">
        <v>0</v>
      </c>
      <c r="BA1368" s="3">
        <v>0</v>
      </c>
      <c r="BB1368" s="3">
        <v>0</v>
      </c>
      <c r="BC1368" s="3">
        <v>0</v>
      </c>
      <c r="BD1368" s="3">
        <v>0</v>
      </c>
      <c r="BE1368" s="3">
        <v>0</v>
      </c>
      <c r="BF1368" s="3">
        <v>0</v>
      </c>
      <c r="BG1368" s="3">
        <v>0</v>
      </c>
      <c r="BH1368" s="3">
        <v>0</v>
      </c>
      <c r="BI1368" s="3">
        <v>0</v>
      </c>
      <c r="BJ1368" s="3">
        <v>0</v>
      </c>
      <c r="BK1368" s="3">
        <v>0</v>
      </c>
      <c r="BL1368" s="3">
        <v>0</v>
      </c>
      <c r="BM1368" s="3">
        <v>0</v>
      </c>
    </row>
    <row r="1369" spans="1:65" x14ac:dyDescent="0.25">
      <c r="A1369" s="2" t="s">
        <v>149</v>
      </c>
      <c r="B1369" s="4">
        <v>77</v>
      </c>
      <c r="C1369" s="4">
        <v>2</v>
      </c>
      <c r="D1369" s="4">
        <v>3</v>
      </c>
      <c r="E1369" s="4">
        <v>3</v>
      </c>
      <c r="F1369" s="6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1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  <c r="AV1369" s="3">
        <v>0</v>
      </c>
      <c r="AW1369" s="3">
        <v>0</v>
      </c>
      <c r="AX1369" s="3">
        <v>0</v>
      </c>
      <c r="AY1369" s="3">
        <v>0</v>
      </c>
      <c r="AZ1369" s="3">
        <v>0</v>
      </c>
      <c r="BA1369" s="3">
        <v>0</v>
      </c>
      <c r="BB1369" s="3">
        <v>0</v>
      </c>
      <c r="BC1369" s="3">
        <v>0</v>
      </c>
      <c r="BD1369" s="3">
        <v>0</v>
      </c>
      <c r="BE1369" s="3">
        <v>0</v>
      </c>
      <c r="BF1369" s="3">
        <v>0</v>
      </c>
      <c r="BG1369" s="3">
        <v>0</v>
      </c>
      <c r="BH1369" s="3">
        <v>0</v>
      </c>
      <c r="BI1369" s="3">
        <v>0</v>
      </c>
      <c r="BJ1369" s="3">
        <v>0</v>
      </c>
      <c r="BK1369" s="3">
        <v>0</v>
      </c>
      <c r="BL1369" s="3">
        <v>0</v>
      </c>
      <c r="BM1369" s="3">
        <v>0</v>
      </c>
    </row>
    <row r="1370" spans="1:65" x14ac:dyDescent="0.25">
      <c r="A1370" s="2" t="s">
        <v>150</v>
      </c>
      <c r="B1370" s="4">
        <v>78</v>
      </c>
      <c r="C1370" s="4">
        <v>1</v>
      </c>
      <c r="D1370" s="4">
        <v>1</v>
      </c>
      <c r="E1370" s="4">
        <v>1</v>
      </c>
      <c r="F1370" s="4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1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  <c r="AV1370" s="3">
        <v>0</v>
      </c>
      <c r="AW1370" s="3">
        <v>0</v>
      </c>
      <c r="AX1370" s="3">
        <v>0</v>
      </c>
      <c r="AY1370" s="3">
        <v>0</v>
      </c>
      <c r="AZ1370" s="3">
        <v>0</v>
      </c>
      <c r="BA1370" s="3">
        <v>0</v>
      </c>
      <c r="BB1370" s="3">
        <v>0</v>
      </c>
      <c r="BC1370" s="3">
        <v>0</v>
      </c>
      <c r="BD1370" s="3">
        <v>0</v>
      </c>
      <c r="BE1370" s="3">
        <v>0</v>
      </c>
      <c r="BF1370" s="3">
        <v>0</v>
      </c>
      <c r="BG1370" s="3">
        <v>0</v>
      </c>
      <c r="BH1370" s="3">
        <v>0</v>
      </c>
      <c r="BI1370" s="3">
        <v>0</v>
      </c>
      <c r="BJ1370" s="3">
        <v>0</v>
      </c>
      <c r="BK1370" s="3">
        <v>0</v>
      </c>
      <c r="BL1370" s="3">
        <v>0</v>
      </c>
      <c r="BM1370" s="3">
        <v>0</v>
      </c>
    </row>
    <row r="1371" spans="1:65" x14ac:dyDescent="0.25">
      <c r="A1371" s="2" t="s">
        <v>150</v>
      </c>
      <c r="B1371" s="4">
        <v>78</v>
      </c>
      <c r="C1371" s="4">
        <v>1</v>
      </c>
      <c r="D1371" s="4">
        <v>1</v>
      </c>
      <c r="E1371" s="4">
        <v>2</v>
      </c>
      <c r="F1371" s="4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1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2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  <c r="AT1371" s="3">
        <v>0</v>
      </c>
      <c r="AU1371" s="3">
        <v>0</v>
      </c>
      <c r="AV1371" s="3">
        <v>0</v>
      </c>
      <c r="AW1371" s="3">
        <v>0</v>
      </c>
      <c r="AX1371" s="3">
        <v>0</v>
      </c>
      <c r="AY1371" s="3">
        <v>0</v>
      </c>
      <c r="AZ1371" s="3">
        <v>0</v>
      </c>
      <c r="BA1371" s="3">
        <v>0</v>
      </c>
      <c r="BB1371" s="3">
        <v>0</v>
      </c>
      <c r="BC1371" s="3">
        <v>0</v>
      </c>
      <c r="BD1371" s="3">
        <v>0</v>
      </c>
      <c r="BE1371" s="3">
        <v>0</v>
      </c>
      <c r="BF1371" s="3">
        <v>0</v>
      </c>
      <c r="BG1371" s="3">
        <v>0</v>
      </c>
      <c r="BH1371" s="3">
        <v>0</v>
      </c>
      <c r="BI1371" s="3">
        <v>0</v>
      </c>
      <c r="BJ1371" s="3">
        <v>0</v>
      </c>
      <c r="BK1371" s="3">
        <v>0</v>
      </c>
      <c r="BL1371" s="3">
        <v>1</v>
      </c>
      <c r="BM1371" s="3">
        <v>0</v>
      </c>
    </row>
    <row r="1372" spans="1:65" x14ac:dyDescent="0.25">
      <c r="A1372" s="2" t="s">
        <v>150</v>
      </c>
      <c r="B1372" s="4">
        <v>78</v>
      </c>
      <c r="C1372" s="4">
        <v>1</v>
      </c>
      <c r="D1372" s="4">
        <v>1</v>
      </c>
      <c r="E1372" s="4">
        <v>3</v>
      </c>
      <c r="F1372" s="4">
        <v>0</v>
      </c>
      <c r="G1372" s="3">
        <v>0</v>
      </c>
      <c r="H1372" s="3">
        <v>0</v>
      </c>
      <c r="I1372" s="3">
        <v>1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2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0</v>
      </c>
      <c r="AP1372" s="3">
        <v>0</v>
      </c>
      <c r="AQ1372" s="3">
        <v>0</v>
      </c>
      <c r="AR1372" s="3">
        <v>1</v>
      </c>
      <c r="AS1372" s="3">
        <v>0</v>
      </c>
      <c r="AT1372" s="3">
        <v>0</v>
      </c>
      <c r="AU1372" s="3">
        <v>0</v>
      </c>
      <c r="AV1372" s="3">
        <v>0</v>
      </c>
      <c r="AW1372" s="3">
        <v>0</v>
      </c>
      <c r="AX1372" s="3">
        <v>0</v>
      </c>
      <c r="AY1372" s="3">
        <v>0</v>
      </c>
      <c r="AZ1372" s="3">
        <v>0</v>
      </c>
      <c r="BA1372" s="3">
        <v>0</v>
      </c>
      <c r="BB1372" s="3">
        <v>1</v>
      </c>
      <c r="BC1372" s="3">
        <v>0</v>
      </c>
      <c r="BD1372" s="3">
        <v>0</v>
      </c>
      <c r="BE1372" s="3">
        <v>1</v>
      </c>
      <c r="BF1372" s="3">
        <v>0</v>
      </c>
      <c r="BG1372" s="3">
        <v>0</v>
      </c>
      <c r="BH1372" s="3">
        <v>0</v>
      </c>
      <c r="BI1372" s="3">
        <v>0</v>
      </c>
      <c r="BJ1372" s="3">
        <v>0</v>
      </c>
      <c r="BK1372" s="3">
        <v>0</v>
      </c>
      <c r="BL1372" s="3">
        <v>0</v>
      </c>
      <c r="BM1372" s="3">
        <v>0</v>
      </c>
    </row>
    <row r="1373" spans="1:65" x14ac:dyDescent="0.25">
      <c r="A1373" s="2" t="s">
        <v>150</v>
      </c>
      <c r="B1373" s="4">
        <v>78</v>
      </c>
      <c r="C1373" s="4">
        <v>1</v>
      </c>
      <c r="D1373" s="4">
        <v>2</v>
      </c>
      <c r="E1373" s="4">
        <v>1</v>
      </c>
      <c r="F1373" s="4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  <c r="AJ1373" s="3">
        <v>0</v>
      </c>
      <c r="AK1373" s="3">
        <v>0</v>
      </c>
      <c r="AL1373" s="3">
        <v>0</v>
      </c>
      <c r="AM1373" s="3">
        <v>0</v>
      </c>
      <c r="AN1373" s="3">
        <v>0</v>
      </c>
      <c r="AO1373" s="3">
        <v>0</v>
      </c>
      <c r="AP1373" s="3">
        <v>0</v>
      </c>
      <c r="AQ1373" s="3">
        <v>0</v>
      </c>
      <c r="AR1373" s="3">
        <v>0</v>
      </c>
      <c r="AS1373" s="3">
        <v>0</v>
      </c>
      <c r="AT1373" s="3">
        <v>0</v>
      </c>
      <c r="AU1373" s="3">
        <v>0</v>
      </c>
      <c r="AV1373" s="3">
        <v>0</v>
      </c>
      <c r="AW1373" s="3">
        <v>0</v>
      </c>
      <c r="AX1373" s="3">
        <v>0</v>
      </c>
      <c r="AY1373" s="3">
        <v>0</v>
      </c>
      <c r="AZ1373" s="3">
        <v>0</v>
      </c>
      <c r="BA1373" s="3">
        <v>0</v>
      </c>
      <c r="BB1373" s="3">
        <v>0</v>
      </c>
      <c r="BC1373" s="3">
        <v>0</v>
      </c>
      <c r="BD1373" s="3">
        <v>0</v>
      </c>
      <c r="BE1373" s="3">
        <v>0</v>
      </c>
      <c r="BF1373" s="3">
        <v>0</v>
      </c>
      <c r="BG1373" s="3">
        <v>0</v>
      </c>
      <c r="BH1373" s="3">
        <v>0</v>
      </c>
      <c r="BI1373" s="3">
        <v>0</v>
      </c>
      <c r="BJ1373" s="3">
        <v>0</v>
      </c>
      <c r="BK1373" s="3">
        <v>0</v>
      </c>
      <c r="BL1373" s="3">
        <v>2</v>
      </c>
      <c r="BM1373" s="3">
        <v>0</v>
      </c>
    </row>
    <row r="1374" spans="1:65" x14ac:dyDescent="0.25">
      <c r="A1374" s="2" t="s">
        <v>150</v>
      </c>
      <c r="B1374" s="4">
        <v>78</v>
      </c>
      <c r="C1374" s="4">
        <v>1</v>
      </c>
      <c r="D1374" s="4">
        <v>2</v>
      </c>
      <c r="E1374" s="4">
        <v>2</v>
      </c>
      <c r="F1374" s="4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1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0</v>
      </c>
      <c r="AW1374" s="3">
        <v>0</v>
      </c>
      <c r="AX1374" s="3">
        <v>0</v>
      </c>
      <c r="AY1374" s="3">
        <v>0</v>
      </c>
      <c r="AZ1374" s="3">
        <v>0</v>
      </c>
      <c r="BA1374" s="3">
        <v>0</v>
      </c>
      <c r="BB1374" s="3">
        <v>0</v>
      </c>
      <c r="BC1374" s="3">
        <v>0</v>
      </c>
      <c r="BD1374" s="3">
        <v>0</v>
      </c>
      <c r="BE1374" s="3">
        <v>0</v>
      </c>
      <c r="BF1374" s="3">
        <v>0</v>
      </c>
      <c r="BG1374" s="3">
        <v>0</v>
      </c>
      <c r="BH1374" s="3">
        <v>0</v>
      </c>
      <c r="BI1374" s="3">
        <v>0</v>
      </c>
      <c r="BJ1374" s="3">
        <v>0</v>
      </c>
      <c r="BK1374" s="3">
        <v>0</v>
      </c>
      <c r="BL1374" s="3">
        <v>0</v>
      </c>
      <c r="BM1374" s="3">
        <v>0</v>
      </c>
    </row>
    <row r="1375" spans="1:65" x14ac:dyDescent="0.25">
      <c r="A1375" s="2" t="s">
        <v>150</v>
      </c>
      <c r="B1375" s="4">
        <v>78</v>
      </c>
      <c r="C1375" s="4">
        <v>1</v>
      </c>
      <c r="D1375" s="4">
        <v>2</v>
      </c>
      <c r="E1375" s="4">
        <v>3</v>
      </c>
      <c r="F1375" s="4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0</v>
      </c>
      <c r="AX1375" s="3">
        <v>0</v>
      </c>
      <c r="AY1375" s="3">
        <v>0</v>
      </c>
      <c r="AZ1375" s="3">
        <v>0</v>
      </c>
      <c r="BA1375" s="3">
        <v>0</v>
      </c>
      <c r="BB1375" s="3">
        <v>0</v>
      </c>
      <c r="BC1375" s="3">
        <v>0</v>
      </c>
      <c r="BD1375" s="3">
        <v>0</v>
      </c>
      <c r="BE1375" s="3">
        <v>0</v>
      </c>
      <c r="BF1375" s="3">
        <v>0</v>
      </c>
      <c r="BG1375" s="3">
        <v>0</v>
      </c>
      <c r="BH1375" s="3">
        <v>0</v>
      </c>
      <c r="BI1375" s="3">
        <v>0</v>
      </c>
      <c r="BJ1375" s="3">
        <v>0</v>
      </c>
      <c r="BK1375" s="3">
        <v>0</v>
      </c>
      <c r="BL1375" s="3">
        <v>0</v>
      </c>
      <c r="BM1375" s="3">
        <v>0</v>
      </c>
    </row>
    <row r="1376" spans="1:65" x14ac:dyDescent="0.25">
      <c r="A1376" s="2" t="s">
        <v>150</v>
      </c>
      <c r="B1376" s="4">
        <v>78</v>
      </c>
      <c r="C1376" s="4">
        <v>1</v>
      </c>
      <c r="D1376" s="4">
        <v>3</v>
      </c>
      <c r="E1376" s="4">
        <v>1</v>
      </c>
      <c r="F1376" s="4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3">
        <v>0</v>
      </c>
      <c r="AQ1376" s="3">
        <v>0</v>
      </c>
      <c r="AR1376" s="3">
        <v>0</v>
      </c>
      <c r="AS1376" s="3">
        <v>0</v>
      </c>
      <c r="AT1376" s="3">
        <v>0</v>
      </c>
      <c r="AU1376" s="3">
        <v>0</v>
      </c>
      <c r="AV1376" s="3">
        <v>0</v>
      </c>
      <c r="AW1376" s="3">
        <v>0</v>
      </c>
      <c r="AX1376" s="3">
        <v>0</v>
      </c>
      <c r="AY1376" s="3">
        <v>0</v>
      </c>
      <c r="AZ1376" s="3">
        <v>0</v>
      </c>
      <c r="BA1376" s="3">
        <v>0</v>
      </c>
      <c r="BB1376" s="3">
        <v>0</v>
      </c>
      <c r="BC1376" s="3">
        <v>0</v>
      </c>
      <c r="BD1376" s="3">
        <v>0</v>
      </c>
      <c r="BE1376" s="3">
        <v>0</v>
      </c>
      <c r="BF1376" s="3">
        <v>0</v>
      </c>
      <c r="BG1376" s="3">
        <v>0</v>
      </c>
      <c r="BH1376" s="3">
        <v>0</v>
      </c>
      <c r="BI1376" s="3">
        <v>0</v>
      </c>
      <c r="BJ1376" s="3">
        <v>0</v>
      </c>
      <c r="BK1376" s="3">
        <v>0</v>
      </c>
      <c r="BL1376" s="3">
        <v>1</v>
      </c>
      <c r="BM1376" s="3">
        <v>0</v>
      </c>
    </row>
    <row r="1377" spans="1:65" x14ac:dyDescent="0.25">
      <c r="A1377" s="2" t="s">
        <v>150</v>
      </c>
      <c r="B1377" s="4">
        <v>78</v>
      </c>
      <c r="C1377" s="4">
        <v>1</v>
      </c>
      <c r="D1377" s="4">
        <v>3</v>
      </c>
      <c r="E1377" s="4">
        <v>2</v>
      </c>
      <c r="F1377" s="4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2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2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  <c r="AJ1377" s="3">
        <v>0</v>
      </c>
      <c r="AK1377" s="3">
        <v>0</v>
      </c>
      <c r="AL1377" s="3">
        <v>0</v>
      </c>
      <c r="AM1377" s="3">
        <v>0</v>
      </c>
      <c r="AN1377" s="3">
        <v>0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3">
        <v>0</v>
      </c>
      <c r="AV1377" s="3">
        <v>0</v>
      </c>
      <c r="AW1377" s="3">
        <v>0</v>
      </c>
      <c r="AX1377" s="3">
        <v>0</v>
      </c>
      <c r="AY1377" s="3">
        <v>0</v>
      </c>
      <c r="AZ1377" s="3">
        <v>0</v>
      </c>
      <c r="BA1377" s="3">
        <v>0</v>
      </c>
      <c r="BB1377" s="3">
        <v>0</v>
      </c>
      <c r="BC1377" s="3">
        <v>0</v>
      </c>
      <c r="BD1377" s="3">
        <v>0</v>
      </c>
      <c r="BE1377" s="3">
        <v>0</v>
      </c>
      <c r="BF1377" s="3">
        <v>0</v>
      </c>
      <c r="BG1377" s="3">
        <v>0</v>
      </c>
      <c r="BH1377" s="3">
        <v>0</v>
      </c>
      <c r="BI1377" s="3">
        <v>0</v>
      </c>
      <c r="BJ1377" s="3">
        <v>0</v>
      </c>
      <c r="BK1377" s="3">
        <v>0</v>
      </c>
      <c r="BL1377" s="3">
        <v>0</v>
      </c>
      <c r="BM1377" s="3">
        <v>0</v>
      </c>
    </row>
    <row r="1378" spans="1:65" x14ac:dyDescent="0.25">
      <c r="A1378" s="2" t="s">
        <v>150</v>
      </c>
      <c r="B1378" s="4">
        <v>78</v>
      </c>
      <c r="C1378" s="4">
        <v>1</v>
      </c>
      <c r="D1378" s="4">
        <v>3</v>
      </c>
      <c r="E1378" s="4">
        <v>3</v>
      </c>
      <c r="F1378" s="4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3">
        <v>0</v>
      </c>
      <c r="AQ1378" s="3">
        <v>0</v>
      </c>
      <c r="AR1378" s="3">
        <v>0</v>
      </c>
      <c r="AS1378" s="3">
        <v>0</v>
      </c>
      <c r="AT1378" s="3">
        <v>0</v>
      </c>
      <c r="AU1378" s="3">
        <v>0</v>
      </c>
      <c r="AV1378" s="3">
        <v>0</v>
      </c>
      <c r="AW1378" s="3">
        <v>0</v>
      </c>
      <c r="AX1378" s="3">
        <v>0</v>
      </c>
      <c r="AY1378" s="3">
        <v>0</v>
      </c>
      <c r="AZ1378" s="3">
        <v>0</v>
      </c>
      <c r="BA1378" s="3">
        <v>0</v>
      </c>
      <c r="BB1378" s="3">
        <v>0</v>
      </c>
      <c r="BC1378" s="3">
        <v>0</v>
      </c>
      <c r="BD1378" s="3">
        <v>0</v>
      </c>
      <c r="BE1378" s="3">
        <v>0</v>
      </c>
      <c r="BF1378" s="3">
        <v>0</v>
      </c>
      <c r="BG1378" s="3">
        <v>0</v>
      </c>
      <c r="BH1378" s="3">
        <v>0</v>
      </c>
      <c r="BI1378" s="3">
        <v>0</v>
      </c>
      <c r="BJ1378" s="3">
        <v>0</v>
      </c>
      <c r="BK1378" s="3">
        <v>0</v>
      </c>
      <c r="BL1378" s="3">
        <v>0</v>
      </c>
      <c r="BM1378" s="3">
        <v>0</v>
      </c>
    </row>
    <row r="1379" spans="1:65" x14ac:dyDescent="0.25">
      <c r="A1379" s="2" t="s">
        <v>150</v>
      </c>
      <c r="B1379" s="4">
        <v>78</v>
      </c>
      <c r="C1379" s="4">
        <v>2</v>
      </c>
      <c r="D1379" s="4">
        <v>1</v>
      </c>
      <c r="E1379" s="4">
        <v>1</v>
      </c>
      <c r="F1379" s="6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2</v>
      </c>
      <c r="AG1379" s="3">
        <v>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3">
        <v>0</v>
      </c>
      <c r="AV1379" s="3">
        <v>0</v>
      </c>
      <c r="AW1379" s="3">
        <v>0</v>
      </c>
      <c r="AX1379" s="3">
        <v>0</v>
      </c>
      <c r="AY1379" s="3">
        <v>0</v>
      </c>
      <c r="AZ1379" s="3">
        <v>0</v>
      </c>
      <c r="BA1379" s="3">
        <v>0</v>
      </c>
      <c r="BB1379" s="3">
        <v>0</v>
      </c>
      <c r="BC1379" s="3">
        <v>0</v>
      </c>
      <c r="BD1379" s="3">
        <v>0</v>
      </c>
      <c r="BE1379" s="3">
        <v>1</v>
      </c>
      <c r="BF1379" s="3">
        <v>0</v>
      </c>
      <c r="BG1379" s="3">
        <v>0</v>
      </c>
      <c r="BH1379" s="3">
        <v>0</v>
      </c>
      <c r="BI1379" s="3">
        <v>0</v>
      </c>
      <c r="BJ1379" s="3">
        <v>0</v>
      </c>
      <c r="BK1379" s="3">
        <v>0</v>
      </c>
      <c r="BL1379" s="3">
        <v>3</v>
      </c>
      <c r="BM1379" s="3">
        <v>0</v>
      </c>
    </row>
    <row r="1380" spans="1:65" x14ac:dyDescent="0.25">
      <c r="A1380" s="2" t="s">
        <v>150</v>
      </c>
      <c r="B1380" s="4">
        <v>78</v>
      </c>
      <c r="C1380" s="4">
        <v>2</v>
      </c>
      <c r="D1380" s="4">
        <v>1</v>
      </c>
      <c r="E1380" s="4">
        <v>2</v>
      </c>
      <c r="F1380" s="6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1</v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  <c r="AV1380" s="3">
        <v>0</v>
      </c>
      <c r="AW1380" s="3">
        <v>0</v>
      </c>
      <c r="AX1380" s="3">
        <v>0</v>
      </c>
      <c r="AY1380" s="3">
        <v>0</v>
      </c>
      <c r="AZ1380" s="3">
        <v>0</v>
      </c>
      <c r="BA1380" s="3">
        <v>0</v>
      </c>
      <c r="BB1380" s="3">
        <v>1</v>
      </c>
      <c r="BC1380" s="3">
        <v>0</v>
      </c>
      <c r="BD1380" s="3">
        <v>0</v>
      </c>
      <c r="BE1380" s="3">
        <v>0</v>
      </c>
      <c r="BF1380" s="3">
        <v>0</v>
      </c>
      <c r="BG1380" s="3">
        <v>0</v>
      </c>
      <c r="BH1380" s="3">
        <v>1</v>
      </c>
      <c r="BI1380" s="3">
        <v>0</v>
      </c>
      <c r="BJ1380" s="3">
        <v>0</v>
      </c>
      <c r="BK1380" s="3">
        <v>0</v>
      </c>
      <c r="BL1380" s="3">
        <v>0</v>
      </c>
      <c r="BM1380" s="3">
        <v>0</v>
      </c>
    </row>
    <row r="1381" spans="1:65" x14ac:dyDescent="0.25">
      <c r="A1381" s="2" t="s">
        <v>150</v>
      </c>
      <c r="B1381" s="4">
        <v>78</v>
      </c>
      <c r="C1381" s="4">
        <v>2</v>
      </c>
      <c r="D1381" s="4">
        <v>1</v>
      </c>
      <c r="E1381" s="4">
        <v>3</v>
      </c>
      <c r="F1381" s="6">
        <v>0</v>
      </c>
      <c r="G1381" s="3">
        <v>0</v>
      </c>
      <c r="H1381" s="3">
        <v>0</v>
      </c>
      <c r="I1381" s="3">
        <v>1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3">
        <v>0</v>
      </c>
      <c r="AL1381" s="3">
        <v>0</v>
      </c>
      <c r="AM1381" s="3">
        <v>0</v>
      </c>
      <c r="AN1381" s="3">
        <v>0</v>
      </c>
      <c r="AO1381" s="3">
        <v>0</v>
      </c>
      <c r="AP1381" s="3">
        <v>0</v>
      </c>
      <c r="AQ1381" s="3">
        <v>0</v>
      </c>
      <c r="AR1381" s="3">
        <v>0</v>
      </c>
      <c r="AS1381" s="3">
        <v>0</v>
      </c>
      <c r="AT1381" s="3">
        <v>0</v>
      </c>
      <c r="AU1381" s="3">
        <v>0</v>
      </c>
      <c r="AV1381" s="3">
        <v>0</v>
      </c>
      <c r="AW1381" s="3">
        <v>0</v>
      </c>
      <c r="AX1381" s="3">
        <v>0</v>
      </c>
      <c r="AY1381" s="3">
        <v>0</v>
      </c>
      <c r="AZ1381" s="3">
        <v>0</v>
      </c>
      <c r="BA1381" s="3">
        <v>0</v>
      </c>
      <c r="BB1381" s="3">
        <v>0</v>
      </c>
      <c r="BC1381" s="3">
        <v>0</v>
      </c>
      <c r="BD1381" s="3">
        <v>0</v>
      </c>
      <c r="BE1381" s="3">
        <v>0</v>
      </c>
      <c r="BF1381" s="3">
        <v>0</v>
      </c>
      <c r="BG1381" s="3">
        <v>0</v>
      </c>
      <c r="BH1381" s="3">
        <v>0</v>
      </c>
      <c r="BI1381" s="3">
        <v>0</v>
      </c>
      <c r="BJ1381" s="3">
        <v>0</v>
      </c>
      <c r="BK1381" s="3">
        <v>0</v>
      </c>
      <c r="BL1381" s="3">
        <v>0</v>
      </c>
      <c r="BM1381" s="3">
        <v>0</v>
      </c>
    </row>
    <row r="1382" spans="1:65" x14ac:dyDescent="0.25">
      <c r="A1382" s="2" t="s">
        <v>150</v>
      </c>
      <c r="B1382" s="4">
        <v>78</v>
      </c>
      <c r="C1382" s="4">
        <v>2</v>
      </c>
      <c r="D1382" s="4">
        <v>2</v>
      </c>
      <c r="E1382" s="4">
        <v>1</v>
      </c>
      <c r="F1382" s="6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  <c r="AO1382" s="3">
        <v>0</v>
      </c>
      <c r="AP1382" s="3">
        <v>0</v>
      </c>
      <c r="AQ1382" s="3">
        <v>0</v>
      </c>
      <c r="AR1382" s="3">
        <v>0</v>
      </c>
      <c r="AS1382" s="3">
        <v>0</v>
      </c>
      <c r="AT1382" s="3">
        <v>0</v>
      </c>
      <c r="AU1382" s="3">
        <v>0</v>
      </c>
      <c r="AV1382" s="3">
        <v>0</v>
      </c>
      <c r="AW1382" s="3">
        <v>0</v>
      </c>
      <c r="AX1382" s="3">
        <v>0</v>
      </c>
      <c r="AY1382" s="3">
        <v>0</v>
      </c>
      <c r="AZ1382" s="3">
        <v>0</v>
      </c>
      <c r="BA1382" s="3">
        <v>0</v>
      </c>
      <c r="BB1382" s="3">
        <v>1</v>
      </c>
      <c r="BC1382" s="3">
        <v>0</v>
      </c>
      <c r="BD1382" s="3">
        <v>0</v>
      </c>
      <c r="BE1382" s="3">
        <v>0</v>
      </c>
      <c r="BF1382" s="3">
        <v>0</v>
      </c>
      <c r="BG1382" s="3">
        <v>0</v>
      </c>
      <c r="BH1382" s="3">
        <v>0</v>
      </c>
      <c r="BI1382" s="3">
        <v>0</v>
      </c>
      <c r="BJ1382" s="3">
        <v>0</v>
      </c>
      <c r="BK1382" s="3">
        <v>0</v>
      </c>
      <c r="BL1382" s="3">
        <v>0</v>
      </c>
      <c r="BM1382" s="3">
        <v>0</v>
      </c>
    </row>
    <row r="1383" spans="1:65" x14ac:dyDescent="0.25">
      <c r="A1383" s="2" t="s">
        <v>150</v>
      </c>
      <c r="B1383" s="4">
        <v>78</v>
      </c>
      <c r="C1383" s="4">
        <v>2</v>
      </c>
      <c r="D1383" s="4">
        <v>2</v>
      </c>
      <c r="E1383" s="4">
        <v>2</v>
      </c>
      <c r="F1383" s="6">
        <v>0</v>
      </c>
      <c r="G1383" s="3">
        <v>1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0</v>
      </c>
      <c r="AD1383" s="3">
        <v>0</v>
      </c>
      <c r="AE1383" s="3">
        <v>0</v>
      </c>
      <c r="AF1383" s="3">
        <v>1</v>
      </c>
      <c r="AG1383" s="3">
        <v>0</v>
      </c>
      <c r="AH1383" s="3">
        <v>0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  <c r="AP1383" s="3">
        <v>0</v>
      </c>
      <c r="AQ1383" s="3">
        <v>0</v>
      </c>
      <c r="AR1383" s="3">
        <v>1</v>
      </c>
      <c r="AS1383" s="3">
        <v>0</v>
      </c>
      <c r="AT1383" s="3">
        <v>0</v>
      </c>
      <c r="AU1383" s="3">
        <v>0</v>
      </c>
      <c r="AV1383" s="3">
        <v>0</v>
      </c>
      <c r="AW1383" s="3">
        <v>0</v>
      </c>
      <c r="AX1383" s="3">
        <v>0</v>
      </c>
      <c r="AY1383" s="3">
        <v>0</v>
      </c>
      <c r="AZ1383" s="3">
        <v>0</v>
      </c>
      <c r="BA1383" s="3">
        <v>0</v>
      </c>
      <c r="BB1383" s="3">
        <v>0</v>
      </c>
      <c r="BC1383" s="3">
        <v>0</v>
      </c>
      <c r="BD1383" s="3">
        <v>0</v>
      </c>
      <c r="BE1383" s="3">
        <v>0</v>
      </c>
      <c r="BF1383" s="3">
        <v>0</v>
      </c>
      <c r="BG1383" s="3">
        <v>0</v>
      </c>
      <c r="BH1383" s="3">
        <v>0</v>
      </c>
      <c r="BI1383" s="3">
        <v>0</v>
      </c>
      <c r="BJ1383" s="3">
        <v>0</v>
      </c>
      <c r="BK1383" s="3">
        <v>0</v>
      </c>
      <c r="BL1383" s="3">
        <v>0</v>
      </c>
      <c r="BM1383" s="3">
        <v>0</v>
      </c>
    </row>
    <row r="1384" spans="1:65" x14ac:dyDescent="0.25">
      <c r="A1384" s="2" t="s">
        <v>150</v>
      </c>
      <c r="B1384" s="4">
        <v>78</v>
      </c>
      <c r="C1384" s="4">
        <v>2</v>
      </c>
      <c r="D1384" s="4">
        <v>2</v>
      </c>
      <c r="E1384" s="4">
        <v>3</v>
      </c>
      <c r="F1384" s="6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1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0</v>
      </c>
      <c r="AW1384" s="3">
        <v>0</v>
      </c>
      <c r="AX1384" s="3">
        <v>0</v>
      </c>
      <c r="AY1384" s="3">
        <v>0</v>
      </c>
      <c r="AZ1384" s="3">
        <v>0</v>
      </c>
      <c r="BA1384" s="3">
        <v>0</v>
      </c>
      <c r="BB1384" s="3">
        <v>0</v>
      </c>
      <c r="BC1384" s="3">
        <v>0</v>
      </c>
      <c r="BD1384" s="3">
        <v>0</v>
      </c>
      <c r="BE1384" s="3">
        <v>0</v>
      </c>
      <c r="BF1384" s="3">
        <v>0</v>
      </c>
      <c r="BG1384" s="3">
        <v>0</v>
      </c>
      <c r="BH1384" s="3">
        <v>0</v>
      </c>
      <c r="BI1384" s="3">
        <v>0</v>
      </c>
      <c r="BJ1384" s="3">
        <v>0</v>
      </c>
      <c r="BK1384" s="3">
        <v>0</v>
      </c>
      <c r="BL1384" s="3">
        <v>0</v>
      </c>
      <c r="BM1384" s="3">
        <v>0</v>
      </c>
    </row>
    <row r="1385" spans="1:65" x14ac:dyDescent="0.25">
      <c r="A1385" s="2" t="s">
        <v>150</v>
      </c>
      <c r="B1385" s="4">
        <v>78</v>
      </c>
      <c r="C1385" s="4">
        <v>2</v>
      </c>
      <c r="D1385" s="4">
        <v>3</v>
      </c>
      <c r="E1385" s="4">
        <v>1</v>
      </c>
      <c r="F1385" s="6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1</v>
      </c>
      <c r="P1385" s="3">
        <v>0</v>
      </c>
      <c r="Q1385" s="3">
        <v>0</v>
      </c>
      <c r="R1385" s="3">
        <v>1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0</v>
      </c>
      <c r="AM1385" s="3">
        <v>0</v>
      </c>
      <c r="AN1385" s="3">
        <v>1</v>
      </c>
      <c r="AO1385" s="3">
        <v>0</v>
      </c>
      <c r="AP1385" s="3">
        <v>0</v>
      </c>
      <c r="AQ1385" s="3">
        <v>0</v>
      </c>
      <c r="AR1385" s="3">
        <v>0</v>
      </c>
      <c r="AS1385" s="3">
        <v>0</v>
      </c>
      <c r="AT1385" s="3">
        <v>0</v>
      </c>
      <c r="AU1385" s="3">
        <v>0</v>
      </c>
      <c r="AV1385" s="3">
        <v>0</v>
      </c>
      <c r="AW1385" s="3">
        <v>0</v>
      </c>
      <c r="AX1385" s="3">
        <v>0</v>
      </c>
      <c r="AY1385" s="3">
        <v>0</v>
      </c>
      <c r="AZ1385" s="3">
        <v>0</v>
      </c>
      <c r="BA1385" s="3">
        <v>0</v>
      </c>
      <c r="BB1385" s="3">
        <v>0</v>
      </c>
      <c r="BC1385" s="3">
        <v>0</v>
      </c>
      <c r="BD1385" s="3">
        <v>0</v>
      </c>
      <c r="BE1385" s="3">
        <v>0</v>
      </c>
      <c r="BF1385" s="3">
        <v>0</v>
      </c>
      <c r="BG1385" s="3">
        <v>0</v>
      </c>
      <c r="BH1385" s="3">
        <v>0</v>
      </c>
      <c r="BI1385" s="3">
        <v>0</v>
      </c>
      <c r="BJ1385" s="3">
        <v>0</v>
      </c>
      <c r="BK1385" s="3">
        <v>0</v>
      </c>
      <c r="BL1385" s="3">
        <v>0</v>
      </c>
      <c r="BM1385" s="3">
        <v>0</v>
      </c>
    </row>
    <row r="1386" spans="1:65" x14ac:dyDescent="0.25">
      <c r="A1386" s="2" t="s">
        <v>150</v>
      </c>
      <c r="B1386" s="4">
        <v>78</v>
      </c>
      <c r="C1386" s="4">
        <v>2</v>
      </c>
      <c r="D1386" s="4">
        <v>3</v>
      </c>
      <c r="E1386" s="4">
        <v>2</v>
      </c>
      <c r="F1386" s="6">
        <v>0</v>
      </c>
      <c r="G1386" s="3">
        <v>0</v>
      </c>
      <c r="H1386" s="3">
        <v>0</v>
      </c>
      <c r="I1386" s="3">
        <v>1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1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  <c r="AM1386" s="3">
        <v>0</v>
      </c>
      <c r="AN1386" s="3">
        <v>1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  <c r="AT1386" s="3">
        <v>0</v>
      </c>
      <c r="AU1386" s="3">
        <v>1</v>
      </c>
      <c r="AV1386" s="3">
        <v>0</v>
      </c>
      <c r="AW1386" s="3">
        <v>0</v>
      </c>
      <c r="AX1386" s="3">
        <v>0</v>
      </c>
      <c r="AY1386" s="3">
        <v>0</v>
      </c>
      <c r="AZ1386" s="3">
        <v>0</v>
      </c>
      <c r="BA1386" s="3">
        <v>0</v>
      </c>
      <c r="BB1386" s="3">
        <v>0</v>
      </c>
      <c r="BC1386" s="3">
        <v>0</v>
      </c>
      <c r="BD1386" s="3">
        <v>0</v>
      </c>
      <c r="BE1386" s="3">
        <v>0</v>
      </c>
      <c r="BF1386" s="3">
        <v>0</v>
      </c>
      <c r="BG1386" s="3">
        <v>0</v>
      </c>
      <c r="BH1386" s="3">
        <v>0</v>
      </c>
      <c r="BI1386" s="3">
        <v>0</v>
      </c>
      <c r="BJ1386" s="3">
        <v>0</v>
      </c>
      <c r="BK1386" s="3">
        <v>0</v>
      </c>
      <c r="BL1386" s="3">
        <v>0</v>
      </c>
      <c r="BM1386" s="3">
        <v>0</v>
      </c>
    </row>
    <row r="1387" spans="1:65" x14ac:dyDescent="0.25">
      <c r="A1387" s="2" t="s">
        <v>150</v>
      </c>
      <c r="B1387" s="4">
        <v>78</v>
      </c>
      <c r="C1387" s="4">
        <v>2</v>
      </c>
      <c r="D1387" s="4">
        <v>3</v>
      </c>
      <c r="E1387" s="4">
        <v>3</v>
      </c>
      <c r="F1387" s="6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3">
        <v>0</v>
      </c>
      <c r="AQ1387" s="3">
        <v>0</v>
      </c>
      <c r="AR1387" s="3">
        <v>0</v>
      </c>
      <c r="AS1387" s="3">
        <v>0</v>
      </c>
      <c r="AT1387" s="3">
        <v>0</v>
      </c>
      <c r="AU1387" s="3">
        <v>0</v>
      </c>
      <c r="AV1387" s="3">
        <v>0</v>
      </c>
      <c r="AW1387" s="3">
        <v>0</v>
      </c>
      <c r="AX1387" s="3">
        <v>0</v>
      </c>
      <c r="AY1387" s="3">
        <v>0</v>
      </c>
      <c r="AZ1387" s="3">
        <v>0</v>
      </c>
      <c r="BA1387" s="3">
        <v>0</v>
      </c>
      <c r="BB1387" s="3">
        <v>0</v>
      </c>
      <c r="BC1387" s="3">
        <v>0</v>
      </c>
      <c r="BD1387" s="3">
        <v>0</v>
      </c>
      <c r="BE1387" s="3">
        <v>0</v>
      </c>
      <c r="BF1387" s="3">
        <v>0</v>
      </c>
      <c r="BG1387" s="3">
        <v>0</v>
      </c>
      <c r="BH1387" s="3">
        <v>0</v>
      </c>
      <c r="BI1387" s="3">
        <v>0</v>
      </c>
      <c r="BJ1387" s="3">
        <v>0</v>
      </c>
      <c r="BK1387" s="3">
        <v>0</v>
      </c>
      <c r="BL1387" s="3">
        <v>0</v>
      </c>
      <c r="BM1387" s="3">
        <v>0</v>
      </c>
    </row>
    <row r="1388" spans="1:65" x14ac:dyDescent="0.25">
      <c r="A1388" s="2" t="s">
        <v>151</v>
      </c>
      <c r="B1388" s="4">
        <v>79</v>
      </c>
      <c r="C1388" s="4">
        <v>1</v>
      </c>
      <c r="D1388" s="4">
        <v>1</v>
      </c>
      <c r="E1388" s="4">
        <v>1</v>
      </c>
      <c r="F1388" s="4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1</v>
      </c>
      <c r="M1388" s="3">
        <v>0</v>
      </c>
      <c r="N1388" s="3">
        <v>0</v>
      </c>
      <c r="O1388" s="3">
        <v>0</v>
      </c>
      <c r="P1388" s="3">
        <v>2</v>
      </c>
      <c r="Q1388" s="3">
        <v>0</v>
      </c>
      <c r="R1388" s="3">
        <v>2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1</v>
      </c>
      <c r="Z1388" s="3">
        <v>0</v>
      </c>
      <c r="AA1388" s="3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  <c r="AT1388" s="3">
        <v>0</v>
      </c>
      <c r="AU1388" s="3">
        <v>0</v>
      </c>
      <c r="AV1388" s="3">
        <v>0</v>
      </c>
      <c r="AW1388" s="3">
        <v>0</v>
      </c>
      <c r="AX1388" s="3">
        <v>0</v>
      </c>
      <c r="AY1388" s="3">
        <v>0</v>
      </c>
      <c r="AZ1388" s="3">
        <v>0</v>
      </c>
      <c r="BA1388" s="3">
        <v>0</v>
      </c>
      <c r="BB1388" s="3">
        <v>0</v>
      </c>
      <c r="BC1388" s="3">
        <v>0</v>
      </c>
      <c r="BD1388" s="3">
        <v>0</v>
      </c>
      <c r="BE1388" s="3">
        <v>0</v>
      </c>
      <c r="BF1388" s="3">
        <v>0</v>
      </c>
      <c r="BG1388" s="3">
        <v>0</v>
      </c>
      <c r="BH1388" s="3">
        <v>0</v>
      </c>
      <c r="BI1388" s="3">
        <v>0</v>
      </c>
      <c r="BJ1388" s="3">
        <v>0</v>
      </c>
      <c r="BK1388" s="3">
        <v>0</v>
      </c>
      <c r="BL1388" s="3">
        <v>1</v>
      </c>
      <c r="BM1388" s="3">
        <v>0</v>
      </c>
    </row>
    <row r="1389" spans="1:65" x14ac:dyDescent="0.25">
      <c r="A1389" s="2" t="s">
        <v>151</v>
      </c>
      <c r="B1389" s="4">
        <v>79</v>
      </c>
      <c r="C1389" s="4">
        <v>1</v>
      </c>
      <c r="D1389" s="4">
        <v>1</v>
      </c>
      <c r="E1389" s="4">
        <v>2</v>
      </c>
      <c r="F1389" s="4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1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s="3">
        <v>1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  <c r="AJ1389" s="3">
        <v>0</v>
      </c>
      <c r="AK1389" s="3">
        <v>0</v>
      </c>
      <c r="AL1389" s="3">
        <v>0</v>
      </c>
      <c r="AM1389" s="3">
        <v>0</v>
      </c>
      <c r="AN1389" s="3">
        <v>0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T1389" s="3">
        <v>0</v>
      </c>
      <c r="AU1389" s="3">
        <v>0</v>
      </c>
      <c r="AV1389" s="3">
        <v>0</v>
      </c>
      <c r="AW1389" s="3">
        <v>0</v>
      </c>
      <c r="AX1389" s="3">
        <v>0</v>
      </c>
      <c r="AY1389" s="3">
        <v>0</v>
      </c>
      <c r="AZ1389" s="3">
        <v>0</v>
      </c>
      <c r="BA1389" s="3">
        <v>0</v>
      </c>
      <c r="BB1389" s="3">
        <v>0</v>
      </c>
      <c r="BC1389" s="3">
        <v>0</v>
      </c>
      <c r="BD1389" s="3">
        <v>0</v>
      </c>
      <c r="BE1389" s="3">
        <v>0</v>
      </c>
      <c r="BF1389" s="3">
        <v>0</v>
      </c>
      <c r="BG1389" s="3">
        <v>0</v>
      </c>
      <c r="BH1389" s="3">
        <v>0</v>
      </c>
      <c r="BI1389" s="3">
        <v>0</v>
      </c>
      <c r="BJ1389" s="3">
        <v>0</v>
      </c>
      <c r="BK1389" s="3">
        <v>0</v>
      </c>
      <c r="BL1389" s="3">
        <v>0</v>
      </c>
      <c r="BM1389" s="3">
        <v>0</v>
      </c>
    </row>
    <row r="1390" spans="1:65" x14ac:dyDescent="0.25">
      <c r="A1390" s="2" t="s">
        <v>151</v>
      </c>
      <c r="B1390" s="4">
        <v>79</v>
      </c>
      <c r="C1390" s="4">
        <v>1</v>
      </c>
      <c r="D1390" s="4">
        <v>1</v>
      </c>
      <c r="E1390" s="4">
        <v>3</v>
      </c>
      <c r="F1390" s="4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  <c r="AB1390" s="3">
        <v>0</v>
      </c>
      <c r="AC1390" s="3">
        <v>0</v>
      </c>
      <c r="AD1390" s="3">
        <v>0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T1390" s="3">
        <v>0</v>
      </c>
      <c r="AU1390" s="3">
        <v>0</v>
      </c>
      <c r="AV1390" s="3">
        <v>0</v>
      </c>
      <c r="AW1390" s="3">
        <v>0</v>
      </c>
      <c r="AX1390" s="3">
        <v>0</v>
      </c>
      <c r="AY1390" s="3">
        <v>0</v>
      </c>
      <c r="AZ1390" s="3">
        <v>0</v>
      </c>
      <c r="BA1390" s="3">
        <v>0</v>
      </c>
      <c r="BB1390" s="3">
        <v>0</v>
      </c>
      <c r="BC1390" s="3">
        <v>0</v>
      </c>
      <c r="BD1390" s="3">
        <v>0</v>
      </c>
      <c r="BE1390" s="3">
        <v>0</v>
      </c>
      <c r="BF1390" s="3">
        <v>0</v>
      </c>
      <c r="BG1390" s="3">
        <v>0</v>
      </c>
      <c r="BH1390" s="3">
        <v>0</v>
      </c>
      <c r="BI1390" s="3">
        <v>0</v>
      </c>
      <c r="BJ1390" s="3">
        <v>0</v>
      </c>
      <c r="BK1390" s="3">
        <v>0</v>
      </c>
      <c r="BL1390" s="3">
        <v>0</v>
      </c>
      <c r="BM1390" s="3">
        <v>0</v>
      </c>
    </row>
    <row r="1391" spans="1:65" x14ac:dyDescent="0.25">
      <c r="A1391" s="2" t="s">
        <v>151</v>
      </c>
      <c r="B1391" s="4">
        <v>79</v>
      </c>
      <c r="C1391" s="4">
        <v>1</v>
      </c>
      <c r="D1391" s="4">
        <v>2</v>
      </c>
      <c r="E1391" s="4">
        <v>1</v>
      </c>
      <c r="F1391" s="4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1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  <c r="AB1391" s="3">
        <v>0</v>
      </c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0</v>
      </c>
      <c r="AP1391" s="3">
        <v>0</v>
      </c>
      <c r="AQ1391" s="3">
        <v>0</v>
      </c>
      <c r="AR1391" s="3">
        <v>0</v>
      </c>
      <c r="AS1391" s="3">
        <v>0</v>
      </c>
      <c r="AT1391" s="3">
        <v>0</v>
      </c>
      <c r="AU1391" s="3">
        <v>0</v>
      </c>
      <c r="AV1391" s="3">
        <v>0</v>
      </c>
      <c r="AW1391" s="3">
        <v>0</v>
      </c>
      <c r="AX1391" s="3">
        <v>0</v>
      </c>
      <c r="AY1391" s="3">
        <v>0</v>
      </c>
      <c r="AZ1391" s="3">
        <v>0</v>
      </c>
      <c r="BA1391" s="3">
        <v>0</v>
      </c>
      <c r="BB1391" s="3">
        <v>0</v>
      </c>
      <c r="BC1391" s="3">
        <v>0</v>
      </c>
      <c r="BD1391" s="3">
        <v>0</v>
      </c>
      <c r="BE1391" s="3">
        <v>0</v>
      </c>
      <c r="BF1391" s="3">
        <v>0</v>
      </c>
      <c r="BG1391" s="3">
        <v>0</v>
      </c>
      <c r="BH1391" s="3">
        <v>0</v>
      </c>
      <c r="BI1391" s="3">
        <v>0</v>
      </c>
      <c r="BJ1391" s="3">
        <v>0</v>
      </c>
      <c r="BK1391" s="3">
        <v>0</v>
      </c>
      <c r="BL1391" s="3">
        <v>0</v>
      </c>
      <c r="BM1391" s="3">
        <v>0</v>
      </c>
    </row>
    <row r="1392" spans="1:65" x14ac:dyDescent="0.25">
      <c r="A1392" s="2" t="s">
        <v>151</v>
      </c>
      <c r="B1392" s="4">
        <v>79</v>
      </c>
      <c r="C1392" s="4">
        <v>1</v>
      </c>
      <c r="D1392" s="4">
        <v>2</v>
      </c>
      <c r="E1392" s="4">
        <v>2</v>
      </c>
      <c r="F1392" s="4">
        <v>0</v>
      </c>
      <c r="G1392" s="3">
        <v>0</v>
      </c>
      <c r="H1392" s="3">
        <v>0</v>
      </c>
      <c r="I1392" s="3">
        <v>0</v>
      </c>
      <c r="J1392" s="3">
        <v>1</v>
      </c>
      <c r="K1392" s="3">
        <v>0</v>
      </c>
      <c r="L1392" s="3">
        <v>1</v>
      </c>
      <c r="M1392" s="3">
        <v>0</v>
      </c>
      <c r="N1392" s="3">
        <v>0</v>
      </c>
      <c r="O1392" s="3">
        <v>0</v>
      </c>
      <c r="P1392" s="3">
        <v>1</v>
      </c>
      <c r="Q1392" s="3">
        <v>0</v>
      </c>
      <c r="R1392" s="3">
        <v>1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0</v>
      </c>
      <c r="AD1392" s="3">
        <v>0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T1392" s="3">
        <v>0</v>
      </c>
      <c r="AU1392" s="3">
        <v>0</v>
      </c>
      <c r="AV1392" s="3">
        <v>0</v>
      </c>
      <c r="AW1392" s="3">
        <v>0</v>
      </c>
      <c r="AX1392" s="3">
        <v>0</v>
      </c>
      <c r="AY1392" s="3">
        <v>0</v>
      </c>
      <c r="AZ1392" s="3">
        <v>0</v>
      </c>
      <c r="BA1392" s="3">
        <v>0</v>
      </c>
      <c r="BB1392" s="3">
        <v>0</v>
      </c>
      <c r="BC1392" s="3">
        <v>0</v>
      </c>
      <c r="BD1392" s="3">
        <v>1</v>
      </c>
      <c r="BE1392" s="3">
        <v>0</v>
      </c>
      <c r="BF1392" s="3">
        <v>0</v>
      </c>
      <c r="BG1392" s="3">
        <v>0</v>
      </c>
      <c r="BH1392" s="3">
        <v>0</v>
      </c>
      <c r="BI1392" s="3">
        <v>0</v>
      </c>
      <c r="BJ1392" s="3">
        <v>0</v>
      </c>
      <c r="BK1392" s="3">
        <v>0</v>
      </c>
      <c r="BL1392" s="3">
        <v>0</v>
      </c>
      <c r="BM1392" s="3">
        <v>0</v>
      </c>
    </row>
    <row r="1393" spans="1:65" x14ac:dyDescent="0.25">
      <c r="A1393" s="2" t="s">
        <v>151</v>
      </c>
      <c r="B1393" s="4">
        <v>79</v>
      </c>
      <c r="C1393" s="4">
        <v>1</v>
      </c>
      <c r="D1393" s="4">
        <v>2</v>
      </c>
      <c r="E1393" s="4">
        <v>3</v>
      </c>
      <c r="F1393" s="4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  <c r="AJ1393" s="3">
        <v>0</v>
      </c>
      <c r="AK1393" s="3">
        <v>0</v>
      </c>
      <c r="AL1393" s="3">
        <v>0</v>
      </c>
      <c r="AM1393" s="3">
        <v>0</v>
      </c>
      <c r="AN1393" s="3">
        <v>0</v>
      </c>
      <c r="AO1393" s="3">
        <v>0</v>
      </c>
      <c r="AP1393" s="3">
        <v>0</v>
      </c>
      <c r="AQ1393" s="3">
        <v>0</v>
      </c>
      <c r="AR1393" s="3">
        <v>0</v>
      </c>
      <c r="AS1393" s="3">
        <v>0</v>
      </c>
      <c r="AT1393" s="3">
        <v>0</v>
      </c>
      <c r="AU1393" s="3">
        <v>0</v>
      </c>
      <c r="AV1393" s="3">
        <v>0</v>
      </c>
      <c r="AW1393" s="3">
        <v>0</v>
      </c>
      <c r="AX1393" s="3">
        <v>0</v>
      </c>
      <c r="AY1393" s="3">
        <v>0</v>
      </c>
      <c r="AZ1393" s="3">
        <v>0</v>
      </c>
      <c r="BA1393" s="3">
        <v>0</v>
      </c>
      <c r="BB1393" s="3">
        <v>0</v>
      </c>
      <c r="BC1393" s="3">
        <v>0</v>
      </c>
      <c r="BD1393" s="3">
        <v>0</v>
      </c>
      <c r="BE1393" s="3">
        <v>0</v>
      </c>
      <c r="BF1393" s="3">
        <v>0</v>
      </c>
      <c r="BG1393" s="3">
        <v>0</v>
      </c>
      <c r="BH1393" s="3">
        <v>0</v>
      </c>
      <c r="BI1393" s="3">
        <v>0</v>
      </c>
      <c r="BJ1393" s="3">
        <v>1</v>
      </c>
      <c r="BK1393" s="3">
        <v>0</v>
      </c>
      <c r="BL1393" s="3">
        <v>0</v>
      </c>
      <c r="BM1393" s="3">
        <v>0</v>
      </c>
    </row>
    <row r="1394" spans="1:65" x14ac:dyDescent="0.25">
      <c r="A1394" s="2" t="s">
        <v>151</v>
      </c>
      <c r="B1394" s="4">
        <v>79</v>
      </c>
      <c r="C1394" s="4">
        <v>1</v>
      </c>
      <c r="D1394" s="4">
        <v>3</v>
      </c>
      <c r="E1394" s="4">
        <v>1</v>
      </c>
      <c r="F1394" s="4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1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1</v>
      </c>
      <c r="AO1394" s="3">
        <v>0</v>
      </c>
      <c r="AP1394" s="3">
        <v>0</v>
      </c>
      <c r="AQ1394" s="3">
        <v>0</v>
      </c>
      <c r="AR1394" s="3">
        <v>0</v>
      </c>
      <c r="AS1394" s="3">
        <v>0</v>
      </c>
      <c r="AT1394" s="3">
        <v>0</v>
      </c>
      <c r="AU1394" s="3">
        <v>0</v>
      </c>
      <c r="AV1394" s="3">
        <v>0</v>
      </c>
      <c r="AW1394" s="3">
        <v>0</v>
      </c>
      <c r="AX1394" s="3">
        <v>0</v>
      </c>
      <c r="AY1394" s="3">
        <v>0</v>
      </c>
      <c r="AZ1394" s="3">
        <v>0</v>
      </c>
      <c r="BA1394" s="3">
        <v>0</v>
      </c>
      <c r="BB1394" s="3">
        <v>0</v>
      </c>
      <c r="BC1394" s="3">
        <v>0</v>
      </c>
      <c r="BD1394" s="3">
        <v>0</v>
      </c>
      <c r="BE1394" s="3">
        <v>0</v>
      </c>
      <c r="BF1394" s="3">
        <v>0</v>
      </c>
      <c r="BG1394" s="3">
        <v>0</v>
      </c>
      <c r="BH1394" s="3">
        <v>0</v>
      </c>
      <c r="BI1394" s="3">
        <v>0</v>
      </c>
      <c r="BJ1394" s="3">
        <v>0</v>
      </c>
      <c r="BK1394" s="3">
        <v>0</v>
      </c>
      <c r="BL1394" s="3">
        <v>1</v>
      </c>
      <c r="BM1394" s="3">
        <v>0</v>
      </c>
    </row>
    <row r="1395" spans="1:65" x14ac:dyDescent="0.25">
      <c r="A1395" s="2" t="s">
        <v>151</v>
      </c>
      <c r="B1395" s="4">
        <v>79</v>
      </c>
      <c r="C1395" s="4">
        <v>1</v>
      </c>
      <c r="D1395" s="4">
        <v>3</v>
      </c>
      <c r="E1395" s="4">
        <v>2</v>
      </c>
      <c r="F1395" s="4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1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3">
        <v>0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  <c r="AJ1395" s="3">
        <v>0</v>
      </c>
      <c r="AK1395" s="3">
        <v>0</v>
      </c>
      <c r="AL1395" s="3">
        <v>0</v>
      </c>
      <c r="AM1395" s="3">
        <v>0</v>
      </c>
      <c r="AN1395" s="3">
        <v>0</v>
      </c>
      <c r="AO1395" s="3">
        <v>0</v>
      </c>
      <c r="AP1395" s="3">
        <v>0</v>
      </c>
      <c r="AQ1395" s="3">
        <v>0</v>
      </c>
      <c r="AR1395" s="3">
        <v>0</v>
      </c>
      <c r="AS1395" s="3">
        <v>0</v>
      </c>
      <c r="AT1395" s="3">
        <v>0</v>
      </c>
      <c r="AU1395" s="3">
        <v>0</v>
      </c>
      <c r="AV1395" s="3">
        <v>0</v>
      </c>
      <c r="AW1395" s="3">
        <v>0</v>
      </c>
      <c r="AX1395" s="3">
        <v>0</v>
      </c>
      <c r="AY1395" s="3">
        <v>0</v>
      </c>
      <c r="AZ1395" s="3">
        <v>0</v>
      </c>
      <c r="BA1395" s="3">
        <v>0</v>
      </c>
      <c r="BB1395" s="3">
        <v>0</v>
      </c>
      <c r="BC1395" s="3">
        <v>0</v>
      </c>
      <c r="BD1395" s="3">
        <v>0</v>
      </c>
      <c r="BE1395" s="3">
        <v>0</v>
      </c>
      <c r="BF1395" s="3">
        <v>0</v>
      </c>
      <c r="BG1395" s="3">
        <v>0</v>
      </c>
      <c r="BH1395" s="3">
        <v>0</v>
      </c>
      <c r="BI1395" s="3">
        <v>0</v>
      </c>
      <c r="BJ1395" s="3">
        <v>0</v>
      </c>
      <c r="BK1395" s="3">
        <v>0</v>
      </c>
      <c r="BL1395" s="3">
        <v>0</v>
      </c>
      <c r="BM1395" s="3">
        <v>0</v>
      </c>
    </row>
    <row r="1396" spans="1:65" x14ac:dyDescent="0.25">
      <c r="A1396" s="2" t="s">
        <v>151</v>
      </c>
      <c r="B1396" s="4">
        <v>79</v>
      </c>
      <c r="C1396" s="4">
        <v>1</v>
      </c>
      <c r="D1396" s="4">
        <v>3</v>
      </c>
      <c r="E1396" s="4">
        <v>3</v>
      </c>
      <c r="F1396" s="4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0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T1396" s="3">
        <v>0</v>
      </c>
      <c r="AU1396" s="3">
        <v>0</v>
      </c>
      <c r="AV1396" s="3">
        <v>0</v>
      </c>
      <c r="AW1396" s="3">
        <v>0</v>
      </c>
      <c r="AX1396" s="3">
        <v>0</v>
      </c>
      <c r="AY1396" s="3">
        <v>0</v>
      </c>
      <c r="AZ1396" s="3">
        <v>0</v>
      </c>
      <c r="BA1396" s="3">
        <v>0</v>
      </c>
      <c r="BB1396" s="3">
        <v>0</v>
      </c>
      <c r="BC1396" s="3">
        <v>0</v>
      </c>
      <c r="BD1396" s="3">
        <v>0</v>
      </c>
      <c r="BE1396" s="3">
        <v>0</v>
      </c>
      <c r="BF1396" s="3">
        <v>0</v>
      </c>
      <c r="BG1396" s="3">
        <v>0</v>
      </c>
      <c r="BH1396" s="3">
        <v>0</v>
      </c>
      <c r="BI1396" s="3">
        <v>0</v>
      </c>
      <c r="BJ1396" s="3">
        <v>0</v>
      </c>
      <c r="BK1396" s="3">
        <v>0</v>
      </c>
      <c r="BL1396" s="3">
        <v>0</v>
      </c>
      <c r="BM1396" s="3">
        <v>0</v>
      </c>
    </row>
    <row r="1397" spans="1:65" x14ac:dyDescent="0.25">
      <c r="A1397" s="2" t="s">
        <v>151</v>
      </c>
      <c r="B1397" s="4">
        <v>79</v>
      </c>
      <c r="C1397" s="4">
        <v>2</v>
      </c>
      <c r="D1397" s="4">
        <v>1</v>
      </c>
      <c r="E1397" s="4">
        <v>1</v>
      </c>
      <c r="F1397" s="6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1</v>
      </c>
      <c r="AC1397" s="3">
        <v>0</v>
      </c>
      <c r="AD1397" s="3">
        <v>0</v>
      </c>
      <c r="AE1397" s="3">
        <v>0</v>
      </c>
      <c r="AF1397" s="3">
        <v>3</v>
      </c>
      <c r="AG1397" s="3">
        <v>0</v>
      </c>
      <c r="AH1397" s="3">
        <v>0</v>
      </c>
      <c r="AI1397" s="3">
        <v>0</v>
      </c>
      <c r="AJ1397" s="3">
        <v>0</v>
      </c>
      <c r="AK1397" s="3">
        <v>0</v>
      </c>
      <c r="AL1397" s="3">
        <v>0</v>
      </c>
      <c r="AM1397" s="3">
        <v>0</v>
      </c>
      <c r="AN1397" s="3">
        <v>0</v>
      </c>
      <c r="AO1397" s="3">
        <v>0</v>
      </c>
      <c r="AP1397" s="3">
        <v>0</v>
      </c>
      <c r="AQ1397" s="3">
        <v>0</v>
      </c>
      <c r="AR1397" s="3">
        <v>0</v>
      </c>
      <c r="AS1397" s="3">
        <v>0</v>
      </c>
      <c r="AT1397" s="3">
        <v>0</v>
      </c>
      <c r="AU1397" s="3">
        <v>0</v>
      </c>
      <c r="AV1397" s="3">
        <v>0</v>
      </c>
      <c r="AW1397" s="3">
        <v>0</v>
      </c>
      <c r="AX1397" s="3">
        <v>0</v>
      </c>
      <c r="AY1397" s="3">
        <v>0</v>
      </c>
      <c r="AZ1397" s="3">
        <v>0</v>
      </c>
      <c r="BA1397" s="3">
        <v>0</v>
      </c>
      <c r="BB1397" s="3">
        <v>0</v>
      </c>
      <c r="BC1397" s="3">
        <v>0</v>
      </c>
      <c r="BD1397" s="3">
        <v>0</v>
      </c>
      <c r="BE1397" s="3">
        <v>0</v>
      </c>
      <c r="BF1397" s="3">
        <v>0</v>
      </c>
      <c r="BG1397" s="3">
        <v>0</v>
      </c>
      <c r="BH1397" s="3">
        <v>0</v>
      </c>
      <c r="BI1397" s="3">
        <v>0</v>
      </c>
      <c r="BJ1397" s="3">
        <v>0</v>
      </c>
      <c r="BK1397" s="3">
        <v>0</v>
      </c>
      <c r="BL1397" s="3">
        <v>2</v>
      </c>
      <c r="BM1397" s="3">
        <v>0</v>
      </c>
    </row>
    <row r="1398" spans="1:65" x14ac:dyDescent="0.25">
      <c r="A1398" s="2" t="s">
        <v>151</v>
      </c>
      <c r="B1398" s="4">
        <v>79</v>
      </c>
      <c r="C1398" s="4">
        <v>2</v>
      </c>
      <c r="D1398" s="4">
        <v>1</v>
      </c>
      <c r="E1398" s="4">
        <v>2</v>
      </c>
      <c r="F1398" s="6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1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  <c r="AJ1398" s="3">
        <v>0</v>
      </c>
      <c r="AK1398" s="3">
        <v>0</v>
      </c>
      <c r="AL1398" s="3">
        <v>0</v>
      </c>
      <c r="AM1398" s="3">
        <v>0</v>
      </c>
      <c r="AN1398" s="3">
        <v>0</v>
      </c>
      <c r="AO1398" s="3">
        <v>0</v>
      </c>
      <c r="AP1398" s="3">
        <v>0</v>
      </c>
      <c r="AQ1398" s="3">
        <v>0</v>
      </c>
      <c r="AR1398" s="3">
        <v>0</v>
      </c>
      <c r="AS1398" s="3">
        <v>0</v>
      </c>
      <c r="AT1398" s="3">
        <v>0</v>
      </c>
      <c r="AU1398" s="3">
        <v>0</v>
      </c>
      <c r="AV1398" s="3">
        <v>0</v>
      </c>
      <c r="AW1398" s="3">
        <v>0</v>
      </c>
      <c r="AX1398" s="3">
        <v>0</v>
      </c>
      <c r="AY1398" s="3">
        <v>0</v>
      </c>
      <c r="AZ1398" s="3">
        <v>0</v>
      </c>
      <c r="BA1398" s="3">
        <v>0</v>
      </c>
      <c r="BB1398" s="3">
        <v>0</v>
      </c>
      <c r="BC1398" s="3">
        <v>0</v>
      </c>
      <c r="BD1398" s="3">
        <v>0</v>
      </c>
      <c r="BE1398" s="3">
        <v>0</v>
      </c>
      <c r="BF1398" s="3">
        <v>0</v>
      </c>
      <c r="BG1398" s="3">
        <v>0</v>
      </c>
      <c r="BH1398" s="3">
        <v>0</v>
      </c>
      <c r="BI1398" s="3">
        <v>0</v>
      </c>
      <c r="BJ1398" s="3">
        <v>0</v>
      </c>
      <c r="BK1398" s="3">
        <v>0</v>
      </c>
      <c r="BL1398" s="3">
        <v>0</v>
      </c>
      <c r="BM1398" s="3">
        <v>0</v>
      </c>
    </row>
    <row r="1399" spans="1:65" x14ac:dyDescent="0.25">
      <c r="A1399" s="2" t="s">
        <v>151</v>
      </c>
      <c r="B1399" s="4">
        <v>79</v>
      </c>
      <c r="C1399" s="4">
        <v>2</v>
      </c>
      <c r="D1399" s="4">
        <v>1</v>
      </c>
      <c r="E1399" s="4">
        <v>3</v>
      </c>
      <c r="F1399" s="6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3">
        <v>0</v>
      </c>
      <c r="AQ1399" s="3">
        <v>0</v>
      </c>
      <c r="AR1399" s="3">
        <v>0</v>
      </c>
      <c r="AS1399" s="3">
        <v>0</v>
      </c>
      <c r="AT1399" s="3">
        <v>0</v>
      </c>
      <c r="AU1399" s="3">
        <v>0</v>
      </c>
      <c r="AV1399" s="3">
        <v>0</v>
      </c>
      <c r="AW1399" s="3">
        <v>0</v>
      </c>
      <c r="AX1399" s="3">
        <v>0</v>
      </c>
      <c r="AY1399" s="3">
        <v>0</v>
      </c>
      <c r="AZ1399" s="3">
        <v>0</v>
      </c>
      <c r="BA1399" s="3">
        <v>0</v>
      </c>
      <c r="BB1399" s="3">
        <v>0</v>
      </c>
      <c r="BC1399" s="3">
        <v>0</v>
      </c>
      <c r="BD1399" s="3">
        <v>0</v>
      </c>
      <c r="BE1399" s="3">
        <v>0</v>
      </c>
      <c r="BF1399" s="3">
        <v>0</v>
      </c>
      <c r="BG1399" s="3">
        <v>0</v>
      </c>
      <c r="BH1399" s="3">
        <v>0</v>
      </c>
      <c r="BI1399" s="3">
        <v>0</v>
      </c>
      <c r="BJ1399" s="3">
        <v>0</v>
      </c>
      <c r="BK1399" s="3">
        <v>0</v>
      </c>
      <c r="BL1399" s="3">
        <v>0</v>
      </c>
      <c r="BM1399" s="3">
        <v>0</v>
      </c>
    </row>
    <row r="1400" spans="1:65" x14ac:dyDescent="0.25">
      <c r="A1400" s="2" t="s">
        <v>151</v>
      </c>
      <c r="B1400" s="4">
        <v>79</v>
      </c>
      <c r="C1400" s="4">
        <v>2</v>
      </c>
      <c r="D1400" s="4">
        <v>2</v>
      </c>
      <c r="E1400" s="4">
        <v>1</v>
      </c>
      <c r="F1400" s="6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0</v>
      </c>
      <c r="AD1400" s="3">
        <v>0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  <c r="AO1400" s="3">
        <v>0</v>
      </c>
      <c r="AP1400" s="3">
        <v>0</v>
      </c>
      <c r="AQ1400" s="3">
        <v>0</v>
      </c>
      <c r="AR1400" s="3">
        <v>0</v>
      </c>
      <c r="AS1400" s="3">
        <v>0</v>
      </c>
      <c r="AT1400" s="3">
        <v>0</v>
      </c>
      <c r="AU1400" s="3">
        <v>0</v>
      </c>
      <c r="AV1400" s="3">
        <v>0</v>
      </c>
      <c r="AW1400" s="3">
        <v>0</v>
      </c>
      <c r="AX1400" s="3">
        <v>0</v>
      </c>
      <c r="AY1400" s="3">
        <v>0</v>
      </c>
      <c r="AZ1400" s="3">
        <v>0</v>
      </c>
      <c r="BA1400" s="3">
        <v>0</v>
      </c>
      <c r="BB1400" s="3">
        <v>0</v>
      </c>
      <c r="BC1400" s="3">
        <v>0</v>
      </c>
      <c r="BD1400" s="3">
        <v>0</v>
      </c>
      <c r="BE1400" s="3">
        <v>0</v>
      </c>
      <c r="BF1400" s="3">
        <v>0</v>
      </c>
      <c r="BG1400" s="3">
        <v>0</v>
      </c>
      <c r="BH1400" s="3">
        <v>0</v>
      </c>
      <c r="BI1400" s="3">
        <v>0</v>
      </c>
      <c r="BJ1400" s="3">
        <v>0</v>
      </c>
      <c r="BK1400" s="3">
        <v>0</v>
      </c>
      <c r="BL1400" s="3">
        <v>0</v>
      </c>
      <c r="BM1400" s="3">
        <v>0</v>
      </c>
    </row>
    <row r="1401" spans="1:65" x14ac:dyDescent="0.25">
      <c r="A1401" s="2" t="s">
        <v>151</v>
      </c>
      <c r="B1401" s="4">
        <v>79</v>
      </c>
      <c r="C1401" s="4">
        <v>2</v>
      </c>
      <c r="D1401" s="4">
        <v>2</v>
      </c>
      <c r="E1401" s="4">
        <v>2</v>
      </c>
      <c r="F1401" s="6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0</v>
      </c>
      <c r="AK1401" s="3">
        <v>0</v>
      </c>
      <c r="AL1401" s="3">
        <v>0</v>
      </c>
      <c r="AM1401" s="3">
        <v>0</v>
      </c>
      <c r="AN1401" s="3">
        <v>0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T1401" s="3">
        <v>0</v>
      </c>
      <c r="AU1401" s="3">
        <v>0</v>
      </c>
      <c r="AV1401" s="3">
        <v>0</v>
      </c>
      <c r="AW1401" s="3">
        <v>0</v>
      </c>
      <c r="AX1401" s="3">
        <v>0</v>
      </c>
      <c r="AY1401" s="3">
        <v>0</v>
      </c>
      <c r="AZ1401" s="3">
        <v>0</v>
      </c>
      <c r="BA1401" s="3">
        <v>0</v>
      </c>
      <c r="BB1401" s="3">
        <v>0</v>
      </c>
      <c r="BC1401" s="3">
        <v>0</v>
      </c>
      <c r="BD1401" s="3">
        <v>0</v>
      </c>
      <c r="BE1401" s="3">
        <v>0</v>
      </c>
      <c r="BF1401" s="3">
        <v>0</v>
      </c>
      <c r="BG1401" s="3">
        <v>0</v>
      </c>
      <c r="BH1401" s="3">
        <v>0</v>
      </c>
      <c r="BI1401" s="3">
        <v>0</v>
      </c>
      <c r="BJ1401" s="3">
        <v>0</v>
      </c>
      <c r="BK1401" s="3">
        <v>0</v>
      </c>
      <c r="BL1401" s="3">
        <v>0</v>
      </c>
      <c r="BM1401" s="3">
        <v>0</v>
      </c>
    </row>
    <row r="1402" spans="1:65" x14ac:dyDescent="0.25">
      <c r="A1402" s="2" t="s">
        <v>151</v>
      </c>
      <c r="B1402" s="4">
        <v>79</v>
      </c>
      <c r="C1402" s="4">
        <v>2</v>
      </c>
      <c r="D1402" s="4">
        <v>2</v>
      </c>
      <c r="E1402" s="4">
        <v>3</v>
      </c>
      <c r="F1402" s="6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  <c r="AB1402" s="3">
        <v>0</v>
      </c>
      <c r="AC1402" s="3">
        <v>0</v>
      </c>
      <c r="AD1402" s="3">
        <v>0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  <c r="AJ1402" s="3">
        <v>0</v>
      </c>
      <c r="AK1402" s="3">
        <v>0</v>
      </c>
      <c r="AL1402" s="3">
        <v>0</v>
      </c>
      <c r="AM1402" s="3">
        <v>0</v>
      </c>
      <c r="AN1402" s="3">
        <v>0</v>
      </c>
      <c r="AO1402" s="3">
        <v>0</v>
      </c>
      <c r="AP1402" s="3">
        <v>0</v>
      </c>
      <c r="AQ1402" s="3">
        <v>0</v>
      </c>
      <c r="AR1402" s="3">
        <v>0</v>
      </c>
      <c r="AS1402" s="3">
        <v>0</v>
      </c>
      <c r="AT1402" s="3">
        <v>0</v>
      </c>
      <c r="AU1402" s="3">
        <v>0</v>
      </c>
      <c r="AV1402" s="3">
        <v>0</v>
      </c>
      <c r="AW1402" s="3">
        <v>0</v>
      </c>
      <c r="AX1402" s="3">
        <v>0</v>
      </c>
      <c r="AY1402" s="3">
        <v>0</v>
      </c>
      <c r="AZ1402" s="3">
        <v>0</v>
      </c>
      <c r="BA1402" s="3">
        <v>0</v>
      </c>
      <c r="BB1402" s="3">
        <v>0</v>
      </c>
      <c r="BC1402" s="3">
        <v>0</v>
      </c>
      <c r="BD1402" s="3">
        <v>0</v>
      </c>
      <c r="BE1402" s="3">
        <v>0</v>
      </c>
      <c r="BF1402" s="3">
        <v>0</v>
      </c>
      <c r="BG1402" s="3">
        <v>0</v>
      </c>
      <c r="BH1402" s="3">
        <v>0</v>
      </c>
      <c r="BI1402" s="3">
        <v>0</v>
      </c>
      <c r="BJ1402" s="3">
        <v>1</v>
      </c>
      <c r="BK1402" s="3">
        <v>0</v>
      </c>
      <c r="BL1402" s="3">
        <v>0</v>
      </c>
      <c r="BM1402" s="3">
        <v>1</v>
      </c>
    </row>
    <row r="1403" spans="1:65" x14ac:dyDescent="0.25">
      <c r="A1403" s="2" t="s">
        <v>151</v>
      </c>
      <c r="B1403" s="4">
        <v>79</v>
      </c>
      <c r="C1403" s="4">
        <v>2</v>
      </c>
      <c r="D1403" s="4">
        <v>3</v>
      </c>
      <c r="E1403" s="4">
        <v>1</v>
      </c>
      <c r="F1403" s="6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  <c r="AB1403" s="3">
        <v>0</v>
      </c>
      <c r="AC1403" s="3">
        <v>0</v>
      </c>
      <c r="AD1403" s="3">
        <v>0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  <c r="AJ1403" s="3">
        <v>0</v>
      </c>
      <c r="AK1403" s="3">
        <v>0</v>
      </c>
      <c r="AL1403" s="3">
        <v>0</v>
      </c>
      <c r="AM1403" s="3">
        <v>0</v>
      </c>
      <c r="AN1403" s="3">
        <v>0</v>
      </c>
      <c r="AO1403" s="3">
        <v>0</v>
      </c>
      <c r="AP1403" s="3">
        <v>0</v>
      </c>
      <c r="AQ1403" s="3">
        <v>0</v>
      </c>
      <c r="AR1403" s="3">
        <v>0</v>
      </c>
      <c r="AS1403" s="3">
        <v>0</v>
      </c>
      <c r="AT1403" s="3">
        <v>0</v>
      </c>
      <c r="AU1403" s="3">
        <v>0</v>
      </c>
      <c r="AV1403" s="3">
        <v>0</v>
      </c>
      <c r="AW1403" s="3">
        <v>0</v>
      </c>
      <c r="AX1403" s="3">
        <v>0</v>
      </c>
      <c r="AY1403" s="3">
        <v>0</v>
      </c>
      <c r="AZ1403" s="3">
        <v>0</v>
      </c>
      <c r="BA1403" s="3">
        <v>0</v>
      </c>
      <c r="BB1403" s="3">
        <v>0</v>
      </c>
      <c r="BC1403" s="3">
        <v>0</v>
      </c>
      <c r="BD1403" s="3">
        <v>0</v>
      </c>
      <c r="BE1403" s="3">
        <v>0</v>
      </c>
      <c r="BF1403" s="3">
        <v>0</v>
      </c>
      <c r="BG1403" s="3">
        <v>0</v>
      </c>
      <c r="BH1403" s="3">
        <v>0</v>
      </c>
      <c r="BI1403" s="3">
        <v>0</v>
      </c>
      <c r="BJ1403" s="3">
        <v>0</v>
      </c>
      <c r="BK1403" s="3">
        <v>0</v>
      </c>
      <c r="BL1403" s="3">
        <v>1</v>
      </c>
      <c r="BM1403" s="3">
        <v>0</v>
      </c>
    </row>
    <row r="1404" spans="1:65" x14ac:dyDescent="0.25">
      <c r="A1404" s="2" t="s">
        <v>151</v>
      </c>
      <c r="B1404" s="4">
        <v>79</v>
      </c>
      <c r="C1404" s="4">
        <v>2</v>
      </c>
      <c r="D1404" s="4">
        <v>3</v>
      </c>
      <c r="E1404" s="4">
        <v>2</v>
      </c>
      <c r="F1404" s="6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1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  <c r="AJ1404" s="3">
        <v>0</v>
      </c>
      <c r="AK1404" s="3">
        <v>0</v>
      </c>
      <c r="AL1404" s="3">
        <v>0</v>
      </c>
      <c r="AM1404" s="3">
        <v>0</v>
      </c>
      <c r="AN1404" s="3">
        <v>0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  <c r="AT1404" s="3">
        <v>1</v>
      </c>
      <c r="AU1404" s="3">
        <v>0</v>
      </c>
      <c r="AV1404" s="3">
        <v>0</v>
      </c>
      <c r="AW1404" s="3">
        <v>0</v>
      </c>
      <c r="AX1404" s="3">
        <v>0</v>
      </c>
      <c r="AY1404" s="3">
        <v>0</v>
      </c>
      <c r="AZ1404" s="3">
        <v>0</v>
      </c>
      <c r="BA1404" s="3">
        <v>0</v>
      </c>
      <c r="BB1404" s="3">
        <v>0</v>
      </c>
      <c r="BC1404" s="3">
        <v>0</v>
      </c>
      <c r="BD1404" s="3">
        <v>0</v>
      </c>
      <c r="BE1404" s="3">
        <v>0</v>
      </c>
      <c r="BF1404" s="3">
        <v>0</v>
      </c>
      <c r="BG1404" s="3">
        <v>0</v>
      </c>
      <c r="BH1404" s="3">
        <v>0</v>
      </c>
      <c r="BI1404" s="3">
        <v>0</v>
      </c>
      <c r="BJ1404" s="3">
        <v>0</v>
      </c>
      <c r="BK1404" s="3">
        <v>0</v>
      </c>
      <c r="BL1404" s="3">
        <v>0</v>
      </c>
      <c r="BM1404" s="3">
        <v>0</v>
      </c>
    </row>
    <row r="1405" spans="1:65" x14ac:dyDescent="0.25">
      <c r="A1405" s="2" t="s">
        <v>151</v>
      </c>
      <c r="B1405" s="4">
        <v>79</v>
      </c>
      <c r="C1405" s="4">
        <v>2</v>
      </c>
      <c r="D1405" s="4">
        <v>3</v>
      </c>
      <c r="E1405" s="4">
        <v>3</v>
      </c>
      <c r="F1405" s="6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1</v>
      </c>
      <c r="Z1405" s="3">
        <v>0</v>
      </c>
      <c r="AA1405" s="3">
        <v>0</v>
      </c>
      <c r="AB1405" s="3">
        <v>0</v>
      </c>
      <c r="AC1405" s="3">
        <v>0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>
        <v>0</v>
      </c>
      <c r="AK1405" s="3">
        <v>0</v>
      </c>
      <c r="AL1405" s="3">
        <v>0</v>
      </c>
      <c r="AM1405" s="3">
        <v>0</v>
      </c>
      <c r="AN1405" s="3">
        <v>0</v>
      </c>
      <c r="AO1405" s="3">
        <v>0</v>
      </c>
      <c r="AP1405" s="3">
        <v>0</v>
      </c>
      <c r="AQ1405" s="3">
        <v>0</v>
      </c>
      <c r="AR1405" s="3">
        <v>0</v>
      </c>
      <c r="AS1405" s="3">
        <v>0</v>
      </c>
      <c r="AT1405" s="3">
        <v>0</v>
      </c>
      <c r="AU1405" s="3">
        <v>0</v>
      </c>
      <c r="AV1405" s="3">
        <v>0</v>
      </c>
      <c r="AW1405" s="3">
        <v>0</v>
      </c>
      <c r="AX1405" s="3">
        <v>0</v>
      </c>
      <c r="AY1405" s="3">
        <v>0</v>
      </c>
      <c r="AZ1405" s="3">
        <v>0</v>
      </c>
      <c r="BA1405" s="3">
        <v>0</v>
      </c>
      <c r="BB1405" s="3">
        <v>0</v>
      </c>
      <c r="BC1405" s="3">
        <v>0</v>
      </c>
      <c r="BD1405" s="3">
        <v>0</v>
      </c>
      <c r="BE1405" s="3">
        <v>0</v>
      </c>
      <c r="BF1405" s="3">
        <v>0</v>
      </c>
      <c r="BG1405" s="3">
        <v>0</v>
      </c>
      <c r="BH1405" s="3">
        <v>0</v>
      </c>
      <c r="BI1405" s="3">
        <v>0</v>
      </c>
      <c r="BJ1405" s="3">
        <v>0</v>
      </c>
      <c r="BK1405" s="3">
        <v>0</v>
      </c>
      <c r="BL1405" s="3">
        <v>0</v>
      </c>
      <c r="BM1405" s="3">
        <v>0</v>
      </c>
    </row>
  </sheetData>
  <sortState ref="A2:BS1405">
    <sortCondition ref="B2:B1405"/>
    <sortCondition ref="C2:C1405"/>
    <sortCondition ref="D2:D1405"/>
    <sortCondition ref="E2:E140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8" customWidth="1"/>
    <col min="5" max="5" width="9.375" bestFit="1" customWidth="1"/>
  </cols>
  <sheetData>
    <row r="1" spans="1:7" s="10" customFormat="1" x14ac:dyDescent="0.25">
      <c r="A1" s="10" t="s">
        <v>0</v>
      </c>
      <c r="B1" s="10" t="s">
        <v>1</v>
      </c>
      <c r="C1" s="10" t="s">
        <v>2</v>
      </c>
      <c r="D1" s="10" t="s">
        <v>152</v>
      </c>
      <c r="E1" s="10" t="s">
        <v>154</v>
      </c>
      <c r="F1" s="10" t="s">
        <v>164</v>
      </c>
      <c r="G1" s="10" t="s">
        <v>153</v>
      </c>
    </row>
    <row r="2" spans="1:7" x14ac:dyDescent="0.25">
      <c r="A2" s="7" t="s">
        <v>75</v>
      </c>
      <c r="B2" s="11">
        <v>1</v>
      </c>
      <c r="C2">
        <v>1</v>
      </c>
      <c r="D2" s="12">
        <v>0.28055555555555556</v>
      </c>
      <c r="E2" s="13">
        <v>42144</v>
      </c>
      <c r="F2">
        <v>0</v>
      </c>
      <c r="G2">
        <v>2</v>
      </c>
    </row>
    <row r="3" spans="1:7" x14ac:dyDescent="0.25">
      <c r="A3" s="7" t="s">
        <v>76</v>
      </c>
      <c r="B3" s="11">
        <v>2</v>
      </c>
      <c r="C3">
        <v>1</v>
      </c>
      <c r="D3" s="12">
        <v>0.39166666666666666</v>
      </c>
      <c r="E3" s="13">
        <v>42134</v>
      </c>
      <c r="F3">
        <v>2</v>
      </c>
      <c r="G3">
        <v>1</v>
      </c>
    </row>
    <row r="4" spans="1:7" x14ac:dyDescent="0.25">
      <c r="A4" s="7" t="s">
        <v>77</v>
      </c>
      <c r="B4" s="11">
        <v>3</v>
      </c>
      <c r="C4">
        <v>1</v>
      </c>
      <c r="D4" s="12">
        <v>0.26527777777777778</v>
      </c>
      <c r="E4" s="13">
        <v>42144</v>
      </c>
      <c r="F4">
        <v>0</v>
      </c>
      <c r="G4">
        <v>2</v>
      </c>
    </row>
    <row r="5" spans="1:7" x14ac:dyDescent="0.25">
      <c r="A5" s="7" t="s">
        <v>78</v>
      </c>
      <c r="B5" s="11">
        <v>4</v>
      </c>
      <c r="C5">
        <v>1</v>
      </c>
      <c r="D5" s="12">
        <v>0.23750000000000002</v>
      </c>
      <c r="E5" s="13">
        <v>42144</v>
      </c>
      <c r="F5">
        <v>0</v>
      </c>
      <c r="G5">
        <v>3</v>
      </c>
    </row>
    <row r="6" spans="1:7" x14ac:dyDescent="0.25">
      <c r="A6" s="7" t="s">
        <v>79</v>
      </c>
      <c r="B6" s="11">
        <v>5</v>
      </c>
      <c r="C6">
        <v>1</v>
      </c>
      <c r="D6" s="12">
        <v>0.24791666666666667</v>
      </c>
      <c r="E6" s="13">
        <v>42144</v>
      </c>
      <c r="F6">
        <v>0</v>
      </c>
      <c r="G6">
        <v>2</v>
      </c>
    </row>
    <row r="7" spans="1:7" x14ac:dyDescent="0.25">
      <c r="A7" s="7" t="s">
        <v>80</v>
      </c>
      <c r="B7" s="11">
        <v>6</v>
      </c>
      <c r="C7">
        <v>1</v>
      </c>
      <c r="D7" s="12">
        <v>0.35833333333333334</v>
      </c>
      <c r="E7" s="13">
        <v>42134</v>
      </c>
      <c r="F7">
        <v>2</v>
      </c>
      <c r="G7">
        <v>0</v>
      </c>
    </row>
    <row r="8" spans="1:7" x14ac:dyDescent="0.25">
      <c r="A8" s="7" t="s">
        <v>81</v>
      </c>
      <c r="B8" s="11">
        <v>7</v>
      </c>
      <c r="C8">
        <v>1</v>
      </c>
      <c r="D8" s="12">
        <v>0.37083333333333335</v>
      </c>
      <c r="E8" s="13">
        <v>42134</v>
      </c>
      <c r="F8">
        <v>2</v>
      </c>
      <c r="G8">
        <v>1</v>
      </c>
    </row>
    <row r="9" spans="1:7" x14ac:dyDescent="0.25">
      <c r="A9" s="7" t="s">
        <v>82</v>
      </c>
      <c r="B9" s="11">
        <v>8</v>
      </c>
      <c r="C9">
        <v>1</v>
      </c>
      <c r="D9" s="12">
        <v>0.30763888888888891</v>
      </c>
      <c r="E9" s="13">
        <v>42126</v>
      </c>
      <c r="F9">
        <v>1</v>
      </c>
      <c r="G9">
        <v>0</v>
      </c>
    </row>
    <row r="10" spans="1:7" x14ac:dyDescent="0.25">
      <c r="A10" s="7" t="s">
        <v>83</v>
      </c>
      <c r="B10" s="11">
        <v>9</v>
      </c>
      <c r="C10">
        <v>1</v>
      </c>
      <c r="D10" s="12">
        <v>0.32500000000000001</v>
      </c>
      <c r="E10" s="13">
        <v>42133</v>
      </c>
      <c r="F10">
        <v>2</v>
      </c>
      <c r="G10">
        <v>0</v>
      </c>
    </row>
    <row r="11" spans="1:7" x14ac:dyDescent="0.25">
      <c r="A11" s="7" t="s">
        <v>84</v>
      </c>
      <c r="B11" s="11">
        <v>10</v>
      </c>
      <c r="C11">
        <v>1</v>
      </c>
      <c r="D11" s="12">
        <v>0.34166666666666662</v>
      </c>
      <c r="E11" s="13">
        <v>42133</v>
      </c>
      <c r="F11">
        <v>2</v>
      </c>
      <c r="G11">
        <v>1</v>
      </c>
    </row>
    <row r="12" spans="1:7" x14ac:dyDescent="0.25">
      <c r="A12" s="7" t="s">
        <v>85</v>
      </c>
      <c r="B12" s="11">
        <v>11</v>
      </c>
      <c r="C12">
        <v>1</v>
      </c>
      <c r="D12" s="12">
        <v>0.3520833333333333</v>
      </c>
      <c r="E12" s="13">
        <v>42133</v>
      </c>
      <c r="F12">
        <v>2</v>
      </c>
      <c r="G12">
        <v>2</v>
      </c>
    </row>
    <row r="13" spans="1:7" x14ac:dyDescent="0.25">
      <c r="A13" s="7" t="s">
        <v>86</v>
      </c>
      <c r="B13" s="11">
        <v>12</v>
      </c>
      <c r="C13">
        <v>1</v>
      </c>
      <c r="D13" s="12">
        <v>0.36388888888888887</v>
      </c>
      <c r="E13" s="13">
        <v>42133</v>
      </c>
      <c r="F13">
        <v>2</v>
      </c>
      <c r="G13">
        <v>3</v>
      </c>
    </row>
    <row r="14" spans="1:7" x14ac:dyDescent="0.25">
      <c r="A14" s="7" t="s">
        <v>87</v>
      </c>
      <c r="B14" s="11">
        <v>13</v>
      </c>
      <c r="C14">
        <v>1</v>
      </c>
      <c r="D14" s="12">
        <v>0.24166666666666667</v>
      </c>
      <c r="E14" s="13">
        <v>42134</v>
      </c>
      <c r="F14">
        <v>4</v>
      </c>
      <c r="G14">
        <v>0</v>
      </c>
    </row>
    <row r="15" spans="1:7" x14ac:dyDescent="0.25">
      <c r="A15" s="7" t="s">
        <v>88</v>
      </c>
      <c r="B15" s="11">
        <v>14</v>
      </c>
      <c r="C15">
        <v>1</v>
      </c>
      <c r="D15" s="12">
        <v>0.25555555555555559</v>
      </c>
      <c r="E15" s="13">
        <v>42134</v>
      </c>
      <c r="F15">
        <v>4</v>
      </c>
      <c r="G15">
        <v>0</v>
      </c>
    </row>
    <row r="16" spans="1:7" x14ac:dyDescent="0.25">
      <c r="A16" s="7" t="s">
        <v>89</v>
      </c>
      <c r="B16" s="11">
        <v>15</v>
      </c>
      <c r="C16">
        <v>1</v>
      </c>
      <c r="D16" s="12">
        <v>0.26944444444444443</v>
      </c>
      <c r="E16" s="13">
        <v>42134</v>
      </c>
      <c r="F16">
        <v>4</v>
      </c>
      <c r="G16">
        <v>0</v>
      </c>
    </row>
    <row r="17" spans="1:7" x14ac:dyDescent="0.25">
      <c r="A17" s="7" t="s">
        <v>90</v>
      </c>
      <c r="B17" s="11">
        <v>16</v>
      </c>
      <c r="C17">
        <v>1</v>
      </c>
      <c r="D17" s="12">
        <v>0.28194444444444444</v>
      </c>
      <c r="E17" s="13">
        <v>42134</v>
      </c>
      <c r="F17">
        <v>4</v>
      </c>
      <c r="G17">
        <v>0</v>
      </c>
    </row>
    <row r="18" spans="1:7" x14ac:dyDescent="0.25">
      <c r="A18" s="7" t="s">
        <v>91</v>
      </c>
      <c r="B18" s="11">
        <v>17</v>
      </c>
      <c r="C18">
        <v>1</v>
      </c>
      <c r="D18" s="12">
        <v>0.25763888888888892</v>
      </c>
      <c r="E18" s="13">
        <v>42127</v>
      </c>
      <c r="F18">
        <v>1</v>
      </c>
      <c r="G18">
        <v>0</v>
      </c>
    </row>
    <row r="19" spans="1:7" x14ac:dyDescent="0.25">
      <c r="A19" s="7" t="s">
        <v>92</v>
      </c>
      <c r="B19" s="11">
        <v>18</v>
      </c>
      <c r="C19">
        <v>1</v>
      </c>
      <c r="D19" s="12">
        <v>0.28819444444444448</v>
      </c>
      <c r="E19" s="13">
        <v>42127</v>
      </c>
      <c r="F19">
        <v>1</v>
      </c>
      <c r="G19">
        <v>0</v>
      </c>
    </row>
    <row r="20" spans="1:7" x14ac:dyDescent="0.25">
      <c r="A20" s="7" t="s">
        <v>93</v>
      </c>
      <c r="B20" s="11">
        <v>19</v>
      </c>
      <c r="C20">
        <v>1</v>
      </c>
      <c r="D20" s="12">
        <v>0.34930555555555554</v>
      </c>
      <c r="E20" s="13">
        <v>42127</v>
      </c>
      <c r="F20">
        <v>1</v>
      </c>
      <c r="G20">
        <v>0</v>
      </c>
    </row>
    <row r="21" spans="1:7" x14ac:dyDescent="0.25">
      <c r="A21" s="7" t="s">
        <v>94</v>
      </c>
      <c r="B21" s="11">
        <v>20</v>
      </c>
      <c r="C21">
        <v>1</v>
      </c>
      <c r="D21" s="12">
        <v>0.36041666666666666</v>
      </c>
      <c r="E21" s="13">
        <v>42127</v>
      </c>
      <c r="F21">
        <v>1</v>
      </c>
      <c r="G21">
        <v>0</v>
      </c>
    </row>
    <row r="22" spans="1:7" x14ac:dyDescent="0.25">
      <c r="A22" s="7" t="s">
        <v>95</v>
      </c>
      <c r="B22" s="11">
        <v>21</v>
      </c>
      <c r="C22">
        <v>1</v>
      </c>
      <c r="D22" s="12">
        <v>0.37152777777777773</v>
      </c>
      <c r="E22" s="13">
        <v>42127</v>
      </c>
      <c r="F22">
        <v>1</v>
      </c>
      <c r="G22">
        <v>0</v>
      </c>
    </row>
    <row r="23" spans="1:7" x14ac:dyDescent="0.25">
      <c r="A23" s="7" t="s">
        <v>96</v>
      </c>
      <c r="B23" s="11">
        <v>22</v>
      </c>
      <c r="C23">
        <v>1</v>
      </c>
      <c r="D23" s="12">
        <v>0.3833333333333333</v>
      </c>
      <c r="E23" s="13">
        <v>42127</v>
      </c>
      <c r="F23">
        <v>1</v>
      </c>
      <c r="G23">
        <v>0</v>
      </c>
    </row>
    <row r="24" spans="1:7" x14ac:dyDescent="0.25">
      <c r="A24" s="7" t="s">
        <v>97</v>
      </c>
      <c r="B24" s="11">
        <v>23</v>
      </c>
      <c r="C24">
        <v>1</v>
      </c>
      <c r="D24" s="12">
        <v>0.39374999999999999</v>
      </c>
      <c r="E24" s="13">
        <v>42127</v>
      </c>
      <c r="F24">
        <v>1</v>
      </c>
      <c r="G24">
        <v>1</v>
      </c>
    </row>
    <row r="25" spans="1:7" x14ac:dyDescent="0.25">
      <c r="A25" s="7" t="s">
        <v>98</v>
      </c>
      <c r="B25" s="11">
        <v>24</v>
      </c>
      <c r="C25">
        <v>1</v>
      </c>
      <c r="D25" s="12">
        <v>0.41319444444444442</v>
      </c>
      <c r="E25" s="13">
        <v>42126</v>
      </c>
      <c r="F25">
        <v>0</v>
      </c>
      <c r="G25">
        <v>0</v>
      </c>
    </row>
    <row r="26" spans="1:7" x14ac:dyDescent="0.25">
      <c r="A26" s="7" t="s">
        <v>99</v>
      </c>
      <c r="B26" s="11">
        <v>25</v>
      </c>
      <c r="C26">
        <v>1</v>
      </c>
      <c r="D26" s="12">
        <v>0.375</v>
      </c>
      <c r="E26" s="13">
        <v>42126</v>
      </c>
      <c r="F26">
        <v>0</v>
      </c>
      <c r="G26">
        <v>0</v>
      </c>
    </row>
    <row r="27" spans="1:7" x14ac:dyDescent="0.25">
      <c r="A27" s="7" t="s">
        <v>100</v>
      </c>
      <c r="B27" s="11">
        <v>26</v>
      </c>
      <c r="C27">
        <v>1</v>
      </c>
      <c r="D27" s="12">
        <v>0.39166666666666666</v>
      </c>
      <c r="E27" s="13">
        <v>42126</v>
      </c>
      <c r="F27">
        <v>0</v>
      </c>
      <c r="G27">
        <v>0</v>
      </c>
    </row>
    <row r="28" spans="1:7" x14ac:dyDescent="0.25">
      <c r="A28" s="7" t="s">
        <v>101</v>
      </c>
      <c r="B28" s="11">
        <v>27</v>
      </c>
      <c r="C28">
        <v>1</v>
      </c>
      <c r="D28" s="12">
        <v>0.26805555555555555</v>
      </c>
      <c r="E28" s="13">
        <v>42492</v>
      </c>
      <c r="F28">
        <v>2</v>
      </c>
      <c r="G28">
        <v>0</v>
      </c>
    </row>
    <row r="29" spans="1:7" x14ac:dyDescent="0.25">
      <c r="A29" s="7" t="s">
        <v>102</v>
      </c>
      <c r="B29" s="11">
        <v>28</v>
      </c>
      <c r="C29">
        <v>1</v>
      </c>
      <c r="D29" s="12">
        <v>0.25763888888888892</v>
      </c>
      <c r="E29" s="13">
        <v>42126</v>
      </c>
      <c r="F29">
        <v>2</v>
      </c>
      <c r="G29">
        <v>1</v>
      </c>
    </row>
    <row r="30" spans="1:7" x14ac:dyDescent="0.25">
      <c r="A30" s="7" t="s">
        <v>103</v>
      </c>
      <c r="B30" s="11">
        <v>29</v>
      </c>
      <c r="C30">
        <v>1</v>
      </c>
      <c r="D30" s="12">
        <v>0.29652777777777778</v>
      </c>
      <c r="E30" s="13">
        <v>42134</v>
      </c>
      <c r="F30">
        <v>4</v>
      </c>
      <c r="G30">
        <v>0</v>
      </c>
    </row>
    <row r="31" spans="1:7" x14ac:dyDescent="0.25">
      <c r="A31" s="7" t="s">
        <v>104</v>
      </c>
      <c r="B31" s="11">
        <v>30</v>
      </c>
      <c r="C31">
        <v>1</v>
      </c>
      <c r="D31" s="12">
        <v>0.32500000000000001</v>
      </c>
      <c r="E31" s="13">
        <v>42134</v>
      </c>
      <c r="F31">
        <v>2</v>
      </c>
      <c r="G31">
        <v>0</v>
      </c>
    </row>
    <row r="32" spans="1:7" x14ac:dyDescent="0.25">
      <c r="A32" s="7" t="s">
        <v>105</v>
      </c>
      <c r="B32" s="11">
        <v>31</v>
      </c>
      <c r="C32">
        <v>1</v>
      </c>
      <c r="D32" s="12">
        <v>0.31388888888888888</v>
      </c>
      <c r="E32" s="13">
        <v>42134</v>
      </c>
      <c r="F32">
        <v>2</v>
      </c>
      <c r="G32">
        <v>0</v>
      </c>
    </row>
    <row r="33" spans="1:7" x14ac:dyDescent="0.25">
      <c r="A33" s="7" t="s">
        <v>106</v>
      </c>
      <c r="B33" s="11">
        <v>32</v>
      </c>
      <c r="C33">
        <v>1</v>
      </c>
      <c r="D33" s="12">
        <v>0.34027777777777773</v>
      </c>
      <c r="E33" s="13">
        <v>42134</v>
      </c>
      <c r="F33">
        <v>2</v>
      </c>
      <c r="G33">
        <v>0</v>
      </c>
    </row>
    <row r="34" spans="1:7" x14ac:dyDescent="0.25">
      <c r="A34" s="7" t="s">
        <v>107</v>
      </c>
      <c r="B34" s="11">
        <v>33</v>
      </c>
      <c r="C34">
        <v>1</v>
      </c>
      <c r="D34" s="12">
        <v>0.33263888888888887</v>
      </c>
      <c r="E34" s="13">
        <v>42146</v>
      </c>
      <c r="F34">
        <v>0</v>
      </c>
      <c r="G34">
        <v>3</v>
      </c>
    </row>
    <row r="35" spans="1:7" x14ac:dyDescent="0.25">
      <c r="A35" s="7" t="s">
        <v>108</v>
      </c>
      <c r="B35" s="11">
        <v>34</v>
      </c>
      <c r="C35">
        <v>1</v>
      </c>
      <c r="D35" s="12">
        <v>0.26805555555555555</v>
      </c>
      <c r="E35" s="13">
        <v>42133</v>
      </c>
      <c r="F35">
        <v>2</v>
      </c>
      <c r="G35">
        <v>0</v>
      </c>
    </row>
    <row r="36" spans="1:7" x14ac:dyDescent="0.25">
      <c r="A36" s="7" t="s">
        <v>109</v>
      </c>
      <c r="B36" s="11">
        <v>35</v>
      </c>
      <c r="C36">
        <v>1</v>
      </c>
      <c r="D36" s="12">
        <v>0.2951388888888889</v>
      </c>
      <c r="E36" s="13">
        <v>42133</v>
      </c>
      <c r="F36">
        <v>2</v>
      </c>
      <c r="G36">
        <v>0</v>
      </c>
    </row>
    <row r="37" spans="1:7" x14ac:dyDescent="0.25">
      <c r="A37" s="7" t="s">
        <v>110</v>
      </c>
      <c r="B37" s="11">
        <v>36</v>
      </c>
      <c r="C37">
        <v>1</v>
      </c>
      <c r="D37" s="12">
        <v>0.29930555555555555</v>
      </c>
      <c r="E37" s="13">
        <v>42151</v>
      </c>
      <c r="F37">
        <v>2</v>
      </c>
      <c r="G37">
        <v>1</v>
      </c>
    </row>
    <row r="38" spans="1:7" x14ac:dyDescent="0.25">
      <c r="A38" s="7" t="s">
        <v>111</v>
      </c>
      <c r="B38" s="11">
        <v>37</v>
      </c>
      <c r="C38">
        <v>1</v>
      </c>
      <c r="D38" s="12">
        <v>0.23819444444444446</v>
      </c>
      <c r="E38" s="13">
        <v>42146</v>
      </c>
      <c r="F38">
        <v>0</v>
      </c>
      <c r="G38">
        <v>0</v>
      </c>
    </row>
    <row r="39" spans="1:7" x14ac:dyDescent="0.25">
      <c r="A39" s="7" t="s">
        <v>112</v>
      </c>
      <c r="B39" s="11">
        <v>38</v>
      </c>
      <c r="C39">
        <v>1</v>
      </c>
      <c r="D39" s="12">
        <v>0.26111111111111113</v>
      </c>
      <c r="E39" s="13">
        <v>42146</v>
      </c>
      <c r="F39">
        <v>0</v>
      </c>
      <c r="G39">
        <v>0</v>
      </c>
    </row>
    <row r="40" spans="1:7" x14ac:dyDescent="0.25">
      <c r="A40" s="7" t="s">
        <v>113</v>
      </c>
      <c r="B40" s="11">
        <v>39</v>
      </c>
      <c r="C40">
        <v>1</v>
      </c>
      <c r="D40" s="12">
        <v>0.2951388888888889</v>
      </c>
      <c r="E40" s="13">
        <v>42126</v>
      </c>
      <c r="F40">
        <v>2</v>
      </c>
      <c r="G40">
        <v>0</v>
      </c>
    </row>
    <row r="41" spans="1:7" x14ac:dyDescent="0.25">
      <c r="A41" s="7" t="s">
        <v>114</v>
      </c>
      <c r="B41" s="11">
        <v>40</v>
      </c>
      <c r="C41">
        <v>1</v>
      </c>
      <c r="D41" s="12">
        <v>0.27986111111111112</v>
      </c>
      <c r="E41" s="13">
        <v>42126</v>
      </c>
      <c r="F41">
        <v>2</v>
      </c>
      <c r="G41">
        <v>0</v>
      </c>
    </row>
    <row r="42" spans="1:7" x14ac:dyDescent="0.25">
      <c r="A42" s="7" t="s">
        <v>115</v>
      </c>
      <c r="B42" s="11">
        <v>41</v>
      </c>
      <c r="C42">
        <v>1</v>
      </c>
      <c r="D42" s="12">
        <v>0.40416666666666662</v>
      </c>
      <c r="E42" s="13">
        <v>42126</v>
      </c>
      <c r="F42">
        <v>0</v>
      </c>
      <c r="G42">
        <v>0</v>
      </c>
    </row>
    <row r="43" spans="1:7" x14ac:dyDescent="0.25">
      <c r="A43" s="8" t="s">
        <v>116</v>
      </c>
      <c r="B43" s="11">
        <v>42</v>
      </c>
      <c r="C43">
        <v>1</v>
      </c>
      <c r="D43" s="12">
        <v>0.32083333333333336</v>
      </c>
      <c r="E43" s="13">
        <v>42126</v>
      </c>
      <c r="F43">
        <v>0</v>
      </c>
      <c r="G43">
        <v>0</v>
      </c>
    </row>
    <row r="44" spans="1:7" x14ac:dyDescent="0.25">
      <c r="A44" s="8" t="s">
        <v>117</v>
      </c>
      <c r="B44" s="11">
        <v>43</v>
      </c>
      <c r="C44">
        <v>1</v>
      </c>
      <c r="D44" s="12">
        <v>0.34166666666666662</v>
      </c>
      <c r="E44" s="13">
        <v>42126</v>
      </c>
      <c r="F44">
        <v>0</v>
      </c>
      <c r="G44">
        <v>0</v>
      </c>
    </row>
    <row r="45" spans="1:7" x14ac:dyDescent="0.25">
      <c r="A45" s="8" t="s">
        <v>118</v>
      </c>
      <c r="B45" s="11">
        <v>44</v>
      </c>
      <c r="C45">
        <v>1</v>
      </c>
      <c r="D45" s="12">
        <v>0.27013888888888887</v>
      </c>
      <c r="E45" s="13">
        <v>42127</v>
      </c>
      <c r="F45">
        <v>1</v>
      </c>
      <c r="G45">
        <v>0</v>
      </c>
    </row>
    <row r="46" spans="1:7" x14ac:dyDescent="0.25">
      <c r="A46" s="8" t="s">
        <v>119</v>
      </c>
      <c r="B46" s="11">
        <v>45</v>
      </c>
      <c r="C46">
        <v>1</v>
      </c>
      <c r="D46" s="12">
        <v>0.30138888888888887</v>
      </c>
      <c r="E46" s="13">
        <v>42127</v>
      </c>
      <c r="F46">
        <v>1</v>
      </c>
      <c r="G46">
        <v>0</v>
      </c>
    </row>
    <row r="47" spans="1:7" x14ac:dyDescent="0.25">
      <c r="A47" s="8" t="s">
        <v>120</v>
      </c>
      <c r="B47" s="11">
        <v>46</v>
      </c>
      <c r="C47">
        <v>1</v>
      </c>
      <c r="D47" s="12">
        <v>0.31597222222222221</v>
      </c>
      <c r="E47" s="13">
        <v>42127</v>
      </c>
      <c r="F47">
        <v>1</v>
      </c>
      <c r="G47">
        <v>0</v>
      </c>
    </row>
    <row r="48" spans="1:7" x14ac:dyDescent="0.25">
      <c r="A48" s="8" t="s">
        <v>121</v>
      </c>
      <c r="B48" s="11">
        <v>47</v>
      </c>
      <c r="C48">
        <v>1</v>
      </c>
      <c r="D48" s="12">
        <v>0.32847222222222222</v>
      </c>
      <c r="E48" s="13">
        <v>42127</v>
      </c>
      <c r="F48">
        <v>1</v>
      </c>
      <c r="G48">
        <v>0</v>
      </c>
    </row>
    <row r="49" spans="1:7" x14ac:dyDescent="0.25">
      <c r="A49" s="8" t="s">
        <v>122</v>
      </c>
      <c r="B49" s="11">
        <v>48</v>
      </c>
      <c r="C49">
        <v>1</v>
      </c>
      <c r="D49" s="12">
        <v>0.30138888888888887</v>
      </c>
      <c r="E49" s="13">
        <v>42144</v>
      </c>
      <c r="F49">
        <v>0</v>
      </c>
      <c r="G49">
        <v>1</v>
      </c>
    </row>
    <row r="50" spans="1:7" x14ac:dyDescent="0.25">
      <c r="A50" s="8" t="s">
        <v>123</v>
      </c>
      <c r="B50" s="11">
        <v>49</v>
      </c>
      <c r="C50">
        <v>1</v>
      </c>
      <c r="D50" s="12">
        <v>0.31875000000000003</v>
      </c>
      <c r="E50" s="13">
        <v>42144</v>
      </c>
      <c r="F50">
        <v>0</v>
      </c>
      <c r="G50">
        <v>2</v>
      </c>
    </row>
    <row r="51" spans="1:7" x14ac:dyDescent="0.25">
      <c r="A51" s="8" t="s">
        <v>124</v>
      </c>
      <c r="B51" s="11">
        <v>50</v>
      </c>
      <c r="C51">
        <v>1</v>
      </c>
      <c r="D51" s="12">
        <v>0.35555555555555557</v>
      </c>
      <c r="E51" s="13">
        <v>42144</v>
      </c>
      <c r="F51">
        <v>2</v>
      </c>
      <c r="G51">
        <v>3</v>
      </c>
    </row>
    <row r="52" spans="1:7" x14ac:dyDescent="0.25">
      <c r="A52" s="8" t="s">
        <v>125</v>
      </c>
      <c r="B52" s="11">
        <v>51</v>
      </c>
      <c r="C52">
        <v>1</v>
      </c>
      <c r="D52" s="12">
        <v>0.29722222222222222</v>
      </c>
      <c r="E52" s="13">
        <v>42146</v>
      </c>
      <c r="F52">
        <v>0</v>
      </c>
      <c r="G52">
        <v>0</v>
      </c>
    </row>
    <row r="53" spans="1:7" x14ac:dyDescent="0.25">
      <c r="A53" s="8" t="s">
        <v>126</v>
      </c>
      <c r="B53" s="11">
        <v>52</v>
      </c>
      <c r="C53">
        <v>1</v>
      </c>
      <c r="D53" s="12">
        <v>0.34791666666666665</v>
      </c>
      <c r="E53" s="13">
        <v>42146</v>
      </c>
      <c r="F53">
        <v>0</v>
      </c>
      <c r="G53">
        <v>2</v>
      </c>
    </row>
    <row r="54" spans="1:7" x14ac:dyDescent="0.25">
      <c r="A54" s="8" t="s">
        <v>127</v>
      </c>
      <c r="B54" s="11">
        <v>53</v>
      </c>
      <c r="C54">
        <v>1</v>
      </c>
      <c r="D54" s="12">
        <v>0.3659722222222222</v>
      </c>
      <c r="E54" s="13">
        <v>42146</v>
      </c>
      <c r="F54">
        <v>0</v>
      </c>
      <c r="G54">
        <v>2</v>
      </c>
    </row>
    <row r="55" spans="1:7" x14ac:dyDescent="0.25">
      <c r="A55" s="8" t="s">
        <v>128</v>
      </c>
      <c r="B55" s="11">
        <v>54</v>
      </c>
      <c r="C55">
        <v>1</v>
      </c>
      <c r="D55" s="12">
        <v>0.38750000000000001</v>
      </c>
      <c r="E55" s="13">
        <v>42146</v>
      </c>
      <c r="F55">
        <v>0</v>
      </c>
      <c r="G55">
        <v>2</v>
      </c>
    </row>
    <row r="56" spans="1:7" x14ac:dyDescent="0.25">
      <c r="A56" s="8" t="s">
        <v>129</v>
      </c>
      <c r="B56" s="11">
        <v>55</v>
      </c>
      <c r="C56">
        <v>1</v>
      </c>
      <c r="D56" s="12">
        <v>0.24374999999999999</v>
      </c>
      <c r="E56" s="13">
        <v>42150</v>
      </c>
      <c r="F56">
        <v>0</v>
      </c>
      <c r="G56">
        <v>0</v>
      </c>
    </row>
    <row r="57" spans="1:7" x14ac:dyDescent="0.25">
      <c r="A57" s="8" t="s">
        <v>130</v>
      </c>
      <c r="B57" s="11">
        <v>57</v>
      </c>
      <c r="C57">
        <v>1</v>
      </c>
      <c r="D57" s="12">
        <v>0.36388888888888887</v>
      </c>
      <c r="E57" s="13">
        <v>42150</v>
      </c>
      <c r="F57">
        <v>0</v>
      </c>
      <c r="G57">
        <v>0</v>
      </c>
    </row>
    <row r="58" spans="1:7" x14ac:dyDescent="0.25">
      <c r="A58" s="8" t="s">
        <v>131</v>
      </c>
      <c r="B58" s="11">
        <v>58</v>
      </c>
      <c r="C58">
        <v>1</v>
      </c>
      <c r="D58" s="12">
        <v>0.38263888888888892</v>
      </c>
      <c r="E58" s="13">
        <v>42150</v>
      </c>
      <c r="F58">
        <v>0</v>
      </c>
      <c r="G58">
        <v>2</v>
      </c>
    </row>
    <row r="59" spans="1:7" x14ac:dyDescent="0.25">
      <c r="A59" s="8" t="s">
        <v>132</v>
      </c>
      <c r="B59" s="11">
        <v>59</v>
      </c>
      <c r="C59">
        <v>1</v>
      </c>
      <c r="D59" s="12">
        <v>0.24166666666666667</v>
      </c>
      <c r="E59" s="13">
        <v>42151</v>
      </c>
      <c r="F59">
        <v>2</v>
      </c>
      <c r="G59">
        <v>0</v>
      </c>
    </row>
    <row r="60" spans="1:7" x14ac:dyDescent="0.25">
      <c r="A60" s="8" t="s">
        <v>133</v>
      </c>
      <c r="B60" s="11">
        <v>60</v>
      </c>
      <c r="C60">
        <v>1</v>
      </c>
      <c r="D60" s="12">
        <v>0.2673611111111111</v>
      </c>
      <c r="E60" s="13">
        <v>42151</v>
      </c>
      <c r="F60">
        <v>2</v>
      </c>
      <c r="G60">
        <v>0</v>
      </c>
    </row>
    <row r="61" spans="1:7" x14ac:dyDescent="0.25">
      <c r="A61" s="8" t="s">
        <v>134</v>
      </c>
      <c r="B61" s="11">
        <v>61</v>
      </c>
      <c r="C61">
        <v>1</v>
      </c>
      <c r="D61" s="12">
        <v>0.32847222222222222</v>
      </c>
      <c r="E61" s="13">
        <v>42151</v>
      </c>
      <c r="F61">
        <v>2</v>
      </c>
      <c r="G61">
        <v>0</v>
      </c>
    </row>
    <row r="62" spans="1:7" x14ac:dyDescent="0.25">
      <c r="A62" s="8" t="s">
        <v>135</v>
      </c>
      <c r="B62" s="11">
        <v>62</v>
      </c>
      <c r="C62">
        <v>1</v>
      </c>
      <c r="D62" s="12">
        <v>0.34722222222222227</v>
      </c>
      <c r="E62" s="13">
        <v>42151</v>
      </c>
      <c r="F62">
        <v>2</v>
      </c>
      <c r="G62">
        <v>1</v>
      </c>
    </row>
    <row r="63" spans="1:7" x14ac:dyDescent="0.25">
      <c r="A63" s="8" t="s">
        <v>136</v>
      </c>
      <c r="B63" s="11">
        <v>63</v>
      </c>
      <c r="C63">
        <v>1</v>
      </c>
      <c r="D63" s="12">
        <v>0.37847222222222227</v>
      </c>
      <c r="E63" s="13">
        <v>42151</v>
      </c>
      <c r="F63">
        <v>2</v>
      </c>
      <c r="G63">
        <v>0</v>
      </c>
    </row>
    <row r="64" spans="1:7" x14ac:dyDescent="0.25">
      <c r="A64" s="8" t="s">
        <v>137</v>
      </c>
      <c r="B64" s="11">
        <v>64</v>
      </c>
      <c r="C64">
        <v>1</v>
      </c>
      <c r="D64" s="12">
        <v>0.25347222222222221</v>
      </c>
      <c r="E64" s="13">
        <v>42152</v>
      </c>
      <c r="F64">
        <v>2</v>
      </c>
      <c r="G64">
        <v>0</v>
      </c>
    </row>
    <row r="65" spans="1:7" x14ac:dyDescent="0.25">
      <c r="A65" s="8" t="s">
        <v>138</v>
      </c>
      <c r="B65" s="11">
        <v>65</v>
      </c>
      <c r="C65">
        <v>1</v>
      </c>
      <c r="D65" s="12">
        <v>0.27430555555555552</v>
      </c>
      <c r="E65" s="13">
        <v>42152</v>
      </c>
      <c r="F65">
        <v>2</v>
      </c>
      <c r="G65">
        <v>0</v>
      </c>
    </row>
    <row r="66" spans="1:7" x14ac:dyDescent="0.25">
      <c r="A66" s="8" t="s">
        <v>163</v>
      </c>
      <c r="B66" s="11">
        <v>66</v>
      </c>
      <c r="C66">
        <v>1</v>
      </c>
      <c r="D66" s="12">
        <v>0.32083333333333336</v>
      </c>
      <c r="E66" s="13">
        <v>42152</v>
      </c>
      <c r="F66">
        <v>2</v>
      </c>
      <c r="G66">
        <v>0</v>
      </c>
    </row>
    <row r="67" spans="1:7" x14ac:dyDescent="0.25">
      <c r="A67" s="8" t="s">
        <v>140</v>
      </c>
      <c r="B67" s="11">
        <v>68</v>
      </c>
      <c r="C67">
        <v>1</v>
      </c>
      <c r="D67" s="12">
        <v>0.39999999999999997</v>
      </c>
      <c r="E67" s="13">
        <v>42152</v>
      </c>
      <c r="F67">
        <v>2</v>
      </c>
      <c r="G67">
        <v>0</v>
      </c>
    </row>
    <row r="68" spans="1:7" x14ac:dyDescent="0.25">
      <c r="A68" s="8" t="s">
        <v>141</v>
      </c>
      <c r="B68" s="11">
        <v>69</v>
      </c>
      <c r="C68">
        <v>1</v>
      </c>
      <c r="D68" s="12">
        <v>0.41180555555555554</v>
      </c>
      <c r="E68" s="13">
        <v>42152</v>
      </c>
      <c r="F68">
        <v>2</v>
      </c>
      <c r="G68">
        <v>1</v>
      </c>
    </row>
    <row r="69" spans="1:7" x14ac:dyDescent="0.25">
      <c r="A69" s="8" t="s">
        <v>142</v>
      </c>
      <c r="B69" s="11">
        <v>70</v>
      </c>
      <c r="C69">
        <v>1</v>
      </c>
      <c r="D69" s="12">
        <v>0.25138888888888888</v>
      </c>
      <c r="E69" s="13">
        <v>42153</v>
      </c>
      <c r="F69">
        <v>2</v>
      </c>
      <c r="G69">
        <v>0</v>
      </c>
    </row>
    <row r="70" spans="1:7" x14ac:dyDescent="0.25">
      <c r="A70" s="8" t="s">
        <v>143</v>
      </c>
      <c r="B70" s="11">
        <v>71</v>
      </c>
      <c r="C70">
        <v>1</v>
      </c>
      <c r="D70" s="12">
        <v>0.26805555555555555</v>
      </c>
      <c r="E70" s="13">
        <v>42153</v>
      </c>
      <c r="F70">
        <v>0</v>
      </c>
      <c r="G70">
        <v>0</v>
      </c>
    </row>
    <row r="71" spans="1:7" x14ac:dyDescent="0.25">
      <c r="A71" s="8" t="s">
        <v>144</v>
      </c>
      <c r="B71" s="11">
        <v>72</v>
      </c>
      <c r="C71">
        <v>1</v>
      </c>
      <c r="D71" s="12">
        <v>0.28750000000000003</v>
      </c>
      <c r="E71" s="13">
        <v>42153</v>
      </c>
      <c r="F71">
        <v>0</v>
      </c>
      <c r="G71">
        <v>0</v>
      </c>
    </row>
    <row r="72" spans="1:7" x14ac:dyDescent="0.25">
      <c r="A72" s="8" t="s">
        <v>145</v>
      </c>
      <c r="B72" s="11">
        <v>73</v>
      </c>
      <c r="C72">
        <v>1</v>
      </c>
      <c r="D72" s="12">
        <v>0.31388888888888888</v>
      </c>
      <c r="E72" s="13">
        <v>42153</v>
      </c>
      <c r="F72">
        <v>0</v>
      </c>
      <c r="G72">
        <v>0</v>
      </c>
    </row>
    <row r="73" spans="1:7" x14ac:dyDescent="0.25">
      <c r="A73" s="9" t="s">
        <v>146</v>
      </c>
      <c r="B73" s="11">
        <v>74</v>
      </c>
      <c r="C73">
        <v>1</v>
      </c>
      <c r="D73" s="12">
        <v>0.25694444444444448</v>
      </c>
      <c r="E73" s="13">
        <v>42159</v>
      </c>
      <c r="F73">
        <v>2</v>
      </c>
      <c r="G73">
        <v>1</v>
      </c>
    </row>
    <row r="74" spans="1:7" x14ac:dyDescent="0.25">
      <c r="A74" s="9" t="s">
        <v>147</v>
      </c>
      <c r="B74" s="11">
        <v>75</v>
      </c>
      <c r="C74">
        <v>1</v>
      </c>
      <c r="D74" s="12">
        <v>0.28333333333333333</v>
      </c>
      <c r="E74" s="13">
        <v>42159</v>
      </c>
      <c r="F74">
        <v>2</v>
      </c>
      <c r="G74">
        <v>2</v>
      </c>
    </row>
    <row r="75" spans="1:7" x14ac:dyDescent="0.25">
      <c r="A75" s="9" t="s">
        <v>148</v>
      </c>
      <c r="B75" s="11">
        <v>76</v>
      </c>
      <c r="C75">
        <v>1</v>
      </c>
      <c r="D75" s="12">
        <v>0.31458333333333333</v>
      </c>
      <c r="E75" s="13">
        <v>42159</v>
      </c>
      <c r="F75">
        <v>2</v>
      </c>
      <c r="G75">
        <v>2</v>
      </c>
    </row>
    <row r="76" spans="1:7" x14ac:dyDescent="0.25">
      <c r="A76" s="9" t="s">
        <v>149</v>
      </c>
      <c r="B76" s="11">
        <v>77</v>
      </c>
      <c r="C76">
        <v>1</v>
      </c>
      <c r="D76" s="12">
        <v>0.34930555555555554</v>
      </c>
      <c r="E76" s="13">
        <v>42159</v>
      </c>
      <c r="F76">
        <v>2</v>
      </c>
      <c r="G76">
        <v>2</v>
      </c>
    </row>
    <row r="77" spans="1:7" x14ac:dyDescent="0.25">
      <c r="A77" s="9" t="s">
        <v>150</v>
      </c>
      <c r="B77" s="11">
        <v>78</v>
      </c>
      <c r="C77">
        <v>1</v>
      </c>
      <c r="D77" s="12">
        <v>0.30555555555555552</v>
      </c>
      <c r="E77" s="13">
        <v>42160</v>
      </c>
      <c r="F77">
        <v>2</v>
      </c>
      <c r="G77">
        <v>0</v>
      </c>
    </row>
    <row r="78" spans="1:7" x14ac:dyDescent="0.25">
      <c r="A78" s="9" t="s">
        <v>151</v>
      </c>
      <c r="B78" s="11">
        <v>79</v>
      </c>
      <c r="C78">
        <v>1</v>
      </c>
      <c r="D78" s="12">
        <v>0.3347222222222222</v>
      </c>
      <c r="E78" s="13">
        <v>42160</v>
      </c>
      <c r="F78">
        <v>5</v>
      </c>
      <c r="G78">
        <v>0</v>
      </c>
    </row>
    <row r="79" spans="1:7" x14ac:dyDescent="0.25">
      <c r="A79" s="7" t="s">
        <v>75</v>
      </c>
      <c r="B79" s="11">
        <v>1</v>
      </c>
      <c r="C79">
        <v>2</v>
      </c>
      <c r="D79" s="12">
        <v>0.35902777777777778</v>
      </c>
      <c r="E79" s="13">
        <v>42178</v>
      </c>
      <c r="F79">
        <v>0</v>
      </c>
      <c r="G79">
        <v>2</v>
      </c>
    </row>
    <row r="80" spans="1:7" x14ac:dyDescent="0.25">
      <c r="A80" s="7" t="s">
        <v>76</v>
      </c>
      <c r="B80" s="11">
        <v>2</v>
      </c>
      <c r="C80">
        <v>2</v>
      </c>
      <c r="D80" s="12">
        <v>0.24305555555555555</v>
      </c>
      <c r="E80" s="13">
        <v>42172</v>
      </c>
      <c r="F80">
        <v>0</v>
      </c>
      <c r="G80">
        <v>0</v>
      </c>
    </row>
    <row r="81" spans="1:7" x14ac:dyDescent="0.25">
      <c r="A81" s="7" t="s">
        <v>77</v>
      </c>
      <c r="B81" s="11">
        <v>3</v>
      </c>
      <c r="C81">
        <v>2</v>
      </c>
      <c r="D81" s="12">
        <v>0.34861111111111115</v>
      </c>
      <c r="E81" s="13">
        <v>42178</v>
      </c>
      <c r="F81">
        <v>0</v>
      </c>
      <c r="G81">
        <v>1</v>
      </c>
    </row>
    <row r="82" spans="1:7" x14ac:dyDescent="0.25">
      <c r="A82" s="7" t="s">
        <v>78</v>
      </c>
      <c r="B82" s="11">
        <v>4</v>
      </c>
      <c r="C82">
        <v>2</v>
      </c>
      <c r="D82" s="12">
        <v>0.32361111111111113</v>
      </c>
      <c r="E82" s="13">
        <v>42178</v>
      </c>
      <c r="F82">
        <v>0</v>
      </c>
      <c r="G82">
        <v>1</v>
      </c>
    </row>
    <row r="83" spans="1:7" x14ac:dyDescent="0.25">
      <c r="A83" s="7" t="s">
        <v>79</v>
      </c>
      <c r="B83" s="11">
        <v>5</v>
      </c>
      <c r="C83">
        <v>2</v>
      </c>
      <c r="D83" s="12">
        <v>0.33263888888888887</v>
      </c>
      <c r="E83" s="13">
        <v>42178</v>
      </c>
      <c r="F83">
        <v>0</v>
      </c>
      <c r="G83">
        <v>1</v>
      </c>
    </row>
    <row r="84" spans="1:7" x14ac:dyDescent="0.25">
      <c r="A84" s="7" t="s">
        <v>80</v>
      </c>
      <c r="B84" s="11">
        <v>6</v>
      </c>
      <c r="C84">
        <v>2</v>
      </c>
      <c r="D84" s="12">
        <v>0.25347222222222221</v>
      </c>
      <c r="E84" s="13">
        <v>42167</v>
      </c>
      <c r="F84">
        <v>4</v>
      </c>
      <c r="G84">
        <v>0</v>
      </c>
    </row>
    <row r="85" spans="1:7" x14ac:dyDescent="0.25">
      <c r="A85" s="7" t="s">
        <v>81</v>
      </c>
      <c r="B85" s="11">
        <v>7</v>
      </c>
      <c r="C85">
        <v>2</v>
      </c>
      <c r="D85" s="12">
        <v>0.23611111111111113</v>
      </c>
      <c r="E85" s="13">
        <v>42167</v>
      </c>
      <c r="F85">
        <v>4</v>
      </c>
      <c r="G85">
        <v>0</v>
      </c>
    </row>
    <row r="86" spans="1:7" x14ac:dyDescent="0.25">
      <c r="A86" s="7" t="s">
        <v>82</v>
      </c>
      <c r="B86" s="11">
        <v>8</v>
      </c>
      <c r="C86">
        <v>2</v>
      </c>
      <c r="D86" s="12">
        <v>0.35833333333333334</v>
      </c>
      <c r="E86" s="13">
        <v>42166</v>
      </c>
      <c r="F86">
        <v>1</v>
      </c>
      <c r="G86">
        <v>1</v>
      </c>
    </row>
    <row r="87" spans="1:7" x14ac:dyDescent="0.25">
      <c r="A87" s="7" t="s">
        <v>83</v>
      </c>
      <c r="B87" s="11">
        <v>9</v>
      </c>
      <c r="C87">
        <v>2</v>
      </c>
      <c r="D87" s="12">
        <v>0.3756944444444445</v>
      </c>
      <c r="E87" s="13">
        <v>42167</v>
      </c>
      <c r="F87">
        <v>0</v>
      </c>
      <c r="G87">
        <v>1</v>
      </c>
    </row>
    <row r="88" spans="1:7" x14ac:dyDescent="0.25">
      <c r="A88" s="7" t="s">
        <v>84</v>
      </c>
      <c r="B88" s="11">
        <v>10</v>
      </c>
      <c r="C88">
        <v>2</v>
      </c>
      <c r="D88" s="12">
        <v>0.23472222222222219</v>
      </c>
      <c r="E88" s="13">
        <v>42180</v>
      </c>
      <c r="F88">
        <v>4</v>
      </c>
      <c r="G88">
        <v>0</v>
      </c>
    </row>
    <row r="89" spans="1:7" x14ac:dyDescent="0.25">
      <c r="A89" s="7" t="s">
        <v>85</v>
      </c>
      <c r="B89" s="11">
        <v>11</v>
      </c>
      <c r="C89">
        <v>2</v>
      </c>
      <c r="D89" s="12">
        <v>0.24583333333333335</v>
      </c>
      <c r="E89" s="13">
        <v>42180</v>
      </c>
      <c r="F89">
        <v>4</v>
      </c>
      <c r="G89">
        <v>0</v>
      </c>
    </row>
    <row r="90" spans="1:7" x14ac:dyDescent="0.25">
      <c r="A90" s="7" t="s">
        <v>86</v>
      </c>
      <c r="B90" s="11">
        <v>12</v>
      </c>
      <c r="C90">
        <v>2</v>
      </c>
      <c r="D90" s="12">
        <v>0.25763888888888892</v>
      </c>
      <c r="E90" s="13">
        <v>42180</v>
      </c>
      <c r="F90">
        <v>0</v>
      </c>
      <c r="G90">
        <v>0</v>
      </c>
    </row>
    <row r="91" spans="1:7" x14ac:dyDescent="0.25">
      <c r="A91" s="7" t="s">
        <v>87</v>
      </c>
      <c r="B91" s="11">
        <v>13</v>
      </c>
      <c r="C91">
        <v>2</v>
      </c>
      <c r="D91" s="12">
        <v>0.39097222222222222</v>
      </c>
      <c r="E91" s="13">
        <v>42167</v>
      </c>
      <c r="F91">
        <v>0</v>
      </c>
      <c r="G91">
        <v>2</v>
      </c>
    </row>
    <row r="92" spans="1:7" x14ac:dyDescent="0.25">
      <c r="A92" s="7" t="s">
        <v>88</v>
      </c>
      <c r="B92" s="11">
        <v>14</v>
      </c>
      <c r="C92">
        <v>2</v>
      </c>
      <c r="D92" s="12">
        <v>0.35555555555555557</v>
      </c>
      <c r="E92" s="13">
        <v>42167</v>
      </c>
      <c r="F92">
        <v>0</v>
      </c>
      <c r="G92">
        <v>0</v>
      </c>
    </row>
    <row r="93" spans="1:7" x14ac:dyDescent="0.25">
      <c r="A93" s="7" t="s">
        <v>89</v>
      </c>
      <c r="B93" s="11">
        <v>15</v>
      </c>
      <c r="C93">
        <v>2</v>
      </c>
      <c r="D93" s="12">
        <v>0.3430555555555555</v>
      </c>
      <c r="E93" s="13">
        <v>42167</v>
      </c>
      <c r="F93">
        <v>0</v>
      </c>
      <c r="G93">
        <v>0</v>
      </c>
    </row>
    <row r="94" spans="1:7" x14ac:dyDescent="0.25">
      <c r="A94" s="7" t="s">
        <v>90</v>
      </c>
      <c r="B94" s="11">
        <v>16</v>
      </c>
      <c r="C94">
        <v>2</v>
      </c>
      <c r="D94" s="12">
        <v>0.33194444444444443</v>
      </c>
      <c r="E94" s="13">
        <v>42167</v>
      </c>
      <c r="F94">
        <v>0</v>
      </c>
      <c r="G94">
        <v>0</v>
      </c>
    </row>
    <row r="95" spans="1:7" x14ac:dyDescent="0.25">
      <c r="A95" s="7" t="s">
        <v>91</v>
      </c>
      <c r="B95" s="11">
        <v>17</v>
      </c>
      <c r="C95">
        <v>2</v>
      </c>
      <c r="D95" s="12">
        <v>0.38750000000000001</v>
      </c>
      <c r="E95" s="13">
        <v>42166</v>
      </c>
      <c r="F95">
        <v>1</v>
      </c>
      <c r="G95">
        <v>1</v>
      </c>
    </row>
    <row r="96" spans="1:7" x14ac:dyDescent="0.25">
      <c r="A96" s="7" t="s">
        <v>92</v>
      </c>
      <c r="B96" s="11">
        <v>18</v>
      </c>
      <c r="C96">
        <v>2</v>
      </c>
      <c r="D96" s="12">
        <v>0.37291666666666662</v>
      </c>
      <c r="E96" s="13">
        <v>42166</v>
      </c>
      <c r="F96">
        <v>2</v>
      </c>
      <c r="G96">
        <v>2</v>
      </c>
    </row>
    <row r="97" spans="1:7" x14ac:dyDescent="0.25">
      <c r="A97" s="7" t="s">
        <v>93</v>
      </c>
      <c r="B97" s="11">
        <v>19</v>
      </c>
      <c r="C97">
        <v>2</v>
      </c>
      <c r="D97" s="12">
        <v>0.3298611111111111</v>
      </c>
      <c r="E97" s="13">
        <v>42166</v>
      </c>
      <c r="F97">
        <v>1</v>
      </c>
      <c r="G97">
        <v>2</v>
      </c>
    </row>
    <row r="98" spans="1:7" x14ac:dyDescent="0.25">
      <c r="A98" s="7" t="s">
        <v>94</v>
      </c>
      <c r="B98" s="11">
        <v>20</v>
      </c>
      <c r="C98">
        <v>2</v>
      </c>
      <c r="D98" s="12">
        <v>0.31666666666666665</v>
      </c>
      <c r="E98" s="13">
        <v>42166</v>
      </c>
      <c r="F98">
        <v>2</v>
      </c>
      <c r="G98">
        <v>2</v>
      </c>
    </row>
    <row r="99" spans="1:7" x14ac:dyDescent="0.25">
      <c r="A99" s="7" t="s">
        <v>95</v>
      </c>
      <c r="B99" s="11">
        <v>21</v>
      </c>
      <c r="C99">
        <v>2</v>
      </c>
      <c r="D99" s="12">
        <v>0.30277777777777776</v>
      </c>
      <c r="E99" s="13">
        <v>42166</v>
      </c>
      <c r="F99">
        <v>1</v>
      </c>
      <c r="G99">
        <v>0</v>
      </c>
    </row>
    <row r="100" spans="1:7" x14ac:dyDescent="0.25">
      <c r="A100" s="7" t="s">
        <v>96</v>
      </c>
      <c r="B100" s="11">
        <v>22</v>
      </c>
      <c r="C100">
        <v>2</v>
      </c>
      <c r="D100" s="12">
        <v>0.29097222222222224</v>
      </c>
      <c r="E100" s="13">
        <v>42166</v>
      </c>
      <c r="F100">
        <v>1</v>
      </c>
      <c r="G100">
        <v>0</v>
      </c>
    </row>
    <row r="101" spans="1:7" x14ac:dyDescent="0.25">
      <c r="A101" s="7" t="s">
        <v>97</v>
      </c>
      <c r="B101" s="11">
        <v>23</v>
      </c>
      <c r="C101">
        <v>2</v>
      </c>
      <c r="D101" s="12">
        <v>0.27916666666666667</v>
      </c>
      <c r="E101" s="13">
        <v>42166</v>
      </c>
      <c r="F101">
        <v>1</v>
      </c>
      <c r="G101">
        <v>0</v>
      </c>
    </row>
    <row r="102" spans="1:7" x14ac:dyDescent="0.25">
      <c r="A102" s="7" t="s">
        <v>98</v>
      </c>
      <c r="B102" s="11">
        <v>24</v>
      </c>
      <c r="C102">
        <v>2</v>
      </c>
      <c r="D102" s="12">
        <v>0.24027777777777778</v>
      </c>
      <c r="E102" s="13">
        <v>42165</v>
      </c>
      <c r="F102">
        <v>0</v>
      </c>
      <c r="G102">
        <v>0</v>
      </c>
    </row>
    <row r="103" spans="1:7" x14ac:dyDescent="0.25">
      <c r="A103" s="7" t="s">
        <v>99</v>
      </c>
      <c r="B103" s="11">
        <v>25</v>
      </c>
      <c r="C103">
        <v>2</v>
      </c>
      <c r="D103" s="12">
        <v>0.26874999999999999</v>
      </c>
      <c r="E103" s="13">
        <v>42165</v>
      </c>
      <c r="F103">
        <v>0</v>
      </c>
      <c r="G103">
        <v>0</v>
      </c>
    </row>
    <row r="104" spans="1:7" x14ac:dyDescent="0.25">
      <c r="A104" s="7" t="s">
        <v>100</v>
      </c>
      <c r="B104" s="11">
        <v>26</v>
      </c>
      <c r="C104">
        <v>2</v>
      </c>
      <c r="D104" s="12">
        <v>0.28263888888888888</v>
      </c>
      <c r="E104" s="13">
        <v>42165</v>
      </c>
      <c r="F104">
        <v>0</v>
      </c>
      <c r="G104">
        <v>0</v>
      </c>
    </row>
    <row r="105" spans="1:7" x14ac:dyDescent="0.25">
      <c r="A105" s="7" t="s">
        <v>101</v>
      </c>
      <c r="B105" s="11">
        <v>27</v>
      </c>
      <c r="C105">
        <v>2</v>
      </c>
      <c r="D105" s="12">
        <v>0.3125</v>
      </c>
      <c r="E105" s="13">
        <v>42165</v>
      </c>
      <c r="F105">
        <v>0</v>
      </c>
      <c r="G105">
        <v>0</v>
      </c>
    </row>
    <row r="106" spans="1:7" x14ac:dyDescent="0.25">
      <c r="A106" s="7" t="s">
        <v>102</v>
      </c>
      <c r="B106" s="11">
        <v>28</v>
      </c>
      <c r="C106">
        <v>2</v>
      </c>
      <c r="D106" s="12">
        <v>0.2986111111111111</v>
      </c>
      <c r="E106" s="13">
        <v>42165</v>
      </c>
      <c r="F106">
        <v>0</v>
      </c>
      <c r="G106">
        <v>0</v>
      </c>
    </row>
    <row r="107" spans="1:7" x14ac:dyDescent="0.25">
      <c r="A107" s="7" t="s">
        <v>103</v>
      </c>
      <c r="B107" s="11">
        <v>29</v>
      </c>
      <c r="C107">
        <v>2</v>
      </c>
      <c r="D107" s="12">
        <v>0.3125</v>
      </c>
      <c r="E107" s="13">
        <v>42167</v>
      </c>
      <c r="F107">
        <v>0</v>
      </c>
      <c r="G107">
        <v>0</v>
      </c>
    </row>
    <row r="108" spans="1:7" x14ac:dyDescent="0.25">
      <c r="A108" s="7" t="s">
        <v>104</v>
      </c>
      <c r="B108" s="11">
        <v>30</v>
      </c>
      <c r="C108">
        <v>2</v>
      </c>
      <c r="D108" s="12">
        <v>0.28055555555555556</v>
      </c>
      <c r="E108" s="13">
        <v>42167</v>
      </c>
      <c r="F108">
        <v>1</v>
      </c>
      <c r="G108">
        <v>0</v>
      </c>
    </row>
    <row r="109" spans="1:7" x14ac:dyDescent="0.25">
      <c r="A109" s="7" t="s">
        <v>105</v>
      </c>
      <c r="B109" s="11">
        <v>31</v>
      </c>
      <c r="C109">
        <v>2</v>
      </c>
      <c r="D109" s="12">
        <v>0.26874999999999999</v>
      </c>
      <c r="E109" s="13">
        <v>42167</v>
      </c>
      <c r="F109">
        <v>1</v>
      </c>
      <c r="G109">
        <v>0</v>
      </c>
    </row>
    <row r="110" spans="1:7" x14ac:dyDescent="0.25">
      <c r="A110" s="7" t="s">
        <v>106</v>
      </c>
      <c r="B110" s="11">
        <v>32</v>
      </c>
      <c r="C110">
        <v>2</v>
      </c>
      <c r="D110" s="12">
        <v>0.29583333333333334</v>
      </c>
      <c r="E110" s="13">
        <v>42167</v>
      </c>
      <c r="F110">
        <v>0</v>
      </c>
      <c r="G110">
        <v>0</v>
      </c>
    </row>
    <row r="111" spans="1:7" x14ac:dyDescent="0.25">
      <c r="A111" s="7" t="s">
        <v>107</v>
      </c>
      <c r="B111" s="11">
        <v>33</v>
      </c>
      <c r="C111">
        <v>2</v>
      </c>
      <c r="D111" s="12">
        <v>0.24513888888888888</v>
      </c>
      <c r="E111" s="13">
        <v>42169</v>
      </c>
      <c r="F111">
        <v>0</v>
      </c>
      <c r="G111">
        <v>0</v>
      </c>
    </row>
    <row r="112" spans="1:7" x14ac:dyDescent="0.25">
      <c r="A112" s="7" t="s">
        <v>108</v>
      </c>
      <c r="B112" s="11">
        <v>34</v>
      </c>
      <c r="C112">
        <v>2</v>
      </c>
      <c r="D112" s="12">
        <v>0.34791666666666665</v>
      </c>
      <c r="E112" s="13">
        <v>42187</v>
      </c>
      <c r="F112">
        <v>1</v>
      </c>
      <c r="G112">
        <v>0</v>
      </c>
    </row>
    <row r="113" spans="1:7" x14ac:dyDescent="0.25">
      <c r="A113" s="7" t="s">
        <v>109</v>
      </c>
      <c r="B113" s="11">
        <v>35</v>
      </c>
      <c r="C113">
        <v>2</v>
      </c>
      <c r="D113" s="12">
        <v>0.24236111111111111</v>
      </c>
      <c r="E113" s="13">
        <v>42173</v>
      </c>
      <c r="F113">
        <v>2</v>
      </c>
      <c r="G113">
        <v>1</v>
      </c>
    </row>
    <row r="114" spans="1:7" x14ac:dyDescent="0.25">
      <c r="A114" s="7" t="s">
        <v>110</v>
      </c>
      <c r="B114" s="11">
        <v>36</v>
      </c>
      <c r="C114">
        <v>2</v>
      </c>
      <c r="D114" s="12">
        <v>0.33333333333333331</v>
      </c>
      <c r="E114" s="13">
        <v>42179</v>
      </c>
      <c r="F114">
        <v>0</v>
      </c>
      <c r="G114">
        <v>2</v>
      </c>
    </row>
    <row r="115" spans="1:7" x14ac:dyDescent="0.25">
      <c r="A115" s="7" t="s">
        <v>111</v>
      </c>
      <c r="B115" s="11">
        <v>37</v>
      </c>
      <c r="C115">
        <v>2</v>
      </c>
      <c r="D115" s="12">
        <v>0.38541666666666669</v>
      </c>
      <c r="E115" s="13">
        <v>42178</v>
      </c>
      <c r="F115">
        <v>0</v>
      </c>
      <c r="G115">
        <v>2</v>
      </c>
    </row>
    <row r="116" spans="1:7" x14ac:dyDescent="0.25">
      <c r="A116" s="7" t="s">
        <v>112</v>
      </c>
      <c r="B116" s="11">
        <v>38</v>
      </c>
      <c r="C116">
        <v>2</v>
      </c>
      <c r="D116" s="12">
        <v>0.31041666666666667</v>
      </c>
      <c r="E116" s="13">
        <v>42179</v>
      </c>
      <c r="F116">
        <v>0</v>
      </c>
      <c r="G116">
        <v>2</v>
      </c>
    </row>
    <row r="117" spans="1:7" x14ac:dyDescent="0.25">
      <c r="A117" s="7" t="s">
        <v>113</v>
      </c>
      <c r="B117" s="11">
        <v>39</v>
      </c>
      <c r="C117">
        <v>2</v>
      </c>
      <c r="D117" s="12">
        <v>0.34652777777777777</v>
      </c>
      <c r="E117" s="13">
        <v>42166</v>
      </c>
      <c r="F117">
        <v>1</v>
      </c>
      <c r="G117">
        <v>2</v>
      </c>
    </row>
    <row r="118" spans="1:7" x14ac:dyDescent="0.25">
      <c r="A118" s="7" t="s">
        <v>114</v>
      </c>
      <c r="B118" s="11">
        <v>40</v>
      </c>
      <c r="C118">
        <v>2</v>
      </c>
      <c r="D118" s="12">
        <v>0.32500000000000001</v>
      </c>
      <c r="E118" s="13">
        <v>42165</v>
      </c>
      <c r="F118">
        <v>0</v>
      </c>
      <c r="G118">
        <v>0</v>
      </c>
    </row>
    <row r="119" spans="1:7" x14ac:dyDescent="0.25">
      <c r="A119" s="7" t="s">
        <v>115</v>
      </c>
      <c r="B119" s="11">
        <v>41</v>
      </c>
      <c r="C119">
        <v>2</v>
      </c>
      <c r="D119" s="12">
        <v>0.25277777777777777</v>
      </c>
      <c r="E119" s="13">
        <v>42165</v>
      </c>
      <c r="F119">
        <v>0</v>
      </c>
      <c r="G119">
        <v>0</v>
      </c>
    </row>
    <row r="120" spans="1:7" x14ac:dyDescent="0.25">
      <c r="A120" s="8" t="s">
        <v>116</v>
      </c>
      <c r="B120" s="11">
        <v>42</v>
      </c>
      <c r="C120">
        <v>2</v>
      </c>
      <c r="D120" s="12">
        <v>0.24236111111111111</v>
      </c>
      <c r="E120" s="13">
        <v>42166</v>
      </c>
      <c r="F120">
        <v>1</v>
      </c>
      <c r="G120">
        <v>1</v>
      </c>
    </row>
    <row r="121" spans="1:7" x14ac:dyDescent="0.25">
      <c r="A121" s="8" t="s">
        <v>117</v>
      </c>
      <c r="B121" s="11">
        <v>43</v>
      </c>
      <c r="C121">
        <v>2</v>
      </c>
      <c r="D121" s="12">
        <v>0.25555555555555559</v>
      </c>
      <c r="E121" s="13">
        <v>42166</v>
      </c>
      <c r="F121">
        <v>1</v>
      </c>
      <c r="G121">
        <v>1</v>
      </c>
    </row>
    <row r="122" spans="1:7" x14ac:dyDescent="0.25">
      <c r="A122" s="8" t="s">
        <v>118</v>
      </c>
      <c r="B122" s="11">
        <v>44</v>
      </c>
      <c r="C122">
        <v>2</v>
      </c>
      <c r="D122" s="12">
        <v>0.40069444444444446</v>
      </c>
      <c r="E122" s="13">
        <v>42166</v>
      </c>
      <c r="F122">
        <v>1</v>
      </c>
      <c r="G122">
        <v>2</v>
      </c>
    </row>
    <row r="123" spans="1:7" x14ac:dyDescent="0.25">
      <c r="A123" s="8" t="s">
        <v>119</v>
      </c>
      <c r="B123" s="11">
        <v>45</v>
      </c>
      <c r="C123">
        <v>2</v>
      </c>
      <c r="D123" s="12">
        <v>0.3430555555555555</v>
      </c>
      <c r="E123" s="13">
        <v>42172</v>
      </c>
      <c r="F123">
        <v>0</v>
      </c>
      <c r="G123">
        <v>1</v>
      </c>
    </row>
    <row r="124" spans="1:7" x14ac:dyDescent="0.25">
      <c r="A124" s="8" t="s">
        <v>120</v>
      </c>
      <c r="B124" s="11">
        <v>46</v>
      </c>
      <c r="C124">
        <v>2</v>
      </c>
      <c r="D124" s="12">
        <v>0.32500000000000001</v>
      </c>
      <c r="E124" s="13">
        <v>42172</v>
      </c>
      <c r="F124">
        <v>0</v>
      </c>
      <c r="G124">
        <v>1</v>
      </c>
    </row>
    <row r="125" spans="1:7" x14ac:dyDescent="0.25">
      <c r="A125" s="8" t="s">
        <v>121</v>
      </c>
      <c r="B125" s="11">
        <v>47</v>
      </c>
      <c r="C125">
        <v>2</v>
      </c>
      <c r="D125" s="12">
        <v>0.3034722222222222</v>
      </c>
      <c r="E125" s="13">
        <v>42172</v>
      </c>
      <c r="F125">
        <v>0</v>
      </c>
      <c r="G125">
        <v>0</v>
      </c>
    </row>
    <row r="126" spans="1:7" x14ac:dyDescent="0.25">
      <c r="A126" s="8" t="s">
        <v>122</v>
      </c>
      <c r="B126" s="11">
        <v>48</v>
      </c>
      <c r="C126">
        <v>2</v>
      </c>
      <c r="D126" s="12">
        <v>0.39166666666666666</v>
      </c>
      <c r="E126" s="13">
        <v>42172</v>
      </c>
      <c r="F126">
        <v>0</v>
      </c>
      <c r="G126">
        <v>2</v>
      </c>
    </row>
    <row r="127" spans="1:7" x14ac:dyDescent="0.25">
      <c r="A127" s="8" t="s">
        <v>123</v>
      </c>
      <c r="B127" s="11">
        <v>49</v>
      </c>
      <c r="C127">
        <v>2</v>
      </c>
      <c r="D127" s="12">
        <v>0.37708333333333338</v>
      </c>
      <c r="E127" s="13">
        <v>42172</v>
      </c>
      <c r="F127">
        <v>0</v>
      </c>
      <c r="G127">
        <v>1</v>
      </c>
    </row>
    <row r="128" spans="1:7" x14ac:dyDescent="0.25">
      <c r="A128" s="8" t="s">
        <v>124</v>
      </c>
      <c r="B128" s="11">
        <v>50</v>
      </c>
      <c r="C128">
        <v>2</v>
      </c>
      <c r="D128" s="12">
        <v>0.30277777777777776</v>
      </c>
      <c r="E128" s="13">
        <v>42178</v>
      </c>
      <c r="F128">
        <v>0</v>
      </c>
      <c r="G128">
        <v>1</v>
      </c>
    </row>
    <row r="129" spans="1:7" x14ac:dyDescent="0.25">
      <c r="A129" s="8" t="s">
        <v>125</v>
      </c>
      <c r="B129" s="11">
        <v>51</v>
      </c>
      <c r="C129">
        <v>2</v>
      </c>
      <c r="D129" s="12">
        <v>0.35138888888888892</v>
      </c>
      <c r="E129" s="13">
        <v>42185</v>
      </c>
      <c r="F129">
        <v>1</v>
      </c>
      <c r="G129">
        <v>0</v>
      </c>
    </row>
    <row r="130" spans="1:7" x14ac:dyDescent="0.25">
      <c r="A130" s="8" t="s">
        <v>126</v>
      </c>
      <c r="B130" s="11">
        <v>52</v>
      </c>
      <c r="C130">
        <v>2</v>
      </c>
      <c r="D130" s="12">
        <v>0.25833333333333336</v>
      </c>
      <c r="E130" s="13">
        <v>42179</v>
      </c>
      <c r="F130">
        <v>0</v>
      </c>
      <c r="G130">
        <v>0</v>
      </c>
    </row>
    <row r="131" spans="1:7" x14ac:dyDescent="0.25">
      <c r="A131" s="8" t="s">
        <v>127</v>
      </c>
      <c r="B131" s="11">
        <v>53</v>
      </c>
      <c r="C131">
        <v>2</v>
      </c>
      <c r="D131" s="12">
        <v>0.27708333333333335</v>
      </c>
      <c r="E131" s="13">
        <v>42179</v>
      </c>
      <c r="F131">
        <v>0</v>
      </c>
      <c r="G131">
        <v>0</v>
      </c>
    </row>
    <row r="132" spans="1:7" x14ac:dyDescent="0.25">
      <c r="A132" s="8" t="s">
        <v>128</v>
      </c>
      <c r="B132" s="11">
        <v>54</v>
      </c>
      <c r="C132">
        <v>2</v>
      </c>
      <c r="D132" s="12">
        <v>0.29236111111111113</v>
      </c>
      <c r="E132" s="13">
        <v>42179</v>
      </c>
      <c r="F132">
        <v>0</v>
      </c>
      <c r="G132">
        <v>0</v>
      </c>
    </row>
    <row r="133" spans="1:7" x14ac:dyDescent="0.25">
      <c r="A133" s="8" t="s">
        <v>129</v>
      </c>
      <c r="B133" s="11">
        <v>55</v>
      </c>
      <c r="C133">
        <v>2</v>
      </c>
      <c r="D133" s="12">
        <v>0.24166666666666667</v>
      </c>
      <c r="E133" s="13">
        <v>42195</v>
      </c>
      <c r="F133">
        <v>1</v>
      </c>
      <c r="G133">
        <v>0</v>
      </c>
    </row>
    <row r="134" spans="1:7" x14ac:dyDescent="0.25">
      <c r="A134" s="8" t="s">
        <v>130</v>
      </c>
      <c r="B134" s="11">
        <v>57</v>
      </c>
      <c r="C134">
        <v>2</v>
      </c>
      <c r="D134" s="12">
        <v>0.2986111111111111</v>
      </c>
      <c r="E134" s="13">
        <v>42180</v>
      </c>
      <c r="F134">
        <v>0</v>
      </c>
      <c r="G134">
        <v>0</v>
      </c>
    </row>
    <row r="135" spans="1:7" x14ac:dyDescent="0.25">
      <c r="A135" s="8" t="s">
        <v>131</v>
      </c>
      <c r="B135" s="11">
        <v>58</v>
      </c>
      <c r="C135">
        <v>2</v>
      </c>
      <c r="D135" s="12">
        <v>0.31944444444444448</v>
      </c>
      <c r="E135" s="13">
        <v>42180</v>
      </c>
      <c r="F135">
        <v>0</v>
      </c>
      <c r="G135">
        <v>0</v>
      </c>
    </row>
    <row r="136" spans="1:7" x14ac:dyDescent="0.25">
      <c r="A136" s="8" t="s">
        <v>132</v>
      </c>
      <c r="B136" s="11">
        <v>59</v>
      </c>
      <c r="C136">
        <v>2</v>
      </c>
      <c r="D136" s="12">
        <v>0.36249999999999999</v>
      </c>
      <c r="E136" s="13">
        <v>42179</v>
      </c>
      <c r="F136">
        <v>0</v>
      </c>
      <c r="G136">
        <v>0</v>
      </c>
    </row>
    <row r="137" spans="1:7" x14ac:dyDescent="0.25">
      <c r="A137" s="8" t="s">
        <v>133</v>
      </c>
      <c r="B137" s="11">
        <v>60</v>
      </c>
      <c r="C137">
        <v>2</v>
      </c>
      <c r="D137" s="12">
        <v>0.38750000000000001</v>
      </c>
      <c r="E137" s="13">
        <v>42179</v>
      </c>
      <c r="F137">
        <v>0</v>
      </c>
      <c r="G137">
        <v>1</v>
      </c>
    </row>
    <row r="138" spans="1:7" x14ac:dyDescent="0.25">
      <c r="A138" s="8" t="s">
        <v>134</v>
      </c>
      <c r="B138" s="11">
        <v>61</v>
      </c>
      <c r="C138">
        <v>2</v>
      </c>
      <c r="D138" s="12">
        <v>0.27847222222222223</v>
      </c>
      <c r="E138" s="13">
        <v>42178</v>
      </c>
      <c r="F138">
        <v>0</v>
      </c>
      <c r="G138">
        <v>0</v>
      </c>
    </row>
    <row r="139" spans="1:7" x14ac:dyDescent="0.25">
      <c r="A139" s="8" t="s">
        <v>135</v>
      </c>
      <c r="B139" s="11">
        <v>62</v>
      </c>
      <c r="C139">
        <v>2</v>
      </c>
      <c r="D139" s="12">
        <v>0.25486111111111109</v>
      </c>
      <c r="E139" s="13">
        <v>42178</v>
      </c>
      <c r="F139">
        <v>0</v>
      </c>
      <c r="G139">
        <v>0</v>
      </c>
    </row>
    <row r="140" spans="1:7" x14ac:dyDescent="0.25">
      <c r="A140" s="8" t="s">
        <v>136</v>
      </c>
      <c r="B140" s="11">
        <v>63</v>
      </c>
      <c r="C140">
        <v>2</v>
      </c>
      <c r="D140" s="12">
        <v>0.25972222222222224</v>
      </c>
      <c r="E140" s="13">
        <v>42185</v>
      </c>
      <c r="F140">
        <v>2</v>
      </c>
      <c r="G140">
        <v>0</v>
      </c>
    </row>
    <row r="141" spans="1:7" x14ac:dyDescent="0.25">
      <c r="A141" s="8" t="s">
        <v>137</v>
      </c>
      <c r="B141" s="11">
        <v>64</v>
      </c>
      <c r="C141">
        <v>2</v>
      </c>
      <c r="D141" s="12">
        <v>0.37222222222222223</v>
      </c>
      <c r="E141" s="13">
        <v>42185</v>
      </c>
      <c r="F141">
        <v>2</v>
      </c>
      <c r="G141">
        <v>0</v>
      </c>
    </row>
    <row r="142" spans="1:7" x14ac:dyDescent="0.25">
      <c r="A142" s="8" t="s">
        <v>138</v>
      </c>
      <c r="B142" s="11">
        <v>65</v>
      </c>
      <c r="C142">
        <v>2</v>
      </c>
      <c r="D142" s="12">
        <v>0.3888888888888889</v>
      </c>
      <c r="E142" s="13">
        <v>42185</v>
      </c>
      <c r="F142">
        <v>2</v>
      </c>
      <c r="G142">
        <v>0</v>
      </c>
    </row>
    <row r="143" spans="1:7" x14ac:dyDescent="0.25">
      <c r="A143" s="8" t="s">
        <v>163</v>
      </c>
      <c r="B143" s="11">
        <v>66</v>
      </c>
      <c r="C143">
        <v>2</v>
      </c>
      <c r="D143" s="12">
        <v>0.29305555555555557</v>
      </c>
      <c r="E143" s="13">
        <v>42185</v>
      </c>
      <c r="F143">
        <v>2</v>
      </c>
      <c r="G143">
        <v>0</v>
      </c>
    </row>
    <row r="144" spans="1:7" x14ac:dyDescent="0.25">
      <c r="A144" s="8" t="s">
        <v>140</v>
      </c>
      <c r="B144" s="11">
        <v>68</v>
      </c>
      <c r="C144">
        <v>2</v>
      </c>
      <c r="D144" s="12">
        <v>0.27986111111111112</v>
      </c>
      <c r="E144" s="13">
        <v>42172</v>
      </c>
      <c r="F144">
        <v>0</v>
      </c>
      <c r="G144">
        <v>0</v>
      </c>
    </row>
    <row r="145" spans="1:7" x14ac:dyDescent="0.25">
      <c r="A145" s="8" t="s">
        <v>141</v>
      </c>
      <c r="B145" s="11">
        <v>69</v>
      </c>
      <c r="C145">
        <v>2</v>
      </c>
      <c r="D145" s="12">
        <v>0.26180555555555557</v>
      </c>
      <c r="E145" s="13">
        <v>42172</v>
      </c>
      <c r="F145">
        <v>0</v>
      </c>
      <c r="G145">
        <v>0</v>
      </c>
    </row>
    <row r="146" spans="1:7" x14ac:dyDescent="0.25">
      <c r="A146" s="8" t="s">
        <v>142</v>
      </c>
      <c r="B146" s="11">
        <v>70</v>
      </c>
      <c r="C146">
        <v>2</v>
      </c>
      <c r="D146" s="12">
        <v>0.3444444444444445</v>
      </c>
      <c r="E146" s="13">
        <v>42180</v>
      </c>
      <c r="F146">
        <v>0</v>
      </c>
      <c r="G146">
        <v>0</v>
      </c>
    </row>
    <row r="147" spans="1:7" x14ac:dyDescent="0.25">
      <c r="A147" s="8" t="s">
        <v>143</v>
      </c>
      <c r="B147" s="11">
        <v>71</v>
      </c>
      <c r="C147">
        <v>2</v>
      </c>
      <c r="D147" s="12">
        <v>0.36388888888888887</v>
      </c>
      <c r="E147" s="13">
        <v>42180</v>
      </c>
      <c r="F147">
        <v>0</v>
      </c>
      <c r="G147">
        <v>0</v>
      </c>
    </row>
    <row r="148" spans="1:7" x14ac:dyDescent="0.25">
      <c r="A148" s="8" t="s">
        <v>144</v>
      </c>
      <c r="B148" s="11">
        <v>72</v>
      </c>
      <c r="C148">
        <v>2</v>
      </c>
      <c r="D148" s="12">
        <v>0.38055555555555554</v>
      </c>
      <c r="E148" s="13">
        <v>42180</v>
      </c>
      <c r="F148">
        <v>0</v>
      </c>
      <c r="G148">
        <v>0</v>
      </c>
    </row>
    <row r="149" spans="1:7" x14ac:dyDescent="0.25">
      <c r="A149" s="8" t="s">
        <v>145</v>
      </c>
      <c r="B149" s="11">
        <v>73</v>
      </c>
      <c r="C149">
        <v>2</v>
      </c>
      <c r="D149" s="12">
        <v>0.32847222222222222</v>
      </c>
      <c r="E149" s="13">
        <v>42187</v>
      </c>
      <c r="F149">
        <v>1</v>
      </c>
      <c r="G149">
        <v>0</v>
      </c>
    </row>
    <row r="150" spans="1:7" x14ac:dyDescent="0.25">
      <c r="A150" s="9" t="s">
        <v>146</v>
      </c>
      <c r="B150" s="11">
        <v>74</v>
      </c>
      <c r="C150">
        <v>2</v>
      </c>
      <c r="D150" s="12">
        <v>0.30069444444444443</v>
      </c>
      <c r="E150" s="13">
        <v>42187</v>
      </c>
      <c r="F150">
        <v>1</v>
      </c>
      <c r="G150">
        <v>0</v>
      </c>
    </row>
    <row r="151" spans="1:7" x14ac:dyDescent="0.25">
      <c r="A151" s="9" t="s">
        <v>147</v>
      </c>
      <c r="B151" s="11">
        <v>75</v>
      </c>
      <c r="C151">
        <v>2</v>
      </c>
      <c r="D151" s="12">
        <v>0.28333333333333333</v>
      </c>
      <c r="E151" s="13">
        <v>42187</v>
      </c>
      <c r="F151">
        <v>1</v>
      </c>
      <c r="G151">
        <v>0</v>
      </c>
    </row>
    <row r="152" spans="1:7" x14ac:dyDescent="0.25">
      <c r="A152" s="9" t="s">
        <v>148</v>
      </c>
      <c r="B152" s="11">
        <v>76</v>
      </c>
      <c r="C152">
        <v>2</v>
      </c>
      <c r="D152" s="12">
        <v>0.26458333333333334</v>
      </c>
      <c r="E152" s="13">
        <v>42187</v>
      </c>
      <c r="F152">
        <v>1</v>
      </c>
      <c r="G152">
        <v>0</v>
      </c>
    </row>
    <row r="153" spans="1:7" x14ac:dyDescent="0.25">
      <c r="A153" s="9" t="s">
        <v>149</v>
      </c>
      <c r="B153" s="11">
        <v>77</v>
      </c>
      <c r="C153">
        <v>2</v>
      </c>
      <c r="D153" s="12">
        <v>0.24027777777777778</v>
      </c>
      <c r="E153" s="13">
        <v>42187</v>
      </c>
      <c r="F153">
        <v>1</v>
      </c>
      <c r="G153">
        <v>0</v>
      </c>
    </row>
    <row r="154" spans="1:7" x14ac:dyDescent="0.25">
      <c r="A154" s="9" t="s">
        <v>150</v>
      </c>
      <c r="B154" s="11">
        <v>78</v>
      </c>
      <c r="C154">
        <v>2</v>
      </c>
      <c r="D154" s="12">
        <v>0.28888888888888892</v>
      </c>
      <c r="E154" s="13">
        <v>42195</v>
      </c>
      <c r="F154">
        <v>1</v>
      </c>
      <c r="G154">
        <v>0</v>
      </c>
    </row>
    <row r="155" spans="1:7" x14ac:dyDescent="0.25">
      <c r="A155" s="9" t="s">
        <v>151</v>
      </c>
      <c r="B155" s="11">
        <v>79</v>
      </c>
      <c r="C155">
        <v>2</v>
      </c>
      <c r="D155" s="12">
        <v>0.31666666666666665</v>
      </c>
      <c r="E155" s="13">
        <v>42195</v>
      </c>
      <c r="F155">
        <v>1</v>
      </c>
      <c r="G15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5" max="5" width="9.375" bestFit="1" customWidth="1"/>
  </cols>
  <sheetData>
    <row r="1" spans="1:7" s="10" customFormat="1" x14ac:dyDescent="0.25">
      <c r="A1" s="10" t="s">
        <v>0</v>
      </c>
      <c r="B1" s="10" t="s">
        <v>1</v>
      </c>
      <c r="C1" s="10" t="s">
        <v>2</v>
      </c>
      <c r="D1" s="10" t="s">
        <v>152</v>
      </c>
      <c r="E1" s="10" t="s">
        <v>154</v>
      </c>
      <c r="F1" s="10" t="s">
        <v>164</v>
      </c>
      <c r="G1" s="10" t="s">
        <v>153</v>
      </c>
    </row>
    <row r="2" spans="1:7" x14ac:dyDescent="0.25">
      <c r="A2" s="7" t="s">
        <v>75</v>
      </c>
      <c r="B2" s="11">
        <v>1</v>
      </c>
      <c r="C2">
        <v>1</v>
      </c>
      <c r="D2" s="12">
        <v>0.31736111111111115</v>
      </c>
      <c r="E2" s="13">
        <v>42517</v>
      </c>
      <c r="F2">
        <v>2</v>
      </c>
      <c r="G2">
        <v>0</v>
      </c>
    </row>
    <row r="3" spans="1:7" x14ac:dyDescent="0.25">
      <c r="A3" s="7" t="s">
        <v>76</v>
      </c>
      <c r="B3" s="11">
        <v>2</v>
      </c>
      <c r="C3">
        <v>1</v>
      </c>
      <c r="D3" s="12">
        <v>0.39513888888888887</v>
      </c>
      <c r="E3" s="13">
        <v>42517</v>
      </c>
      <c r="F3">
        <v>1</v>
      </c>
      <c r="G3">
        <v>2</v>
      </c>
    </row>
    <row r="4" spans="1:7" x14ac:dyDescent="0.25">
      <c r="A4" s="7" t="s">
        <v>77</v>
      </c>
      <c r="B4" s="11">
        <v>3</v>
      </c>
      <c r="C4">
        <v>1</v>
      </c>
      <c r="D4" s="12">
        <v>0.3666666666666667</v>
      </c>
      <c r="E4" s="13">
        <v>42517</v>
      </c>
      <c r="F4">
        <v>2</v>
      </c>
      <c r="G4">
        <v>1</v>
      </c>
    </row>
    <row r="5" spans="1:7" x14ac:dyDescent="0.25">
      <c r="A5" s="7" t="s">
        <v>78</v>
      </c>
      <c r="B5" s="11">
        <v>4</v>
      </c>
      <c r="C5">
        <v>1</v>
      </c>
      <c r="D5" s="12">
        <v>0.38194444444444442</v>
      </c>
      <c r="E5" s="13">
        <v>42517</v>
      </c>
      <c r="F5">
        <v>1</v>
      </c>
      <c r="G5">
        <v>1</v>
      </c>
    </row>
    <row r="6" spans="1:7" x14ac:dyDescent="0.25">
      <c r="A6" s="7" t="s">
        <v>79</v>
      </c>
      <c r="B6" s="11">
        <v>5</v>
      </c>
      <c r="C6">
        <v>1</v>
      </c>
      <c r="D6" s="12">
        <v>0.28333333333333333</v>
      </c>
      <c r="E6" s="13">
        <v>42521</v>
      </c>
      <c r="F6">
        <v>2</v>
      </c>
      <c r="G6">
        <v>0</v>
      </c>
    </row>
    <row r="7" spans="1:7" x14ac:dyDescent="0.25">
      <c r="A7" s="7" t="s">
        <v>80</v>
      </c>
      <c r="B7" s="11">
        <v>6</v>
      </c>
      <c r="C7">
        <v>1</v>
      </c>
      <c r="D7" s="12">
        <v>0.27916666666666667</v>
      </c>
      <c r="E7" s="13">
        <v>42517</v>
      </c>
      <c r="F7">
        <v>2</v>
      </c>
      <c r="G7">
        <v>1</v>
      </c>
    </row>
    <row r="8" spans="1:7" x14ac:dyDescent="0.25">
      <c r="A8" s="7" t="s">
        <v>81</v>
      </c>
      <c r="B8" s="11">
        <v>7</v>
      </c>
      <c r="C8">
        <v>1</v>
      </c>
      <c r="D8" s="12">
        <v>0.29791666666666666</v>
      </c>
      <c r="E8" s="13">
        <v>42517</v>
      </c>
      <c r="F8">
        <v>2</v>
      </c>
      <c r="G8">
        <v>0</v>
      </c>
    </row>
    <row r="9" spans="1:7" x14ac:dyDescent="0.25">
      <c r="A9" s="7" t="s">
        <v>82</v>
      </c>
      <c r="B9" s="11">
        <v>8</v>
      </c>
      <c r="C9">
        <v>1</v>
      </c>
      <c r="D9" s="12">
        <v>0.35138888888888892</v>
      </c>
      <c r="E9" s="13">
        <v>42513</v>
      </c>
      <c r="F9">
        <v>1</v>
      </c>
      <c r="G9">
        <v>0</v>
      </c>
    </row>
    <row r="10" spans="1:7" x14ac:dyDescent="0.25">
      <c r="A10" s="7" t="s">
        <v>83</v>
      </c>
      <c r="B10" s="11">
        <v>9</v>
      </c>
      <c r="C10">
        <v>1</v>
      </c>
      <c r="D10" s="12">
        <v>0.22847222222222222</v>
      </c>
      <c r="E10" s="13">
        <v>42515</v>
      </c>
      <c r="F10">
        <v>4</v>
      </c>
      <c r="G10">
        <v>0</v>
      </c>
    </row>
    <row r="11" spans="1:7" x14ac:dyDescent="0.25">
      <c r="A11" s="7" t="s">
        <v>84</v>
      </c>
      <c r="B11" s="11">
        <v>10</v>
      </c>
      <c r="C11">
        <v>1</v>
      </c>
      <c r="D11" s="12">
        <v>0.24305555555555555</v>
      </c>
      <c r="E11" s="13">
        <v>42515</v>
      </c>
      <c r="F11">
        <v>4</v>
      </c>
      <c r="G11">
        <v>0</v>
      </c>
    </row>
    <row r="12" spans="1:7" x14ac:dyDescent="0.25">
      <c r="A12" s="7" t="s">
        <v>85</v>
      </c>
      <c r="B12" s="11">
        <v>11</v>
      </c>
      <c r="C12">
        <v>1</v>
      </c>
      <c r="D12" s="12">
        <v>0.25625000000000003</v>
      </c>
      <c r="E12" s="13">
        <v>42515</v>
      </c>
      <c r="F12">
        <v>0</v>
      </c>
      <c r="G12">
        <v>0</v>
      </c>
    </row>
    <row r="13" spans="1:7" x14ac:dyDescent="0.25">
      <c r="A13" s="7" t="s">
        <v>86</v>
      </c>
      <c r="B13" s="11">
        <v>12</v>
      </c>
      <c r="C13">
        <v>1</v>
      </c>
      <c r="D13" s="12">
        <v>0.27152777777777776</v>
      </c>
      <c r="E13" s="13">
        <v>42515</v>
      </c>
      <c r="F13">
        <v>0</v>
      </c>
      <c r="G13">
        <v>0</v>
      </c>
    </row>
    <row r="14" spans="1:7" x14ac:dyDescent="0.25">
      <c r="A14" s="7" t="s">
        <v>87</v>
      </c>
      <c r="B14" s="11">
        <v>13</v>
      </c>
      <c r="C14">
        <v>1</v>
      </c>
      <c r="D14" s="12">
        <v>0.29166666666666669</v>
      </c>
      <c r="E14" s="13">
        <v>42515</v>
      </c>
      <c r="F14">
        <v>0</v>
      </c>
      <c r="G14">
        <v>0</v>
      </c>
    </row>
    <row r="15" spans="1:7" x14ac:dyDescent="0.25">
      <c r="A15" s="7" t="s">
        <v>88</v>
      </c>
      <c r="B15" s="11">
        <v>14</v>
      </c>
      <c r="C15">
        <v>1</v>
      </c>
      <c r="D15" s="12">
        <v>0.30486111111111108</v>
      </c>
      <c r="E15" s="13">
        <v>42515</v>
      </c>
      <c r="F15">
        <v>0</v>
      </c>
      <c r="G15">
        <v>0</v>
      </c>
    </row>
    <row r="16" spans="1:7" x14ac:dyDescent="0.25">
      <c r="A16" s="7" t="s">
        <v>89</v>
      </c>
      <c r="B16" s="11">
        <v>15</v>
      </c>
      <c r="C16">
        <v>1</v>
      </c>
      <c r="D16" s="12">
        <v>0.32083333333333336</v>
      </c>
      <c r="E16" s="13">
        <v>42515</v>
      </c>
      <c r="F16">
        <v>0</v>
      </c>
      <c r="G16">
        <v>0</v>
      </c>
    </row>
    <row r="17" spans="1:7" x14ac:dyDescent="0.25">
      <c r="A17" s="7" t="s">
        <v>90</v>
      </c>
      <c r="B17" s="11">
        <v>16</v>
      </c>
      <c r="C17">
        <v>1</v>
      </c>
      <c r="D17" s="12">
        <v>0.3354166666666667</v>
      </c>
      <c r="E17" s="13">
        <v>42515</v>
      </c>
      <c r="F17">
        <v>0</v>
      </c>
      <c r="G17">
        <v>0</v>
      </c>
    </row>
    <row r="18" spans="1:7" x14ac:dyDescent="0.25">
      <c r="A18" s="7" t="s">
        <v>91</v>
      </c>
      <c r="B18" s="11">
        <v>17</v>
      </c>
      <c r="C18">
        <v>1</v>
      </c>
      <c r="D18" s="12">
        <v>0.40208333333333335</v>
      </c>
      <c r="E18" s="13">
        <v>42516</v>
      </c>
      <c r="F18">
        <v>1</v>
      </c>
      <c r="G18">
        <v>1</v>
      </c>
    </row>
    <row r="19" spans="1:7" x14ac:dyDescent="0.25">
      <c r="A19" s="7" t="s">
        <v>92</v>
      </c>
      <c r="B19" s="11">
        <v>18</v>
      </c>
      <c r="C19">
        <v>1</v>
      </c>
      <c r="D19" s="12">
        <v>0.38472222222222219</v>
      </c>
      <c r="E19" s="13">
        <v>42516</v>
      </c>
      <c r="F19">
        <v>1</v>
      </c>
      <c r="G19">
        <v>1</v>
      </c>
    </row>
    <row r="20" spans="1:7" x14ac:dyDescent="0.25">
      <c r="A20" s="7" t="s">
        <v>93</v>
      </c>
      <c r="B20" s="11">
        <v>19</v>
      </c>
      <c r="C20">
        <v>1</v>
      </c>
      <c r="D20" s="12">
        <v>0.31666666666666665</v>
      </c>
      <c r="E20" s="13">
        <v>42516</v>
      </c>
      <c r="F20">
        <v>0</v>
      </c>
      <c r="G20">
        <v>0</v>
      </c>
    </row>
    <row r="21" spans="1:7" x14ac:dyDescent="0.25">
      <c r="A21" s="7" t="s">
        <v>94</v>
      </c>
      <c r="B21" s="11">
        <v>20</v>
      </c>
      <c r="C21">
        <v>1</v>
      </c>
      <c r="D21" s="12">
        <v>0.30416666666666664</v>
      </c>
      <c r="E21" s="13">
        <v>42516</v>
      </c>
      <c r="F21">
        <v>1</v>
      </c>
      <c r="G21">
        <v>0</v>
      </c>
    </row>
    <row r="22" spans="1:7" x14ac:dyDescent="0.25">
      <c r="A22" s="7" t="s">
        <v>95</v>
      </c>
      <c r="B22" s="11">
        <v>21</v>
      </c>
      <c r="C22">
        <v>1</v>
      </c>
      <c r="D22" s="12">
        <v>0.28958333333333336</v>
      </c>
      <c r="E22" s="13">
        <v>42516</v>
      </c>
      <c r="F22">
        <v>1</v>
      </c>
      <c r="G22">
        <v>0</v>
      </c>
    </row>
    <row r="23" spans="1:7" x14ac:dyDescent="0.25">
      <c r="A23" s="7" t="s">
        <v>96</v>
      </c>
      <c r="B23" s="11">
        <v>22</v>
      </c>
      <c r="C23">
        <v>1</v>
      </c>
      <c r="D23" s="12">
        <v>0.27638888888888885</v>
      </c>
      <c r="E23" s="13">
        <v>42516</v>
      </c>
      <c r="F23">
        <v>1</v>
      </c>
      <c r="G23">
        <v>0</v>
      </c>
    </row>
    <row r="24" spans="1:7" x14ac:dyDescent="0.25">
      <c r="A24" s="7" t="s">
        <v>97</v>
      </c>
      <c r="B24" s="11">
        <v>23</v>
      </c>
      <c r="C24">
        <v>1</v>
      </c>
      <c r="D24" s="12">
        <v>0.2638888888888889</v>
      </c>
      <c r="E24" s="13">
        <v>42516</v>
      </c>
      <c r="F24">
        <v>1</v>
      </c>
      <c r="G24">
        <v>0</v>
      </c>
    </row>
    <row r="25" spans="1:7" x14ac:dyDescent="0.25">
      <c r="A25" s="7" t="s">
        <v>98</v>
      </c>
      <c r="B25" s="11">
        <v>24</v>
      </c>
      <c r="C25">
        <v>1</v>
      </c>
      <c r="D25" s="12">
        <v>0.33611111111111108</v>
      </c>
      <c r="E25" s="13">
        <v>42513</v>
      </c>
      <c r="F25">
        <v>1</v>
      </c>
      <c r="G25">
        <v>0</v>
      </c>
    </row>
    <row r="26" spans="1:7" x14ac:dyDescent="0.25">
      <c r="A26" s="7" t="s">
        <v>99</v>
      </c>
      <c r="B26" s="11">
        <v>25</v>
      </c>
      <c r="C26">
        <v>1</v>
      </c>
      <c r="D26" s="12">
        <v>0.3666666666666667</v>
      </c>
      <c r="E26" s="13">
        <v>42513</v>
      </c>
      <c r="F26">
        <v>0</v>
      </c>
      <c r="G26">
        <v>1</v>
      </c>
    </row>
    <row r="27" spans="1:7" x14ac:dyDescent="0.25">
      <c r="A27" s="7" t="s">
        <v>100</v>
      </c>
      <c r="B27" s="11">
        <v>26</v>
      </c>
      <c r="C27">
        <v>1</v>
      </c>
      <c r="D27" s="12">
        <v>0.3833333333333333</v>
      </c>
      <c r="E27" s="13">
        <v>42513</v>
      </c>
      <c r="F27">
        <v>0</v>
      </c>
      <c r="G27">
        <v>1</v>
      </c>
    </row>
    <row r="28" spans="1:7" x14ac:dyDescent="0.25">
      <c r="A28" s="7" t="s">
        <v>101</v>
      </c>
      <c r="B28" s="11">
        <v>27</v>
      </c>
      <c r="C28">
        <v>1</v>
      </c>
      <c r="D28" s="12">
        <v>0.3743055555555555</v>
      </c>
      <c r="E28" s="13">
        <v>42515</v>
      </c>
      <c r="F28">
        <v>0</v>
      </c>
      <c r="G28">
        <v>0</v>
      </c>
    </row>
    <row r="29" spans="1:7" x14ac:dyDescent="0.25">
      <c r="A29" s="7" t="s">
        <v>102</v>
      </c>
      <c r="B29" s="11">
        <v>28</v>
      </c>
      <c r="C29">
        <v>1</v>
      </c>
      <c r="D29" s="12">
        <v>0.38611111111111113</v>
      </c>
      <c r="E29" s="13">
        <v>42515</v>
      </c>
      <c r="F29">
        <v>0</v>
      </c>
      <c r="G29">
        <v>1</v>
      </c>
    </row>
    <row r="30" spans="1:7" x14ac:dyDescent="0.25">
      <c r="A30" s="7" t="s">
        <v>103</v>
      </c>
      <c r="B30" s="11">
        <v>29</v>
      </c>
      <c r="C30">
        <v>1</v>
      </c>
      <c r="D30" s="12">
        <v>0.3527777777777778</v>
      </c>
      <c r="E30" s="13">
        <v>42515</v>
      </c>
      <c r="F30">
        <v>0</v>
      </c>
      <c r="G30">
        <v>0</v>
      </c>
    </row>
    <row r="31" spans="1:7" x14ac:dyDescent="0.25">
      <c r="A31" s="7" t="s">
        <v>104</v>
      </c>
      <c r="B31" s="11">
        <v>30</v>
      </c>
      <c r="C31">
        <v>1</v>
      </c>
      <c r="D31" s="12">
        <v>0.24930555555555556</v>
      </c>
      <c r="E31" s="13">
        <v>42517</v>
      </c>
      <c r="F31">
        <v>2</v>
      </c>
      <c r="G31">
        <v>0</v>
      </c>
    </row>
    <row r="32" spans="1:7" x14ac:dyDescent="0.25">
      <c r="A32" s="7" t="s">
        <v>105</v>
      </c>
      <c r="B32" s="11">
        <v>31</v>
      </c>
      <c r="C32">
        <v>1</v>
      </c>
      <c r="D32" s="12">
        <v>0.26180555555555557</v>
      </c>
      <c r="E32" s="13">
        <v>42517</v>
      </c>
      <c r="F32">
        <v>2</v>
      </c>
      <c r="G32">
        <v>0</v>
      </c>
    </row>
    <row r="33" spans="1:7" x14ac:dyDescent="0.25">
      <c r="A33" s="7" t="s">
        <v>106</v>
      </c>
      <c r="B33" s="11">
        <v>32</v>
      </c>
      <c r="C33">
        <v>1</v>
      </c>
      <c r="D33" s="12">
        <v>0.23124999999999998</v>
      </c>
      <c r="E33" s="13">
        <v>42517</v>
      </c>
      <c r="F33">
        <v>2</v>
      </c>
      <c r="G33">
        <v>0</v>
      </c>
    </row>
    <row r="34" spans="1:7" x14ac:dyDescent="0.25">
      <c r="A34" s="7" t="s">
        <v>107</v>
      </c>
      <c r="B34" s="11">
        <v>33</v>
      </c>
      <c r="C34">
        <v>1</v>
      </c>
      <c r="D34" s="12">
        <v>0.29791666666666666</v>
      </c>
      <c r="E34" s="13">
        <v>42510</v>
      </c>
      <c r="F34">
        <v>0</v>
      </c>
      <c r="G34">
        <v>0</v>
      </c>
    </row>
    <row r="35" spans="1:7" x14ac:dyDescent="0.25">
      <c r="A35" s="7" t="s">
        <v>108</v>
      </c>
      <c r="B35" s="11">
        <v>34</v>
      </c>
      <c r="C35">
        <v>1</v>
      </c>
      <c r="D35" s="12">
        <v>0.21736111111111112</v>
      </c>
      <c r="E35" s="13">
        <v>42521</v>
      </c>
      <c r="F35">
        <v>4</v>
      </c>
      <c r="G35">
        <v>0</v>
      </c>
    </row>
    <row r="36" spans="1:7" x14ac:dyDescent="0.25">
      <c r="A36" s="7" t="s">
        <v>109</v>
      </c>
      <c r="B36" s="11">
        <v>35</v>
      </c>
      <c r="C36">
        <v>1</v>
      </c>
      <c r="D36" s="12">
        <v>0.37847222222222227</v>
      </c>
      <c r="E36" s="13">
        <v>42504</v>
      </c>
      <c r="F36">
        <v>0</v>
      </c>
      <c r="G36">
        <v>0</v>
      </c>
    </row>
    <row r="37" spans="1:7" x14ac:dyDescent="0.25">
      <c r="A37" s="7" t="s">
        <v>110</v>
      </c>
      <c r="B37" s="11">
        <v>36</v>
      </c>
      <c r="C37">
        <v>1</v>
      </c>
      <c r="D37" s="12">
        <v>0.29791666666666666</v>
      </c>
      <c r="E37" s="13">
        <v>42504</v>
      </c>
      <c r="F37">
        <v>0</v>
      </c>
      <c r="G37">
        <v>0</v>
      </c>
    </row>
    <row r="38" spans="1:7" x14ac:dyDescent="0.25">
      <c r="A38" s="7" t="s">
        <v>111</v>
      </c>
      <c r="B38" s="11">
        <v>37</v>
      </c>
      <c r="C38">
        <v>1</v>
      </c>
      <c r="D38" s="12">
        <v>0.37291666666666662</v>
      </c>
      <c r="E38" s="13">
        <v>42510</v>
      </c>
      <c r="F38">
        <v>0</v>
      </c>
      <c r="G38">
        <v>1</v>
      </c>
    </row>
    <row r="39" spans="1:7" x14ac:dyDescent="0.25">
      <c r="A39" s="7" t="s">
        <v>112</v>
      </c>
      <c r="B39" s="11">
        <v>38</v>
      </c>
      <c r="C39">
        <v>1</v>
      </c>
      <c r="D39" s="12">
        <v>0.3520833333333333</v>
      </c>
      <c r="E39" s="13">
        <v>42510</v>
      </c>
      <c r="F39">
        <v>0</v>
      </c>
      <c r="G39">
        <v>0</v>
      </c>
    </row>
    <row r="40" spans="1:7" x14ac:dyDescent="0.25">
      <c r="A40" s="7" t="s">
        <v>113</v>
      </c>
      <c r="B40" s="11">
        <v>39</v>
      </c>
      <c r="C40">
        <v>1</v>
      </c>
      <c r="D40" s="12">
        <v>0.39861111111111108</v>
      </c>
      <c r="E40" s="13">
        <v>42513</v>
      </c>
      <c r="F40">
        <v>0</v>
      </c>
      <c r="G40">
        <v>1</v>
      </c>
    </row>
    <row r="41" spans="1:7" x14ac:dyDescent="0.25">
      <c r="A41" s="7" t="s">
        <v>114</v>
      </c>
      <c r="B41" s="11">
        <v>40</v>
      </c>
      <c r="C41">
        <v>1</v>
      </c>
      <c r="D41" s="12">
        <v>0.39930555555555558</v>
      </c>
      <c r="E41" s="13">
        <v>42515</v>
      </c>
      <c r="F41">
        <v>0</v>
      </c>
      <c r="G41">
        <v>1</v>
      </c>
    </row>
    <row r="42" spans="1:7" x14ac:dyDescent="0.25">
      <c r="A42" s="7" t="s">
        <v>115</v>
      </c>
      <c r="B42" s="11">
        <v>41</v>
      </c>
      <c r="C42">
        <v>1</v>
      </c>
      <c r="D42" s="12">
        <v>0.32291666666666669</v>
      </c>
      <c r="E42" s="13">
        <v>42513</v>
      </c>
      <c r="F42">
        <v>1</v>
      </c>
      <c r="G42">
        <v>0</v>
      </c>
    </row>
    <row r="43" spans="1:7" x14ac:dyDescent="0.25">
      <c r="A43" s="8" t="s">
        <v>116</v>
      </c>
      <c r="B43" s="11">
        <v>42</v>
      </c>
      <c r="C43">
        <v>1</v>
      </c>
      <c r="D43" s="12">
        <v>0.2298611111111111</v>
      </c>
      <c r="E43" s="13">
        <v>42516</v>
      </c>
      <c r="F43">
        <v>0</v>
      </c>
      <c r="G43">
        <v>0</v>
      </c>
    </row>
    <row r="44" spans="1:7" x14ac:dyDescent="0.25">
      <c r="A44" s="8" t="s">
        <v>117</v>
      </c>
      <c r="B44" s="11">
        <v>43</v>
      </c>
      <c r="C44">
        <v>1</v>
      </c>
      <c r="D44" s="12">
        <v>0.24305555555555555</v>
      </c>
      <c r="E44" s="13">
        <v>42516</v>
      </c>
      <c r="F44">
        <v>1</v>
      </c>
      <c r="G44">
        <v>0</v>
      </c>
    </row>
    <row r="45" spans="1:7" x14ac:dyDescent="0.25">
      <c r="A45" s="8" t="s">
        <v>118</v>
      </c>
      <c r="B45" s="11">
        <v>44</v>
      </c>
      <c r="C45">
        <v>1</v>
      </c>
      <c r="D45" s="12">
        <v>0.25625000000000003</v>
      </c>
      <c r="E45" s="13">
        <v>42521</v>
      </c>
      <c r="F45">
        <v>2</v>
      </c>
      <c r="G45">
        <v>0</v>
      </c>
    </row>
    <row r="46" spans="1:7" x14ac:dyDescent="0.25">
      <c r="A46" s="8" t="s">
        <v>119</v>
      </c>
      <c r="B46" s="11">
        <v>45</v>
      </c>
      <c r="C46">
        <v>1</v>
      </c>
      <c r="D46" s="12">
        <v>0.36874999999999997</v>
      </c>
      <c r="E46" s="13">
        <v>42516</v>
      </c>
      <c r="F46">
        <v>1</v>
      </c>
      <c r="G46">
        <v>1</v>
      </c>
    </row>
    <row r="47" spans="1:7" x14ac:dyDescent="0.25">
      <c r="A47" s="8" t="s">
        <v>120</v>
      </c>
      <c r="B47" s="11">
        <v>46</v>
      </c>
      <c r="C47">
        <v>1</v>
      </c>
      <c r="D47" s="12">
        <v>0.35347222222222219</v>
      </c>
      <c r="E47" s="13">
        <v>42516</v>
      </c>
      <c r="F47">
        <v>0</v>
      </c>
      <c r="G47">
        <v>0</v>
      </c>
    </row>
    <row r="48" spans="1:7" x14ac:dyDescent="0.25">
      <c r="A48" s="8" t="s">
        <v>121</v>
      </c>
      <c r="B48" s="11">
        <v>47</v>
      </c>
      <c r="C48">
        <v>1</v>
      </c>
      <c r="D48" s="12">
        <v>0.3354166666666667</v>
      </c>
      <c r="E48" s="13">
        <v>42516</v>
      </c>
      <c r="F48">
        <v>0</v>
      </c>
      <c r="G48">
        <v>0</v>
      </c>
    </row>
    <row r="49" spans="1:7" x14ac:dyDescent="0.25">
      <c r="A49" s="8" t="s">
        <v>122</v>
      </c>
      <c r="B49" s="11">
        <v>48</v>
      </c>
      <c r="C49">
        <v>1</v>
      </c>
      <c r="D49" s="12">
        <v>0.34930555555555554</v>
      </c>
      <c r="E49" s="13">
        <v>42517</v>
      </c>
      <c r="F49">
        <v>2</v>
      </c>
      <c r="G49">
        <v>1</v>
      </c>
    </row>
    <row r="50" spans="1:7" x14ac:dyDescent="0.25">
      <c r="A50" s="8" t="s">
        <v>123</v>
      </c>
      <c r="B50" s="11">
        <v>49</v>
      </c>
      <c r="C50">
        <v>1</v>
      </c>
      <c r="D50" s="12">
        <v>0.3347222222222222</v>
      </c>
      <c r="E50" s="13">
        <v>42517</v>
      </c>
      <c r="F50">
        <v>2</v>
      </c>
      <c r="G50">
        <v>0</v>
      </c>
    </row>
    <row r="51" spans="1:7" x14ac:dyDescent="0.25">
      <c r="A51" s="8" t="s">
        <v>124</v>
      </c>
      <c r="B51" s="11">
        <v>50</v>
      </c>
      <c r="C51">
        <v>1</v>
      </c>
      <c r="D51" s="12">
        <v>0.30486111111111108</v>
      </c>
      <c r="E51" s="13">
        <v>42521</v>
      </c>
      <c r="F51">
        <v>2</v>
      </c>
      <c r="G51">
        <v>0</v>
      </c>
    </row>
    <row r="52" spans="1:7" x14ac:dyDescent="0.25">
      <c r="A52" s="8" t="s">
        <v>125</v>
      </c>
      <c r="B52" s="11">
        <v>51</v>
      </c>
      <c r="C52">
        <v>1</v>
      </c>
      <c r="D52" s="12">
        <v>0.39374999999999999</v>
      </c>
      <c r="E52" s="13">
        <v>42504</v>
      </c>
      <c r="F52">
        <v>0</v>
      </c>
      <c r="G52">
        <v>0</v>
      </c>
    </row>
    <row r="53" spans="1:7" x14ac:dyDescent="0.25">
      <c r="A53" s="8" t="s">
        <v>126</v>
      </c>
      <c r="B53" s="11">
        <v>52</v>
      </c>
      <c r="C53">
        <v>1</v>
      </c>
      <c r="D53" s="12">
        <v>0.3125</v>
      </c>
      <c r="E53" s="13">
        <v>42510</v>
      </c>
      <c r="F53">
        <v>0</v>
      </c>
      <c r="G53">
        <v>0</v>
      </c>
    </row>
    <row r="54" spans="1:7" x14ac:dyDescent="0.25">
      <c r="A54" s="8" t="s">
        <v>127</v>
      </c>
      <c r="B54" s="11">
        <v>53</v>
      </c>
      <c r="C54">
        <v>1</v>
      </c>
      <c r="D54" s="12">
        <v>0.32777777777777778</v>
      </c>
      <c r="E54" s="13">
        <v>42510</v>
      </c>
      <c r="F54">
        <v>0</v>
      </c>
      <c r="G54">
        <v>0</v>
      </c>
    </row>
    <row r="55" spans="1:7" x14ac:dyDescent="0.25">
      <c r="A55" s="8" t="s">
        <v>128</v>
      </c>
      <c r="B55" s="11">
        <v>54</v>
      </c>
      <c r="C55">
        <v>1</v>
      </c>
      <c r="D55" s="12">
        <v>0.30138888888888887</v>
      </c>
      <c r="E55" s="13">
        <v>42513</v>
      </c>
      <c r="F55">
        <v>1</v>
      </c>
      <c r="G55">
        <v>0</v>
      </c>
    </row>
    <row r="56" spans="1:7" x14ac:dyDescent="0.25">
      <c r="A56" s="8" t="s">
        <v>129</v>
      </c>
      <c r="B56" s="11">
        <v>55</v>
      </c>
      <c r="C56">
        <v>1</v>
      </c>
      <c r="D56" s="12">
        <v>0.3215277777777778</v>
      </c>
      <c r="E56" s="13">
        <v>42504</v>
      </c>
      <c r="F56">
        <v>0</v>
      </c>
      <c r="G56">
        <v>0</v>
      </c>
    </row>
    <row r="57" spans="1:7" x14ac:dyDescent="0.25">
      <c r="A57" s="8" t="s">
        <v>130</v>
      </c>
      <c r="B57" s="11">
        <v>57</v>
      </c>
      <c r="C57">
        <v>1</v>
      </c>
      <c r="D57" s="12">
        <v>0.24791666666666667</v>
      </c>
      <c r="E57" s="13">
        <v>42510</v>
      </c>
      <c r="F57">
        <v>1</v>
      </c>
      <c r="G57">
        <v>0</v>
      </c>
    </row>
    <row r="58" spans="1:7" x14ac:dyDescent="0.25">
      <c r="A58" s="8" t="s">
        <v>131</v>
      </c>
      <c r="B58" s="11">
        <v>58</v>
      </c>
      <c r="C58">
        <v>1</v>
      </c>
      <c r="D58" s="12">
        <v>0.27291666666666664</v>
      </c>
      <c r="E58" s="13">
        <v>42510</v>
      </c>
      <c r="F58">
        <v>1</v>
      </c>
      <c r="G58">
        <v>0</v>
      </c>
    </row>
    <row r="59" spans="1:7" x14ac:dyDescent="0.25">
      <c r="A59" s="8" t="s">
        <v>132</v>
      </c>
      <c r="B59" s="11">
        <v>59</v>
      </c>
      <c r="C59">
        <v>1</v>
      </c>
      <c r="D59" s="12">
        <v>0.23333333333333331</v>
      </c>
      <c r="E59" s="13">
        <v>42513</v>
      </c>
      <c r="F59">
        <v>1</v>
      </c>
      <c r="G59">
        <v>0</v>
      </c>
    </row>
    <row r="60" spans="1:7" x14ac:dyDescent="0.25">
      <c r="A60" s="8" t="s">
        <v>133</v>
      </c>
      <c r="B60" s="11">
        <v>60</v>
      </c>
      <c r="C60">
        <v>1</v>
      </c>
      <c r="D60" s="12">
        <v>0.25694444444444448</v>
      </c>
      <c r="E60" s="13">
        <v>42513</v>
      </c>
      <c r="F60">
        <v>1</v>
      </c>
      <c r="G60">
        <v>0</v>
      </c>
    </row>
    <row r="61" spans="1:7" x14ac:dyDescent="0.25">
      <c r="A61" s="8" t="s">
        <v>134</v>
      </c>
      <c r="B61" s="11">
        <v>61</v>
      </c>
      <c r="C61">
        <v>1</v>
      </c>
      <c r="D61" s="12">
        <v>0.32291666666666669</v>
      </c>
      <c r="E61" s="13">
        <v>42505</v>
      </c>
      <c r="F61">
        <v>0</v>
      </c>
      <c r="G61">
        <v>1</v>
      </c>
    </row>
    <row r="62" spans="1:7" x14ac:dyDescent="0.25">
      <c r="A62" s="8" t="s">
        <v>135</v>
      </c>
      <c r="B62" s="11">
        <v>62</v>
      </c>
      <c r="C62">
        <v>1</v>
      </c>
      <c r="D62" s="12">
        <v>0.30416666666666664</v>
      </c>
      <c r="E62" s="13">
        <v>42505</v>
      </c>
      <c r="F62">
        <v>0</v>
      </c>
      <c r="G62">
        <v>1</v>
      </c>
    </row>
    <row r="63" spans="1:7" x14ac:dyDescent="0.25">
      <c r="A63" s="8" t="s">
        <v>136</v>
      </c>
      <c r="B63" s="11">
        <v>63</v>
      </c>
      <c r="C63">
        <v>1</v>
      </c>
      <c r="D63" s="12">
        <v>0.23263888888888887</v>
      </c>
      <c r="E63" s="13">
        <v>42505</v>
      </c>
      <c r="F63">
        <v>0</v>
      </c>
      <c r="G63">
        <v>0</v>
      </c>
    </row>
    <row r="64" spans="1:7" x14ac:dyDescent="0.25">
      <c r="A64" s="8" t="s">
        <v>137</v>
      </c>
      <c r="B64" s="11">
        <v>64</v>
      </c>
      <c r="C64">
        <v>1</v>
      </c>
      <c r="D64" s="12">
        <v>0.25138888888888888</v>
      </c>
      <c r="E64" s="13">
        <v>42505</v>
      </c>
      <c r="F64">
        <v>0</v>
      </c>
      <c r="G64">
        <v>0</v>
      </c>
    </row>
    <row r="65" spans="1:7" x14ac:dyDescent="0.25">
      <c r="A65" s="8" t="s">
        <v>138</v>
      </c>
      <c r="B65" s="11">
        <v>65</v>
      </c>
      <c r="C65">
        <v>1</v>
      </c>
      <c r="D65" s="12">
        <v>0.2673611111111111</v>
      </c>
      <c r="E65" s="13">
        <v>42505</v>
      </c>
      <c r="F65">
        <v>0</v>
      </c>
      <c r="G65">
        <v>0</v>
      </c>
    </row>
    <row r="66" spans="1:7" x14ac:dyDescent="0.25">
      <c r="A66" s="8" t="s">
        <v>163</v>
      </c>
      <c r="B66" s="11">
        <v>66</v>
      </c>
      <c r="C66">
        <v>1</v>
      </c>
      <c r="D66" s="12">
        <v>0.28125</v>
      </c>
      <c r="E66" s="13">
        <v>42147</v>
      </c>
      <c r="F66">
        <v>1</v>
      </c>
      <c r="G66">
        <v>0</v>
      </c>
    </row>
    <row r="67" spans="1:7" x14ac:dyDescent="0.25">
      <c r="A67" s="8" t="s">
        <v>140</v>
      </c>
      <c r="B67" s="11">
        <v>68</v>
      </c>
      <c r="C67">
        <v>1</v>
      </c>
      <c r="D67" s="12">
        <v>0.23402777777777781</v>
      </c>
      <c r="E67" s="13">
        <v>42498</v>
      </c>
      <c r="F67">
        <v>2</v>
      </c>
      <c r="G67">
        <v>0</v>
      </c>
    </row>
    <row r="68" spans="1:7" x14ac:dyDescent="0.25">
      <c r="A68" s="8" t="s">
        <v>141</v>
      </c>
      <c r="B68" s="11">
        <v>69</v>
      </c>
      <c r="C68">
        <v>1</v>
      </c>
      <c r="D68" s="12">
        <v>0.24722222222222223</v>
      </c>
      <c r="E68" s="13">
        <v>42498</v>
      </c>
      <c r="F68">
        <v>2</v>
      </c>
      <c r="G68">
        <v>0</v>
      </c>
    </row>
    <row r="69" spans="1:7" x14ac:dyDescent="0.25">
      <c r="A69" s="8" t="s">
        <v>142</v>
      </c>
      <c r="B69" s="11">
        <v>70</v>
      </c>
      <c r="C69">
        <v>1</v>
      </c>
      <c r="D69" s="12">
        <v>0.25694444444444448</v>
      </c>
      <c r="E69" s="13">
        <v>42504</v>
      </c>
      <c r="F69">
        <v>0</v>
      </c>
      <c r="G69">
        <v>0</v>
      </c>
    </row>
    <row r="70" spans="1:7" x14ac:dyDescent="0.25">
      <c r="A70" s="8" t="s">
        <v>143</v>
      </c>
      <c r="B70" s="11">
        <v>71</v>
      </c>
      <c r="C70">
        <v>1</v>
      </c>
      <c r="D70" s="12">
        <v>0.27499999999999997</v>
      </c>
      <c r="E70" s="13">
        <v>42504</v>
      </c>
      <c r="F70">
        <v>0</v>
      </c>
      <c r="G70">
        <v>0</v>
      </c>
    </row>
    <row r="71" spans="1:7" x14ac:dyDescent="0.25">
      <c r="A71" s="8" t="s">
        <v>144</v>
      </c>
      <c r="B71" s="11">
        <v>72</v>
      </c>
      <c r="C71">
        <v>1</v>
      </c>
      <c r="D71" s="12">
        <v>0.23680555555555557</v>
      </c>
      <c r="E71" s="13">
        <v>42504</v>
      </c>
      <c r="F71">
        <v>1</v>
      </c>
      <c r="G71">
        <v>0</v>
      </c>
    </row>
    <row r="72" spans="1:7" x14ac:dyDescent="0.25">
      <c r="A72" s="8" t="s">
        <v>145</v>
      </c>
      <c r="B72" s="11">
        <v>73</v>
      </c>
      <c r="C72">
        <v>1</v>
      </c>
      <c r="D72" s="12">
        <v>0.27291666666666664</v>
      </c>
      <c r="E72" s="13">
        <v>42498</v>
      </c>
      <c r="F72">
        <v>2</v>
      </c>
      <c r="G72">
        <v>0</v>
      </c>
    </row>
    <row r="73" spans="1:7" x14ac:dyDescent="0.25">
      <c r="A73" s="9" t="s">
        <v>146</v>
      </c>
      <c r="B73" s="11">
        <v>74</v>
      </c>
      <c r="C73">
        <v>1</v>
      </c>
      <c r="D73" s="12">
        <v>0.3</v>
      </c>
      <c r="E73" s="13">
        <v>42497</v>
      </c>
      <c r="F73">
        <v>2</v>
      </c>
      <c r="G73">
        <v>2</v>
      </c>
    </row>
    <row r="74" spans="1:7" x14ac:dyDescent="0.25">
      <c r="A74" s="9" t="s">
        <v>147</v>
      </c>
      <c r="B74" s="11">
        <v>75</v>
      </c>
      <c r="C74">
        <v>1</v>
      </c>
      <c r="D74" s="12">
        <v>0.28263888888888888</v>
      </c>
      <c r="E74" s="13">
        <v>42497</v>
      </c>
      <c r="F74">
        <v>2</v>
      </c>
      <c r="G74">
        <v>1</v>
      </c>
    </row>
    <row r="75" spans="1:7" x14ac:dyDescent="0.25">
      <c r="A75" s="9" t="s">
        <v>148</v>
      </c>
      <c r="B75" s="11">
        <v>76</v>
      </c>
      <c r="C75">
        <v>1</v>
      </c>
      <c r="D75" s="12">
        <v>0.26597222222222222</v>
      </c>
      <c r="E75" s="13">
        <v>42497</v>
      </c>
      <c r="F75">
        <v>2</v>
      </c>
      <c r="G75">
        <v>2</v>
      </c>
    </row>
    <row r="76" spans="1:7" x14ac:dyDescent="0.25">
      <c r="A76" s="9" t="s">
        <v>149</v>
      </c>
      <c r="B76" s="11">
        <v>77</v>
      </c>
      <c r="C76">
        <v>1</v>
      </c>
      <c r="D76" s="12">
        <v>0.24722222222222223</v>
      </c>
      <c r="E76" s="13">
        <v>42497</v>
      </c>
      <c r="F76">
        <v>2</v>
      </c>
      <c r="G76">
        <v>1</v>
      </c>
    </row>
    <row r="77" spans="1:7" x14ac:dyDescent="0.25">
      <c r="A77" s="9" t="s">
        <v>150</v>
      </c>
      <c r="B77" s="11">
        <v>78</v>
      </c>
      <c r="C77">
        <v>1</v>
      </c>
      <c r="D77" s="12">
        <v>0.35000000000000003</v>
      </c>
      <c r="E77" s="13">
        <v>42497</v>
      </c>
      <c r="F77">
        <v>2</v>
      </c>
      <c r="G77">
        <v>1</v>
      </c>
    </row>
    <row r="78" spans="1:7" x14ac:dyDescent="0.25">
      <c r="A78" s="9" t="s">
        <v>151</v>
      </c>
      <c r="B78" s="11">
        <v>79</v>
      </c>
      <c r="C78">
        <v>1</v>
      </c>
      <c r="D78" s="12">
        <v>0.36805555555555558</v>
      </c>
      <c r="E78" s="13">
        <v>42497</v>
      </c>
      <c r="F78">
        <v>2</v>
      </c>
      <c r="G78">
        <v>1</v>
      </c>
    </row>
    <row r="79" spans="1:7" x14ac:dyDescent="0.25">
      <c r="A79" s="7" t="s">
        <v>75</v>
      </c>
      <c r="B79" s="11">
        <v>1</v>
      </c>
      <c r="C79">
        <v>2</v>
      </c>
      <c r="D79" s="12">
        <v>0.28541666666666665</v>
      </c>
      <c r="E79" s="13">
        <v>42549</v>
      </c>
      <c r="F79">
        <v>2</v>
      </c>
      <c r="G79">
        <v>1</v>
      </c>
    </row>
    <row r="80" spans="1:7" x14ac:dyDescent="0.25">
      <c r="A80" s="7" t="s">
        <v>76</v>
      </c>
      <c r="B80" s="11">
        <v>2</v>
      </c>
      <c r="C80">
        <v>2</v>
      </c>
      <c r="D80" s="12">
        <v>0.22708333333333333</v>
      </c>
      <c r="E80" s="13">
        <v>42545</v>
      </c>
      <c r="F80">
        <v>4</v>
      </c>
      <c r="G80">
        <v>0</v>
      </c>
    </row>
    <row r="81" spans="1:7" x14ac:dyDescent="0.25">
      <c r="A81" s="7" t="s">
        <v>77</v>
      </c>
      <c r="B81" s="11">
        <v>3</v>
      </c>
      <c r="C81">
        <v>2</v>
      </c>
      <c r="D81" s="12">
        <v>0.24722222222222223</v>
      </c>
      <c r="E81" s="13">
        <v>42549</v>
      </c>
      <c r="F81">
        <v>2</v>
      </c>
      <c r="G81">
        <v>1</v>
      </c>
    </row>
    <row r="82" spans="1:7" x14ac:dyDescent="0.25">
      <c r="A82" s="7" t="s">
        <v>78</v>
      </c>
      <c r="B82" s="11">
        <v>4</v>
      </c>
      <c r="C82">
        <v>2</v>
      </c>
      <c r="D82" s="12">
        <v>0.26111111111111113</v>
      </c>
      <c r="E82" s="13">
        <v>42549</v>
      </c>
      <c r="F82">
        <v>2</v>
      </c>
      <c r="G82">
        <v>1</v>
      </c>
    </row>
    <row r="83" spans="1:7" x14ac:dyDescent="0.25">
      <c r="A83" s="7" t="s">
        <v>79</v>
      </c>
      <c r="B83" s="11">
        <v>5</v>
      </c>
      <c r="C83">
        <v>2</v>
      </c>
      <c r="D83" s="12">
        <v>0.27083333333333331</v>
      </c>
      <c r="E83" s="13">
        <v>42549</v>
      </c>
      <c r="F83">
        <v>2</v>
      </c>
      <c r="G83">
        <v>1</v>
      </c>
    </row>
    <row r="84" spans="1:7" x14ac:dyDescent="0.25">
      <c r="A84" s="7" t="s">
        <v>80</v>
      </c>
      <c r="B84" s="11">
        <v>6</v>
      </c>
      <c r="C84">
        <v>2</v>
      </c>
      <c r="D84" s="12">
        <v>0.32708333333333334</v>
      </c>
      <c r="E84" s="13">
        <v>42545</v>
      </c>
      <c r="F84">
        <v>0</v>
      </c>
      <c r="G84">
        <v>1</v>
      </c>
    </row>
    <row r="85" spans="1:7" x14ac:dyDescent="0.25">
      <c r="A85" s="7" t="s">
        <v>81</v>
      </c>
      <c r="B85" s="11">
        <v>7</v>
      </c>
      <c r="C85">
        <v>2</v>
      </c>
      <c r="D85" s="12">
        <v>0.34861111111111115</v>
      </c>
      <c r="E85" s="13">
        <v>42545</v>
      </c>
      <c r="F85">
        <v>0</v>
      </c>
      <c r="G85">
        <v>1</v>
      </c>
    </row>
    <row r="86" spans="1:7" x14ac:dyDescent="0.25">
      <c r="A86" s="7" t="s">
        <v>82</v>
      </c>
      <c r="B86" s="11">
        <v>8</v>
      </c>
      <c r="C86">
        <v>2</v>
      </c>
      <c r="D86" s="12">
        <v>0.38541666666666669</v>
      </c>
      <c r="E86" s="13">
        <v>42528</v>
      </c>
      <c r="F86">
        <v>1</v>
      </c>
      <c r="G86">
        <v>1</v>
      </c>
    </row>
    <row r="87" spans="1:7" x14ac:dyDescent="0.25">
      <c r="A87" s="7" t="s">
        <v>83</v>
      </c>
      <c r="B87" s="11">
        <v>9</v>
      </c>
      <c r="C87">
        <v>2</v>
      </c>
      <c r="D87" s="12">
        <v>0.32291666666666669</v>
      </c>
      <c r="E87" s="13">
        <v>42529</v>
      </c>
      <c r="F87">
        <v>1</v>
      </c>
      <c r="G87">
        <v>1</v>
      </c>
    </row>
    <row r="88" spans="1:7" x14ac:dyDescent="0.25">
      <c r="A88" s="7" t="s">
        <v>84</v>
      </c>
      <c r="B88" s="11">
        <v>10</v>
      </c>
      <c r="C88">
        <v>2</v>
      </c>
      <c r="D88" s="12">
        <v>0.33680555555555558</v>
      </c>
      <c r="E88" s="13">
        <v>42529</v>
      </c>
      <c r="F88">
        <v>1</v>
      </c>
      <c r="G88">
        <v>2</v>
      </c>
    </row>
    <row r="89" spans="1:7" x14ac:dyDescent="0.25">
      <c r="A89" s="7" t="s">
        <v>85</v>
      </c>
      <c r="B89" s="11">
        <v>11</v>
      </c>
      <c r="C89">
        <v>2</v>
      </c>
      <c r="D89" s="12">
        <v>0.34861111111111115</v>
      </c>
      <c r="E89" s="13">
        <v>42529</v>
      </c>
      <c r="F89">
        <v>1</v>
      </c>
      <c r="G89">
        <v>2</v>
      </c>
    </row>
    <row r="90" spans="1:7" x14ac:dyDescent="0.25">
      <c r="A90" s="7" t="s">
        <v>86</v>
      </c>
      <c r="B90" s="11">
        <v>12</v>
      </c>
      <c r="C90">
        <v>2</v>
      </c>
      <c r="D90" s="12">
        <v>0.36249999999999999</v>
      </c>
      <c r="E90" s="13">
        <v>42529</v>
      </c>
      <c r="F90">
        <v>1</v>
      </c>
      <c r="G90">
        <v>3</v>
      </c>
    </row>
    <row r="91" spans="1:7" x14ac:dyDescent="0.25">
      <c r="A91" s="7" t="s">
        <v>87</v>
      </c>
      <c r="B91" s="11">
        <v>13</v>
      </c>
      <c r="C91">
        <v>2</v>
      </c>
      <c r="D91" s="12">
        <v>0.38750000000000001</v>
      </c>
      <c r="E91" s="13">
        <v>42529</v>
      </c>
      <c r="F91">
        <v>1</v>
      </c>
      <c r="G91">
        <v>2</v>
      </c>
    </row>
    <row r="92" spans="1:7" x14ac:dyDescent="0.25">
      <c r="A92" s="7" t="s">
        <v>88</v>
      </c>
      <c r="B92" s="11">
        <v>14</v>
      </c>
      <c r="C92">
        <v>2</v>
      </c>
      <c r="D92" s="12">
        <v>0.27847222222222223</v>
      </c>
      <c r="E92" s="13">
        <v>42530</v>
      </c>
      <c r="F92">
        <v>0</v>
      </c>
      <c r="G92">
        <v>1</v>
      </c>
    </row>
    <row r="93" spans="1:7" x14ac:dyDescent="0.25">
      <c r="A93" s="7" t="s">
        <v>89</v>
      </c>
      <c r="B93" s="11">
        <v>15</v>
      </c>
      <c r="C93">
        <v>2</v>
      </c>
      <c r="D93" s="12">
        <v>0.26180555555555557</v>
      </c>
      <c r="E93" s="13">
        <v>42530</v>
      </c>
      <c r="F93">
        <v>0</v>
      </c>
      <c r="G93">
        <v>1</v>
      </c>
    </row>
    <row r="94" spans="1:7" x14ac:dyDescent="0.25">
      <c r="A94" s="7" t="s">
        <v>90</v>
      </c>
      <c r="B94" s="11">
        <v>16</v>
      </c>
      <c r="C94">
        <v>2</v>
      </c>
      <c r="D94" s="12">
        <v>0.24930555555555556</v>
      </c>
      <c r="E94" s="13">
        <v>42530</v>
      </c>
      <c r="F94">
        <v>0</v>
      </c>
      <c r="G94">
        <v>1</v>
      </c>
    </row>
    <row r="95" spans="1:7" x14ac:dyDescent="0.25">
      <c r="A95" s="7" t="s">
        <v>91</v>
      </c>
      <c r="B95" s="11">
        <v>17</v>
      </c>
      <c r="C95">
        <v>2</v>
      </c>
      <c r="D95" s="12">
        <v>0.25625000000000003</v>
      </c>
      <c r="E95" s="13">
        <v>42538</v>
      </c>
      <c r="F95">
        <v>1</v>
      </c>
      <c r="G95">
        <v>0</v>
      </c>
    </row>
    <row r="96" spans="1:7" x14ac:dyDescent="0.25">
      <c r="A96" s="7" t="s">
        <v>92</v>
      </c>
      <c r="B96" s="11">
        <v>18</v>
      </c>
      <c r="C96">
        <v>2</v>
      </c>
      <c r="D96" s="12">
        <v>0.24097222222222223</v>
      </c>
      <c r="E96" s="13">
        <v>42538</v>
      </c>
      <c r="F96">
        <v>1</v>
      </c>
      <c r="G96">
        <v>0</v>
      </c>
    </row>
    <row r="97" spans="1:7" x14ac:dyDescent="0.25">
      <c r="A97" s="7" t="s">
        <v>93</v>
      </c>
      <c r="B97" s="11">
        <v>19</v>
      </c>
      <c r="C97">
        <v>2</v>
      </c>
      <c r="D97" s="12">
        <v>0.31527777777777777</v>
      </c>
      <c r="E97" s="13">
        <v>42536</v>
      </c>
      <c r="F97">
        <v>1</v>
      </c>
      <c r="G97">
        <v>0</v>
      </c>
    </row>
    <row r="98" spans="1:7" x14ac:dyDescent="0.25">
      <c r="A98" s="7" t="s">
        <v>94</v>
      </c>
      <c r="B98" s="11">
        <v>20</v>
      </c>
      <c r="C98">
        <v>2</v>
      </c>
      <c r="D98" s="12">
        <v>0.32916666666666666</v>
      </c>
      <c r="E98" s="13">
        <v>42536</v>
      </c>
      <c r="F98">
        <v>1</v>
      </c>
      <c r="G98">
        <v>0</v>
      </c>
    </row>
    <row r="99" spans="1:7" x14ac:dyDescent="0.25">
      <c r="A99" s="7" t="s">
        <v>95</v>
      </c>
      <c r="B99" s="11">
        <v>21</v>
      </c>
      <c r="C99">
        <v>2</v>
      </c>
      <c r="D99" s="12">
        <v>0.34722222222222227</v>
      </c>
      <c r="E99" s="13">
        <v>42536</v>
      </c>
      <c r="F99">
        <v>1</v>
      </c>
      <c r="G99">
        <v>1</v>
      </c>
    </row>
    <row r="100" spans="1:7" x14ac:dyDescent="0.25">
      <c r="A100" s="7" t="s">
        <v>96</v>
      </c>
      <c r="B100" s="11">
        <v>22</v>
      </c>
      <c r="C100">
        <v>2</v>
      </c>
      <c r="D100" s="12">
        <v>0.34236111111111112</v>
      </c>
      <c r="E100" s="13">
        <v>42538</v>
      </c>
      <c r="F100">
        <v>1</v>
      </c>
      <c r="G100">
        <v>1</v>
      </c>
    </row>
    <row r="101" spans="1:7" x14ac:dyDescent="0.25">
      <c r="A101" s="7" t="s">
        <v>97</v>
      </c>
      <c r="B101" s="11">
        <v>23</v>
      </c>
      <c r="C101">
        <v>2</v>
      </c>
      <c r="D101" s="12">
        <v>0.33194444444444443</v>
      </c>
      <c r="E101" s="13">
        <v>42538</v>
      </c>
      <c r="F101">
        <v>1</v>
      </c>
      <c r="G101">
        <v>0</v>
      </c>
    </row>
    <row r="102" spans="1:7" x14ac:dyDescent="0.25">
      <c r="A102" s="7" t="s">
        <v>98</v>
      </c>
      <c r="B102" s="11">
        <v>24</v>
      </c>
      <c r="C102">
        <v>2</v>
      </c>
      <c r="D102" s="12">
        <v>0.27083333333333331</v>
      </c>
      <c r="E102" s="13">
        <v>42529</v>
      </c>
      <c r="F102">
        <v>1</v>
      </c>
      <c r="G102">
        <v>1</v>
      </c>
    </row>
    <row r="103" spans="1:7" x14ac:dyDescent="0.25">
      <c r="A103" s="7" t="s">
        <v>99</v>
      </c>
      <c r="B103" s="11">
        <v>25</v>
      </c>
      <c r="C103">
        <v>2</v>
      </c>
      <c r="D103" s="12">
        <v>0.25555555555555559</v>
      </c>
      <c r="E103" s="13">
        <v>42529</v>
      </c>
      <c r="F103">
        <v>1</v>
      </c>
      <c r="G103">
        <v>1</v>
      </c>
    </row>
    <row r="104" spans="1:7" x14ac:dyDescent="0.25">
      <c r="A104" s="7" t="s">
        <v>100</v>
      </c>
      <c r="B104" s="11">
        <v>26</v>
      </c>
      <c r="C104">
        <v>2</v>
      </c>
      <c r="D104" s="12">
        <v>0.28333333333333333</v>
      </c>
      <c r="E104" s="13">
        <v>42529</v>
      </c>
      <c r="F104">
        <v>1</v>
      </c>
      <c r="G104">
        <v>1</v>
      </c>
    </row>
    <row r="105" spans="1:7" x14ac:dyDescent="0.25">
      <c r="A105" s="7" t="s">
        <v>101</v>
      </c>
      <c r="B105" s="11">
        <v>27</v>
      </c>
      <c r="C105">
        <v>2</v>
      </c>
      <c r="D105" s="12">
        <v>0.26527777777777778</v>
      </c>
      <c r="E105" s="13">
        <v>42536</v>
      </c>
      <c r="F105">
        <v>1</v>
      </c>
      <c r="G105">
        <v>0</v>
      </c>
    </row>
    <row r="106" spans="1:7" x14ac:dyDescent="0.25">
      <c r="A106" s="7" t="s">
        <v>102</v>
      </c>
      <c r="B106" s="11">
        <v>28</v>
      </c>
      <c r="C106">
        <v>2</v>
      </c>
      <c r="D106" s="12">
        <v>0.25208333333333333</v>
      </c>
      <c r="E106" s="13">
        <v>42536</v>
      </c>
      <c r="F106">
        <v>1</v>
      </c>
      <c r="G106">
        <v>0</v>
      </c>
    </row>
    <row r="107" spans="1:7" x14ac:dyDescent="0.25">
      <c r="A107" s="7" t="s">
        <v>103</v>
      </c>
      <c r="B107" s="11">
        <v>29</v>
      </c>
      <c r="C107">
        <v>2</v>
      </c>
      <c r="D107" s="12">
        <v>0.23402777777777781</v>
      </c>
      <c r="E107" s="13">
        <v>42530</v>
      </c>
      <c r="F107">
        <v>0</v>
      </c>
      <c r="G107">
        <v>1</v>
      </c>
    </row>
    <row r="108" spans="1:7" x14ac:dyDescent="0.25">
      <c r="A108" s="7" t="s">
        <v>104</v>
      </c>
      <c r="B108" s="11">
        <v>30</v>
      </c>
      <c r="C108">
        <v>2</v>
      </c>
      <c r="D108" s="12">
        <v>0.31458333333333333</v>
      </c>
      <c r="E108" s="13">
        <v>42530</v>
      </c>
      <c r="F108">
        <v>0</v>
      </c>
      <c r="G108">
        <v>1</v>
      </c>
    </row>
    <row r="109" spans="1:7" x14ac:dyDescent="0.25">
      <c r="A109" s="7" t="s">
        <v>105</v>
      </c>
      <c r="B109" s="11">
        <v>31</v>
      </c>
      <c r="C109">
        <v>2</v>
      </c>
      <c r="D109" s="12">
        <v>0.30208333333333331</v>
      </c>
      <c r="E109" s="13">
        <v>42530</v>
      </c>
      <c r="F109">
        <v>0</v>
      </c>
      <c r="G109">
        <v>2</v>
      </c>
    </row>
    <row r="110" spans="1:7" x14ac:dyDescent="0.25">
      <c r="A110" s="7" t="s">
        <v>106</v>
      </c>
      <c r="B110" s="11">
        <v>32</v>
      </c>
      <c r="C110">
        <v>2</v>
      </c>
      <c r="D110" s="12">
        <v>0.33124999999999999</v>
      </c>
      <c r="E110" s="13">
        <v>42530</v>
      </c>
      <c r="F110">
        <v>0</v>
      </c>
      <c r="G110">
        <v>3</v>
      </c>
    </row>
    <row r="111" spans="1:7" x14ac:dyDescent="0.25">
      <c r="A111" s="7" t="s">
        <v>107</v>
      </c>
      <c r="B111" s="11">
        <v>33</v>
      </c>
      <c r="C111">
        <v>2</v>
      </c>
      <c r="D111" s="12">
        <v>0.32291666666666669</v>
      </c>
      <c r="E111" s="13">
        <v>42528</v>
      </c>
      <c r="F111">
        <v>1</v>
      </c>
      <c r="G111">
        <v>1</v>
      </c>
    </row>
    <row r="112" spans="1:7" x14ac:dyDescent="0.25">
      <c r="A112" s="7" t="s">
        <v>108</v>
      </c>
      <c r="B112" s="11">
        <v>34</v>
      </c>
      <c r="C112">
        <v>2</v>
      </c>
      <c r="D112" s="12">
        <v>0.3756944444444445</v>
      </c>
      <c r="E112" s="13">
        <v>42538</v>
      </c>
      <c r="F112">
        <v>1</v>
      </c>
      <c r="G112">
        <v>2</v>
      </c>
    </row>
    <row r="113" spans="1:7" x14ac:dyDescent="0.25">
      <c r="A113" s="7" t="s">
        <v>109</v>
      </c>
      <c r="B113" s="11">
        <v>35</v>
      </c>
      <c r="C113">
        <v>2</v>
      </c>
      <c r="D113" s="12">
        <v>0.25069444444444444</v>
      </c>
      <c r="E113" s="13">
        <v>42523</v>
      </c>
      <c r="F113">
        <v>1</v>
      </c>
      <c r="G113">
        <v>0</v>
      </c>
    </row>
    <row r="114" spans="1:7" x14ac:dyDescent="0.25">
      <c r="A114" s="7" t="s">
        <v>110</v>
      </c>
      <c r="B114" s="11">
        <v>36</v>
      </c>
      <c r="C114">
        <v>2</v>
      </c>
      <c r="D114" s="12">
        <v>0.39652777777777781</v>
      </c>
      <c r="E114" s="13">
        <v>42523</v>
      </c>
      <c r="F114">
        <v>1</v>
      </c>
      <c r="G114">
        <v>1</v>
      </c>
    </row>
    <row r="115" spans="1:7" x14ac:dyDescent="0.25">
      <c r="A115" s="7" t="s">
        <v>111</v>
      </c>
      <c r="B115" s="11">
        <v>37</v>
      </c>
      <c r="C115">
        <v>2</v>
      </c>
      <c r="D115" s="12">
        <v>0.25138888888888888</v>
      </c>
      <c r="E115" s="13">
        <v>42528</v>
      </c>
      <c r="F115">
        <v>0</v>
      </c>
      <c r="G115">
        <v>0</v>
      </c>
    </row>
    <row r="116" spans="1:7" x14ac:dyDescent="0.25">
      <c r="A116" s="7" t="s">
        <v>112</v>
      </c>
      <c r="B116" s="11">
        <v>38</v>
      </c>
      <c r="C116">
        <v>2</v>
      </c>
      <c r="D116" s="12">
        <v>0.23055555555555554</v>
      </c>
      <c r="E116" s="13">
        <v>42528</v>
      </c>
      <c r="F116">
        <v>4</v>
      </c>
      <c r="G116">
        <v>0</v>
      </c>
    </row>
    <row r="117" spans="1:7" x14ac:dyDescent="0.25">
      <c r="A117" s="7" t="s">
        <v>113</v>
      </c>
      <c r="B117" s="11">
        <v>39</v>
      </c>
      <c r="C117">
        <v>2</v>
      </c>
      <c r="D117" s="12">
        <v>0.29652777777777778</v>
      </c>
      <c r="E117" s="13">
        <v>42529</v>
      </c>
      <c r="F117">
        <v>1</v>
      </c>
      <c r="G117">
        <v>1</v>
      </c>
    </row>
    <row r="118" spans="1:7" x14ac:dyDescent="0.25">
      <c r="A118" s="7" t="s">
        <v>114</v>
      </c>
      <c r="B118" s="11">
        <v>40</v>
      </c>
      <c r="C118">
        <v>2</v>
      </c>
      <c r="D118" s="12">
        <v>0.23819444444444446</v>
      </c>
      <c r="E118" s="13">
        <v>42536</v>
      </c>
      <c r="F118">
        <v>1</v>
      </c>
      <c r="G118">
        <v>0</v>
      </c>
    </row>
    <row r="119" spans="1:7" x14ac:dyDescent="0.25">
      <c r="A119" s="7" t="s">
        <v>115</v>
      </c>
      <c r="B119" s="11">
        <v>41</v>
      </c>
      <c r="C119">
        <v>2</v>
      </c>
      <c r="D119" s="12">
        <v>0.40138888888888885</v>
      </c>
      <c r="E119" s="13">
        <v>42528</v>
      </c>
      <c r="F119">
        <v>1</v>
      </c>
      <c r="G119">
        <v>1</v>
      </c>
    </row>
    <row r="120" spans="1:7" x14ac:dyDescent="0.25">
      <c r="A120" s="8" t="s">
        <v>116</v>
      </c>
      <c r="B120" s="11">
        <v>42</v>
      </c>
      <c r="C120">
        <v>2</v>
      </c>
      <c r="D120" s="12">
        <v>0.27986111111111112</v>
      </c>
      <c r="E120" s="13">
        <v>42536</v>
      </c>
      <c r="F120">
        <v>1</v>
      </c>
      <c r="G120">
        <v>0</v>
      </c>
    </row>
    <row r="121" spans="1:7" x14ac:dyDescent="0.25">
      <c r="A121" s="8" t="s">
        <v>117</v>
      </c>
      <c r="B121" s="11">
        <v>43</v>
      </c>
      <c r="C121">
        <v>2</v>
      </c>
      <c r="D121" s="12">
        <v>0.29166666666666669</v>
      </c>
      <c r="E121" s="13">
        <v>42536</v>
      </c>
      <c r="F121">
        <v>1</v>
      </c>
      <c r="G121">
        <v>0</v>
      </c>
    </row>
    <row r="122" spans="1:7" x14ac:dyDescent="0.25">
      <c r="A122" s="8" t="s">
        <v>118</v>
      </c>
      <c r="B122" s="11">
        <v>44</v>
      </c>
      <c r="C122">
        <v>2</v>
      </c>
      <c r="D122" s="12">
        <v>0.2951388888888889</v>
      </c>
      <c r="E122" s="13">
        <v>42545</v>
      </c>
      <c r="F122">
        <v>0</v>
      </c>
      <c r="G122">
        <v>0</v>
      </c>
    </row>
    <row r="123" spans="1:7" x14ac:dyDescent="0.25">
      <c r="A123" s="8" t="s">
        <v>119</v>
      </c>
      <c r="B123" s="11">
        <v>45</v>
      </c>
      <c r="C123">
        <v>2</v>
      </c>
      <c r="D123" s="12">
        <v>0.27638888888888885</v>
      </c>
      <c r="E123" s="13">
        <v>42538</v>
      </c>
      <c r="F123">
        <v>1</v>
      </c>
      <c r="G123">
        <v>0</v>
      </c>
    </row>
    <row r="124" spans="1:7" x14ac:dyDescent="0.25">
      <c r="A124" s="8" t="s">
        <v>120</v>
      </c>
      <c r="B124" s="11">
        <v>46</v>
      </c>
      <c r="C124">
        <v>2</v>
      </c>
      <c r="D124" s="12">
        <v>0.29097222222222224</v>
      </c>
      <c r="E124" s="13">
        <v>42538</v>
      </c>
      <c r="F124">
        <v>1</v>
      </c>
      <c r="G124">
        <v>0</v>
      </c>
    </row>
    <row r="125" spans="1:7" x14ac:dyDescent="0.25">
      <c r="A125" s="8" t="s">
        <v>121</v>
      </c>
      <c r="B125" s="11">
        <v>47</v>
      </c>
      <c r="C125">
        <v>2</v>
      </c>
      <c r="D125" s="12">
        <v>0.30486111111111108</v>
      </c>
      <c r="E125" s="13">
        <v>42538</v>
      </c>
      <c r="F125">
        <v>1</v>
      </c>
      <c r="G125">
        <v>0</v>
      </c>
    </row>
    <row r="126" spans="1:7" x14ac:dyDescent="0.25">
      <c r="A126" s="8" t="s">
        <v>122</v>
      </c>
      <c r="B126" s="11">
        <v>48</v>
      </c>
      <c r="C126">
        <v>2</v>
      </c>
      <c r="D126" s="12">
        <v>0.25694444444444448</v>
      </c>
      <c r="E126" s="13">
        <v>42545</v>
      </c>
      <c r="F126">
        <v>0</v>
      </c>
      <c r="G126">
        <v>0</v>
      </c>
    </row>
    <row r="127" spans="1:7" x14ac:dyDescent="0.25">
      <c r="A127" s="8" t="s">
        <v>123</v>
      </c>
      <c r="B127" s="11">
        <v>49</v>
      </c>
      <c r="C127">
        <v>2</v>
      </c>
      <c r="D127" s="12">
        <v>0.24305555555555555</v>
      </c>
      <c r="E127" s="13">
        <v>42545</v>
      </c>
      <c r="F127">
        <v>0</v>
      </c>
      <c r="G127">
        <v>0</v>
      </c>
    </row>
    <row r="128" spans="1:7" x14ac:dyDescent="0.25">
      <c r="A128" s="8" t="s">
        <v>124</v>
      </c>
      <c r="B128" s="11">
        <v>50</v>
      </c>
      <c r="C128">
        <v>2</v>
      </c>
      <c r="D128" s="12">
        <v>0.30972222222222223</v>
      </c>
      <c r="E128" s="13">
        <v>42549</v>
      </c>
      <c r="F128">
        <v>2</v>
      </c>
      <c r="G128">
        <v>0</v>
      </c>
    </row>
    <row r="129" spans="1:7" x14ac:dyDescent="0.25">
      <c r="A129" s="8" t="s">
        <v>125</v>
      </c>
      <c r="B129" s="11">
        <v>51</v>
      </c>
      <c r="C129">
        <v>2</v>
      </c>
      <c r="D129" s="12">
        <v>0.26250000000000001</v>
      </c>
      <c r="E129" s="13">
        <v>42523</v>
      </c>
      <c r="F129">
        <v>1</v>
      </c>
      <c r="G129">
        <v>0</v>
      </c>
    </row>
    <row r="130" spans="1:7" x14ac:dyDescent="0.25">
      <c r="A130" s="8" t="s">
        <v>126</v>
      </c>
      <c r="B130" s="11">
        <v>52</v>
      </c>
      <c r="C130">
        <v>2</v>
      </c>
      <c r="D130" s="12">
        <v>0.33402777777777781</v>
      </c>
      <c r="E130" s="13">
        <v>42528</v>
      </c>
      <c r="F130">
        <v>0</v>
      </c>
      <c r="G130">
        <v>1</v>
      </c>
    </row>
    <row r="131" spans="1:7" x14ac:dyDescent="0.25">
      <c r="A131" s="8" t="s">
        <v>127</v>
      </c>
      <c r="B131" s="11">
        <v>53</v>
      </c>
      <c r="C131">
        <v>2</v>
      </c>
      <c r="D131" s="12">
        <v>0.35000000000000003</v>
      </c>
      <c r="E131" s="13">
        <v>42528</v>
      </c>
      <c r="F131">
        <v>0</v>
      </c>
      <c r="G131">
        <v>1</v>
      </c>
    </row>
    <row r="132" spans="1:7" x14ac:dyDescent="0.25">
      <c r="A132" s="8" t="s">
        <v>128</v>
      </c>
      <c r="B132" s="11">
        <v>54</v>
      </c>
      <c r="C132">
        <v>2</v>
      </c>
      <c r="D132" s="12">
        <v>0.23333333333333331</v>
      </c>
      <c r="E132" s="13">
        <v>42529</v>
      </c>
      <c r="F132">
        <v>0</v>
      </c>
      <c r="G132">
        <v>1</v>
      </c>
    </row>
    <row r="133" spans="1:7" x14ac:dyDescent="0.25">
      <c r="A133" s="8" t="s">
        <v>129</v>
      </c>
      <c r="B133" s="11">
        <v>55</v>
      </c>
      <c r="C133">
        <v>2</v>
      </c>
      <c r="D133" s="12">
        <v>0.32569444444444445</v>
      </c>
      <c r="E133" s="13">
        <v>42522</v>
      </c>
      <c r="F133">
        <v>1</v>
      </c>
      <c r="G133">
        <v>1</v>
      </c>
    </row>
    <row r="134" spans="1:7" x14ac:dyDescent="0.25">
      <c r="A134" s="8" t="s">
        <v>130</v>
      </c>
      <c r="B134" s="11">
        <v>57</v>
      </c>
      <c r="C134">
        <v>2</v>
      </c>
      <c r="D134" s="12">
        <v>0.37222222222222223</v>
      </c>
      <c r="E134" s="13">
        <v>42527</v>
      </c>
      <c r="F134">
        <v>1</v>
      </c>
      <c r="G134">
        <v>1</v>
      </c>
    </row>
    <row r="135" spans="1:7" x14ac:dyDescent="0.25">
      <c r="A135" s="8" t="s">
        <v>131</v>
      </c>
      <c r="B135" s="11">
        <v>58</v>
      </c>
      <c r="C135">
        <v>2</v>
      </c>
      <c r="D135" s="12">
        <v>0.39374999999999999</v>
      </c>
      <c r="E135" s="13">
        <v>42527</v>
      </c>
      <c r="F135">
        <v>2</v>
      </c>
      <c r="G135">
        <v>1</v>
      </c>
    </row>
    <row r="136" spans="1:7" x14ac:dyDescent="0.25">
      <c r="A136" s="8" t="s">
        <v>132</v>
      </c>
      <c r="B136" s="11">
        <v>59</v>
      </c>
      <c r="C136">
        <v>2</v>
      </c>
      <c r="D136" s="12">
        <v>0.29930555555555555</v>
      </c>
      <c r="E136" s="13">
        <v>42528</v>
      </c>
      <c r="F136">
        <v>0</v>
      </c>
      <c r="G136">
        <v>0</v>
      </c>
    </row>
    <row r="137" spans="1:7" x14ac:dyDescent="0.25">
      <c r="A137" s="8" t="s">
        <v>133</v>
      </c>
      <c r="B137" s="11">
        <v>60</v>
      </c>
      <c r="C137">
        <v>2</v>
      </c>
      <c r="D137" s="12">
        <v>0.27291666666666664</v>
      </c>
      <c r="E137" s="13">
        <v>42528</v>
      </c>
      <c r="F137">
        <v>0</v>
      </c>
      <c r="G137">
        <v>0</v>
      </c>
    </row>
    <row r="138" spans="1:7" x14ac:dyDescent="0.25">
      <c r="A138" s="8" t="s">
        <v>134</v>
      </c>
      <c r="B138" s="11">
        <v>61</v>
      </c>
      <c r="C138">
        <v>2</v>
      </c>
      <c r="D138" s="12">
        <v>0.25</v>
      </c>
      <c r="E138" s="13">
        <v>42527</v>
      </c>
      <c r="F138">
        <v>1</v>
      </c>
      <c r="G138">
        <v>0</v>
      </c>
    </row>
    <row r="139" spans="1:7" x14ac:dyDescent="0.25">
      <c r="A139" s="8" t="s">
        <v>135</v>
      </c>
      <c r="B139" s="11">
        <v>62</v>
      </c>
      <c r="C139">
        <v>2</v>
      </c>
      <c r="D139" s="12">
        <v>0.23194444444444443</v>
      </c>
      <c r="E139" s="13">
        <v>42527</v>
      </c>
      <c r="F139">
        <v>2</v>
      </c>
      <c r="G139">
        <v>0</v>
      </c>
    </row>
    <row r="140" spans="1:7" x14ac:dyDescent="0.25">
      <c r="A140" s="8" t="s">
        <v>136</v>
      </c>
      <c r="B140" s="11">
        <v>63</v>
      </c>
      <c r="C140">
        <v>2</v>
      </c>
      <c r="D140" s="12">
        <v>0.32569444444444445</v>
      </c>
      <c r="E140" s="13">
        <v>42527</v>
      </c>
      <c r="F140">
        <v>1</v>
      </c>
      <c r="G140">
        <v>1</v>
      </c>
    </row>
    <row r="141" spans="1:7" x14ac:dyDescent="0.25">
      <c r="A141" s="8" t="s">
        <v>137</v>
      </c>
      <c r="B141" s="11">
        <v>64</v>
      </c>
      <c r="C141">
        <v>2</v>
      </c>
      <c r="D141" s="12">
        <v>0.27847222222222223</v>
      </c>
      <c r="E141" s="13">
        <v>42527</v>
      </c>
      <c r="F141">
        <v>2</v>
      </c>
      <c r="G141">
        <v>0</v>
      </c>
    </row>
    <row r="142" spans="1:7" x14ac:dyDescent="0.25">
      <c r="A142" s="8" t="s">
        <v>138</v>
      </c>
      <c r="B142" s="11">
        <v>65</v>
      </c>
      <c r="C142">
        <v>2</v>
      </c>
      <c r="D142" s="12">
        <v>0.2951388888888889</v>
      </c>
      <c r="E142" s="13">
        <v>42527</v>
      </c>
      <c r="F142">
        <v>2</v>
      </c>
      <c r="G142">
        <v>1</v>
      </c>
    </row>
    <row r="143" spans="1:7" x14ac:dyDescent="0.25">
      <c r="A143" s="8" t="s">
        <v>163</v>
      </c>
      <c r="B143" s="11">
        <v>66</v>
      </c>
      <c r="C143">
        <v>2</v>
      </c>
      <c r="D143" s="12">
        <v>0.34722222222222227</v>
      </c>
      <c r="E143" s="13">
        <v>42527</v>
      </c>
      <c r="F143">
        <v>1</v>
      </c>
      <c r="G143">
        <v>1</v>
      </c>
    </row>
    <row r="144" spans="1:7" x14ac:dyDescent="0.25">
      <c r="A144" s="8" t="s">
        <v>140</v>
      </c>
      <c r="B144" s="11">
        <v>68</v>
      </c>
      <c r="C144">
        <v>2</v>
      </c>
      <c r="D144" s="12">
        <v>0.36249999999999999</v>
      </c>
      <c r="E144" s="13">
        <v>42523</v>
      </c>
      <c r="F144">
        <v>1</v>
      </c>
      <c r="G144">
        <v>1</v>
      </c>
    </row>
    <row r="145" spans="1:7" x14ac:dyDescent="0.25">
      <c r="A145" s="8" t="s">
        <v>141</v>
      </c>
      <c r="B145" s="11">
        <v>69</v>
      </c>
      <c r="C145">
        <v>2</v>
      </c>
      <c r="D145" s="12">
        <v>0.3743055555555555</v>
      </c>
      <c r="E145" s="13">
        <v>42523</v>
      </c>
      <c r="F145">
        <v>1</v>
      </c>
      <c r="G145">
        <v>1</v>
      </c>
    </row>
    <row r="146" spans="1:7" x14ac:dyDescent="0.25">
      <c r="A146" s="8" t="s">
        <v>142</v>
      </c>
      <c r="B146" s="11">
        <v>70</v>
      </c>
      <c r="C146">
        <v>2</v>
      </c>
      <c r="D146" s="12">
        <v>0.28194444444444444</v>
      </c>
      <c r="E146" s="13">
        <v>42523</v>
      </c>
      <c r="F146">
        <v>1</v>
      </c>
      <c r="G146">
        <v>0</v>
      </c>
    </row>
    <row r="147" spans="1:7" x14ac:dyDescent="0.25">
      <c r="A147" s="8" t="s">
        <v>143</v>
      </c>
      <c r="B147" s="11">
        <v>71</v>
      </c>
      <c r="C147">
        <v>2</v>
      </c>
      <c r="D147" s="12">
        <v>0.3</v>
      </c>
      <c r="E147" s="13">
        <v>42523</v>
      </c>
      <c r="F147">
        <v>0</v>
      </c>
      <c r="G147">
        <v>1</v>
      </c>
    </row>
    <row r="148" spans="1:7" x14ac:dyDescent="0.25">
      <c r="A148" s="8" t="s">
        <v>144</v>
      </c>
      <c r="B148" s="11">
        <v>72</v>
      </c>
      <c r="C148">
        <v>2</v>
      </c>
      <c r="D148" s="12">
        <v>0.31875000000000003</v>
      </c>
      <c r="E148" s="13">
        <v>42523</v>
      </c>
      <c r="F148">
        <v>0</v>
      </c>
      <c r="G148">
        <v>1</v>
      </c>
    </row>
    <row r="149" spans="1:7" x14ac:dyDescent="0.25">
      <c r="A149" s="8" t="s">
        <v>145</v>
      </c>
      <c r="B149" s="11">
        <v>73</v>
      </c>
      <c r="C149">
        <v>2</v>
      </c>
      <c r="D149" s="12">
        <v>0.33958333333333335</v>
      </c>
      <c r="E149" s="13">
        <v>42523</v>
      </c>
      <c r="F149">
        <v>1</v>
      </c>
      <c r="G149">
        <v>1</v>
      </c>
    </row>
    <row r="150" spans="1:7" x14ac:dyDescent="0.25">
      <c r="A150" s="9" t="s">
        <v>146</v>
      </c>
      <c r="B150" s="11">
        <v>74</v>
      </c>
      <c r="C150">
        <v>2</v>
      </c>
      <c r="D150" s="12">
        <v>0.22638888888888889</v>
      </c>
      <c r="E150" s="13">
        <v>42523</v>
      </c>
      <c r="F150">
        <v>1</v>
      </c>
      <c r="G150">
        <v>0</v>
      </c>
    </row>
    <row r="151" spans="1:7" x14ac:dyDescent="0.25">
      <c r="A151" s="9" t="s">
        <v>147</v>
      </c>
      <c r="B151" s="11">
        <v>75</v>
      </c>
      <c r="C151">
        <v>2</v>
      </c>
      <c r="D151" s="12">
        <v>0.39305555555555555</v>
      </c>
      <c r="E151" s="13">
        <v>42522</v>
      </c>
      <c r="F151">
        <v>1</v>
      </c>
      <c r="G151">
        <v>2</v>
      </c>
    </row>
    <row r="152" spans="1:7" x14ac:dyDescent="0.25">
      <c r="A152" s="9" t="s">
        <v>148</v>
      </c>
      <c r="B152" s="11">
        <v>76</v>
      </c>
      <c r="C152">
        <v>2</v>
      </c>
      <c r="D152" s="12">
        <v>0.37638888888888888</v>
      </c>
      <c r="E152" s="13">
        <v>42522</v>
      </c>
      <c r="F152">
        <v>1</v>
      </c>
      <c r="G152">
        <v>1</v>
      </c>
    </row>
    <row r="153" spans="1:7" x14ac:dyDescent="0.25">
      <c r="A153" s="9" t="s">
        <v>149</v>
      </c>
      <c r="B153" s="11">
        <v>77</v>
      </c>
      <c r="C153">
        <v>2</v>
      </c>
      <c r="D153" s="12">
        <v>0.35694444444444445</v>
      </c>
      <c r="E153" s="13">
        <v>42522</v>
      </c>
      <c r="F153">
        <v>1</v>
      </c>
      <c r="G153">
        <v>0</v>
      </c>
    </row>
    <row r="154" spans="1:7" x14ac:dyDescent="0.25">
      <c r="A154" s="9" t="s">
        <v>150</v>
      </c>
      <c r="B154" s="11">
        <v>78</v>
      </c>
      <c r="C154">
        <v>2</v>
      </c>
      <c r="D154" s="12">
        <v>0.27916666666666667</v>
      </c>
      <c r="E154" s="13">
        <v>42522</v>
      </c>
      <c r="F154">
        <v>1</v>
      </c>
      <c r="G154">
        <v>0</v>
      </c>
    </row>
    <row r="155" spans="1:7" x14ac:dyDescent="0.25">
      <c r="A155" s="9" t="s">
        <v>151</v>
      </c>
      <c r="B155" s="11">
        <v>79</v>
      </c>
      <c r="C155">
        <v>2</v>
      </c>
      <c r="D155" s="12">
        <v>0.2590277777777778</v>
      </c>
      <c r="E155" s="13">
        <v>42522</v>
      </c>
      <c r="F155">
        <v>2</v>
      </c>
      <c r="G1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6" max="6" width="10.375" bestFit="1" customWidth="1"/>
    <col min="7" max="7" width="11.875" style="18" bestFit="1" customWidth="1"/>
    <col min="8" max="8" width="11" style="18" bestFit="1" customWidth="1"/>
    <col min="9" max="9" width="16.25" style="18" bestFit="1" customWidth="1"/>
    <col min="10" max="10" width="11.75" style="18" bestFit="1" customWidth="1"/>
    <col min="11" max="11" width="12.375" style="18" bestFit="1" customWidth="1"/>
    <col min="12" max="12" width="15.25" style="18" bestFit="1" customWidth="1"/>
    <col min="13" max="13" width="11.75" style="18" bestFit="1" customWidth="1"/>
    <col min="14" max="14" width="12.625" style="18" bestFit="1" customWidth="1"/>
    <col min="15" max="15" width="12.625" style="18" customWidth="1"/>
    <col min="16" max="16" width="14.625" style="18" bestFit="1" customWidth="1"/>
    <col min="17" max="18" width="12" style="18" bestFit="1" customWidth="1"/>
    <col min="19" max="19" width="11.125" style="18" bestFit="1" customWidth="1"/>
    <col min="20" max="20" width="13.75" style="18" bestFit="1" customWidth="1"/>
    <col min="21" max="21" width="12" style="18" bestFit="1" customWidth="1"/>
    <col min="22" max="22" width="13.75" style="18" bestFit="1" customWidth="1"/>
    <col min="23" max="23" width="13.25" style="18" bestFit="1" customWidth="1"/>
    <col min="24" max="24" width="10.625" style="18" bestFit="1" customWidth="1"/>
    <col min="25" max="26" width="9.125" style="18"/>
    <col min="27" max="27" width="8" style="18" bestFit="1" customWidth="1"/>
    <col min="28" max="31" width="12" style="18" bestFit="1" customWidth="1"/>
    <col min="32" max="35" width="9.125" style="18"/>
    <col min="36" max="36" width="13.25" style="18" bestFit="1" customWidth="1"/>
    <col min="37" max="44" width="9.125" style="18"/>
    <col min="45" max="45" width="13.75" bestFit="1" customWidth="1"/>
    <col min="46" max="46" width="12.625" bestFit="1" customWidth="1"/>
  </cols>
  <sheetData>
    <row r="1" spans="1:46" s="10" customFormat="1" x14ac:dyDescent="0.25">
      <c r="A1" s="10" t="s">
        <v>0</v>
      </c>
      <c r="B1" s="10" t="s">
        <v>1</v>
      </c>
      <c r="C1" s="10" t="s">
        <v>3</v>
      </c>
      <c r="D1" s="10" t="s">
        <v>4</v>
      </c>
      <c r="E1" s="10" t="s">
        <v>171</v>
      </c>
      <c r="F1" s="10" t="s">
        <v>173</v>
      </c>
      <c r="G1" s="14" t="s">
        <v>178</v>
      </c>
      <c r="H1" s="14" t="s">
        <v>179</v>
      </c>
      <c r="I1" s="14" t="s">
        <v>180</v>
      </c>
      <c r="J1" s="14" t="s">
        <v>181</v>
      </c>
      <c r="K1" s="14" t="s">
        <v>182</v>
      </c>
      <c r="L1" s="14" t="s">
        <v>183</v>
      </c>
      <c r="M1" s="14" t="s">
        <v>184</v>
      </c>
      <c r="N1" s="14" t="s">
        <v>185</v>
      </c>
      <c r="O1" s="27" t="s">
        <v>217</v>
      </c>
      <c r="P1" s="14" t="s">
        <v>186</v>
      </c>
      <c r="Q1" s="14" t="s">
        <v>187</v>
      </c>
      <c r="R1" s="14" t="s">
        <v>188</v>
      </c>
      <c r="S1" s="14" t="s">
        <v>189</v>
      </c>
      <c r="T1" s="14" t="s">
        <v>190</v>
      </c>
      <c r="U1" s="14" t="s">
        <v>191</v>
      </c>
      <c r="V1" s="14" t="s">
        <v>192</v>
      </c>
      <c r="W1" s="14" t="s">
        <v>193</v>
      </c>
      <c r="X1" s="14" t="s">
        <v>194</v>
      </c>
      <c r="Y1" s="14" t="s">
        <v>195</v>
      </c>
      <c r="Z1" s="14" t="s">
        <v>196</v>
      </c>
      <c r="AA1" s="14" t="s">
        <v>197</v>
      </c>
      <c r="AB1" s="14" t="s">
        <v>198</v>
      </c>
      <c r="AC1" s="14" t="s">
        <v>199</v>
      </c>
      <c r="AD1" s="14" t="s">
        <v>200</v>
      </c>
      <c r="AE1" s="14" t="s">
        <v>201</v>
      </c>
      <c r="AF1" s="14" t="s">
        <v>202</v>
      </c>
      <c r="AG1" s="14" t="s">
        <v>203</v>
      </c>
      <c r="AH1" s="14" t="s">
        <v>204</v>
      </c>
      <c r="AI1" s="14" t="s">
        <v>205</v>
      </c>
      <c r="AJ1" s="14" t="s">
        <v>206</v>
      </c>
      <c r="AK1" s="14" t="s">
        <v>207</v>
      </c>
      <c r="AL1" s="14" t="s">
        <v>208</v>
      </c>
      <c r="AM1" s="14" t="s">
        <v>209</v>
      </c>
      <c r="AN1" s="14" t="s">
        <v>210</v>
      </c>
      <c r="AO1" s="14" t="s">
        <v>211</v>
      </c>
      <c r="AP1" s="14" t="s">
        <v>212</v>
      </c>
      <c r="AQ1" s="14" t="s">
        <v>213</v>
      </c>
      <c r="AR1" s="14" t="s">
        <v>214</v>
      </c>
      <c r="AS1" s="10" t="s">
        <v>215</v>
      </c>
      <c r="AT1" s="10" t="s">
        <v>216</v>
      </c>
    </row>
    <row r="2" spans="1:46" x14ac:dyDescent="0.25">
      <c r="A2" s="7" t="s">
        <v>75</v>
      </c>
      <c r="B2" s="11">
        <v>1</v>
      </c>
      <c r="C2">
        <v>1</v>
      </c>
      <c r="D2">
        <v>0</v>
      </c>
      <c r="E2">
        <v>4</v>
      </c>
      <c r="F2">
        <v>3</v>
      </c>
      <c r="G2" s="15">
        <f>2/20</f>
        <v>0.1</v>
      </c>
      <c r="H2" s="15">
        <f>8/20</f>
        <v>0.4</v>
      </c>
      <c r="I2" s="15">
        <f>6/20</f>
        <v>0.3</v>
      </c>
      <c r="J2" s="15">
        <f>2/20</f>
        <v>0.1</v>
      </c>
      <c r="K2" s="15">
        <v>0</v>
      </c>
      <c r="L2" s="15">
        <v>0</v>
      </c>
      <c r="M2" s="15">
        <f>1/20</f>
        <v>0.05</v>
      </c>
      <c r="N2" s="15">
        <f>1/20</f>
        <v>0.05</v>
      </c>
      <c r="O2" s="15">
        <v>0</v>
      </c>
      <c r="P2" s="16">
        <v>85.09</v>
      </c>
      <c r="Q2" s="16">
        <f>AVERAGE(59.69,55.245,80.01,99.06)</f>
        <v>73.501249999999999</v>
      </c>
      <c r="R2" s="16">
        <f>AVERAGE(109.22,129.54,69.215,50.8)</f>
        <v>89.693750000000009</v>
      </c>
      <c r="S2" s="16">
        <f>AVERAGE(86.36,38.735,91.44,73.66)</f>
        <v>72.548749999999998</v>
      </c>
      <c r="T2" s="16">
        <f>AVERAGE(59.69,109.22,86.36)</f>
        <v>85.089999999999989</v>
      </c>
      <c r="U2" s="16">
        <f>AVERAGE(55.245,129.54,38.735)</f>
        <v>74.506666666666661</v>
      </c>
      <c r="V2" s="16">
        <f>AVERAGE(80.01,69.215,91.44)</f>
        <v>80.221666666666678</v>
      </c>
      <c r="W2" s="16">
        <f>AVERAGE(99.06,50.8,73.66)</f>
        <v>74.506666666666675</v>
      </c>
      <c r="X2" s="16">
        <f>2.54*1.25</f>
        <v>3.1749999999999998</v>
      </c>
      <c r="Y2" s="16">
        <f>2.54*(AVERAGE(0,1.25,1.25,1))</f>
        <v>2.2225000000000001</v>
      </c>
      <c r="Z2" s="16">
        <f>2.54*(AVERAGE(1.5,1.75,2.5,1.5))</f>
        <v>4.6037499999999998</v>
      </c>
      <c r="AA2" s="16">
        <f>2.54*(AVERAGE(0,1.75,0,3))</f>
        <v>3.0162499999999999</v>
      </c>
      <c r="AB2" s="16">
        <f>2.54*(AVERAGE(0,1.5,0))</f>
        <v>1.27</v>
      </c>
      <c r="AC2" s="16">
        <f>2.54*(AVERAGE(1.25,1.75,1.75))</f>
        <v>4.0216666666666665</v>
      </c>
      <c r="AD2" s="16">
        <f>2.54*(AVERAGE(1.25,2.5,0))</f>
        <v>3.1749999999999998</v>
      </c>
      <c r="AE2" s="16">
        <f>2.54*(AVERAGE(1,1.5,3))</f>
        <v>4.6566666666666663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24">
        <f>AVERAGE(7,8,9,8)</f>
        <v>8</v>
      </c>
      <c r="AL2" s="24">
        <f>AVERAGE(7,10,9,7)</f>
        <v>8.25</v>
      </c>
      <c r="AM2" s="24">
        <f>AVERAGE(10,10,9,4)</f>
        <v>8.25</v>
      </c>
      <c r="AN2" s="24">
        <f>AVERAGE(7,10,6,4)</f>
        <v>6.75</v>
      </c>
      <c r="AO2" s="24">
        <f>AVERAGE(7,7,10,7)</f>
        <v>7.75</v>
      </c>
      <c r="AP2" s="24">
        <f>AVERAGE(8,10,10,10)</f>
        <v>9.5</v>
      </c>
      <c r="AQ2" s="24">
        <f>AVERAGE(9,9,9,6)</f>
        <v>8.25</v>
      </c>
      <c r="AR2" s="24">
        <f>AVERAGE(8,7,4,4)</f>
        <v>5.75</v>
      </c>
      <c r="AS2">
        <v>261</v>
      </c>
      <c r="AT2">
        <v>77</v>
      </c>
    </row>
    <row r="3" spans="1:46" x14ac:dyDescent="0.25">
      <c r="A3" s="7" t="s">
        <v>76</v>
      </c>
      <c r="B3" s="11">
        <v>2</v>
      </c>
      <c r="C3">
        <v>1</v>
      </c>
      <c r="D3">
        <v>0</v>
      </c>
      <c r="E3">
        <v>1</v>
      </c>
      <c r="F3">
        <v>1</v>
      </c>
      <c r="G3" s="15">
        <v>0</v>
      </c>
      <c r="H3" s="15">
        <f>14/20</f>
        <v>0.7</v>
      </c>
      <c r="I3" s="15">
        <f>1/20</f>
        <v>0.05</v>
      </c>
      <c r="J3" s="15">
        <f>3/20</f>
        <v>0.15</v>
      </c>
      <c r="K3" s="15">
        <v>0</v>
      </c>
      <c r="L3" s="15">
        <v>0</v>
      </c>
      <c r="M3" s="15">
        <v>0</v>
      </c>
      <c r="N3" s="15">
        <f>2/20</f>
        <v>0.1</v>
      </c>
      <c r="O3" s="15">
        <v>0</v>
      </c>
      <c r="P3" s="16">
        <v>40.64</v>
      </c>
      <c r="Q3" s="16">
        <f>AVERAGE(57.15,68.58,43.18,69.85)</f>
        <v>59.69</v>
      </c>
      <c r="R3" s="16">
        <f>AVERAGE(52.07,67.945,54.61,68.58)</f>
        <v>60.801249999999996</v>
      </c>
      <c r="S3" s="16">
        <f>AVERAGE(63.5,73.025,45.72,73.66)</f>
        <v>63.97625</v>
      </c>
      <c r="T3" s="16">
        <f>AVERAGE(57.15,52.07,63.5)</f>
        <v>57.573333333333331</v>
      </c>
      <c r="U3" s="16">
        <f>AVERAGE(68.58,67.945,73.025)</f>
        <v>69.849999999999994</v>
      </c>
      <c r="V3" s="16">
        <f>AVERAGE(43.18,54.61,45.72)</f>
        <v>47.836666666666666</v>
      </c>
      <c r="W3" s="16">
        <f>AVERAGE(69.85,68.58,73.66)</f>
        <v>70.696666666666673</v>
      </c>
      <c r="X3" s="16">
        <v>2.54</v>
      </c>
      <c r="Y3" s="16">
        <f>2.54*(AVERAGE(1.5,0,1,2))</f>
        <v>2.8574999999999999</v>
      </c>
      <c r="Z3" s="16">
        <f>2.54*(AVERAGE(0,0,2,0))</f>
        <v>1.27</v>
      </c>
      <c r="AA3" s="16">
        <f>2.54*(AVERAGE(2,0.5,1,0.5))</f>
        <v>2.54</v>
      </c>
      <c r="AB3" s="16">
        <f>2.54*(AVERAGE(1.5,0,2))</f>
        <v>2.9633333333333334</v>
      </c>
      <c r="AC3" s="16">
        <f>2.54*(AVERAGE(0,0,0.5))</f>
        <v>0.42333333333333334</v>
      </c>
      <c r="AD3" s="16">
        <f>2.54*(AVERAGE(1,2,1))</f>
        <v>3.3866666666666667</v>
      </c>
      <c r="AE3" s="16">
        <f>2.54*(AVERAGE(2,0,0.5))</f>
        <v>2.1166666666666667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24">
        <f>AVERAGE(5,4,4,3)</f>
        <v>4</v>
      </c>
      <c r="AL3" s="24">
        <f>AVERAGE(6,4,4,5)</f>
        <v>4.75</v>
      </c>
      <c r="AM3" s="24">
        <f>AVERAGE(6,4,4,7)</f>
        <v>5.25</v>
      </c>
      <c r="AN3" s="24">
        <f>AVERAGE(5,4,4,6)</f>
        <v>4.75</v>
      </c>
      <c r="AO3" s="24">
        <f>AVERAGE(5,6,6,5)</f>
        <v>5.5</v>
      </c>
      <c r="AP3" s="24">
        <v>4</v>
      </c>
      <c r="AQ3" s="24">
        <v>4</v>
      </c>
      <c r="AR3" s="24">
        <f>AVERAGE(3,5,7,6)</f>
        <v>5.25</v>
      </c>
      <c r="AS3">
        <v>541</v>
      </c>
      <c r="AT3">
        <v>143</v>
      </c>
    </row>
    <row r="4" spans="1:46" x14ac:dyDescent="0.25">
      <c r="A4" s="7" t="s">
        <v>77</v>
      </c>
      <c r="B4" s="11">
        <v>3</v>
      </c>
      <c r="C4">
        <v>1</v>
      </c>
      <c r="D4">
        <v>0</v>
      </c>
      <c r="E4">
        <v>2</v>
      </c>
      <c r="F4">
        <v>2</v>
      </c>
      <c r="G4" s="15">
        <f>4/20</f>
        <v>0.2</v>
      </c>
      <c r="H4" s="15">
        <f>9/20</f>
        <v>0.45</v>
      </c>
      <c r="I4" s="15">
        <f>4/20</f>
        <v>0.2</v>
      </c>
      <c r="J4" s="15">
        <f>3/20</f>
        <v>0.15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6">
        <f>2.54*54.25</f>
        <v>137.79500000000002</v>
      </c>
      <c r="Q4" s="16">
        <f>2.54*(AVERAGE(34,39,54,33.25))</f>
        <v>101.75875000000001</v>
      </c>
      <c r="R4" s="16">
        <f>2.54*(AVERAGE(35.5,49,62,36.5))</f>
        <v>116.205</v>
      </c>
      <c r="S4" s="16">
        <f>2.54*(AVERAGE(36.5,28,33.5,49.5))</f>
        <v>93.662499999999994</v>
      </c>
      <c r="T4" s="16">
        <f>2.54*(AVERAGE(34,35.5,36.5))</f>
        <v>89.74666666666667</v>
      </c>
      <c r="U4" s="16">
        <f>2.54*(AVERAGE(39,49,28))</f>
        <v>98.213333333333324</v>
      </c>
      <c r="V4" s="16">
        <f>2.54*(AVERAGE(54,62,33.5))</f>
        <v>126.57666666666667</v>
      </c>
      <c r="W4" s="16">
        <f>2.54*(AVERAGE(33.25,36.5,49.5))</f>
        <v>100.965</v>
      </c>
      <c r="X4" s="16">
        <f>2.54*1.5</f>
        <v>3.81</v>
      </c>
      <c r="Y4" s="16">
        <f>2.54*(AVERAGE(4.75,4,3,1))</f>
        <v>8.0962499999999995</v>
      </c>
      <c r="Z4" s="16">
        <f>2.54*(AVERAGE(3.25,3.5,5.5,1.25))</f>
        <v>8.5724999999999998</v>
      </c>
      <c r="AA4" s="16">
        <f>2.54*(AVERAGE(6,5.5,4.5,0))</f>
        <v>10.16</v>
      </c>
      <c r="AB4" s="16">
        <f>2.54*(AVERAGE(4.75,3.25,6))</f>
        <v>11.853333333333333</v>
      </c>
      <c r="AC4" s="16">
        <f>2.54*(AVERAGE(4,3.5,5.5))</f>
        <v>11.006666666666666</v>
      </c>
      <c r="AD4" s="16">
        <f>2.54*(AVERAGE(3,5.5,4.5))</f>
        <v>11.006666666666666</v>
      </c>
      <c r="AE4" s="16">
        <f>2.54*(AVERAGE(1,1.25,0))</f>
        <v>1.905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24">
        <f>AVERAGE(7,9,10,9)</f>
        <v>8.75</v>
      </c>
      <c r="AL4" s="24">
        <f>AVERAGE(8,9,10,9)</f>
        <v>9</v>
      </c>
      <c r="AM4" s="24">
        <f>AVERAGE(8,8,9,7)</f>
        <v>8</v>
      </c>
      <c r="AN4" s="24">
        <f>AVERAGE(8,7,8,8)</f>
        <v>7.75</v>
      </c>
      <c r="AO4" s="24">
        <f>AVERAGE(7,8,8,8)</f>
        <v>7.75</v>
      </c>
      <c r="AP4" s="24">
        <f>AVERAGE(9,9,8,7)</f>
        <v>8.25</v>
      </c>
      <c r="AQ4" s="24">
        <f>AVERAGE(10,10,9,8)</f>
        <v>9.25</v>
      </c>
      <c r="AR4" s="24">
        <f>AVERAGE(9,9,7,8)</f>
        <v>8.25</v>
      </c>
      <c r="AS4">
        <v>128</v>
      </c>
      <c r="AT4">
        <v>0</v>
      </c>
    </row>
    <row r="5" spans="1:46" x14ac:dyDescent="0.25">
      <c r="A5" s="7" t="s">
        <v>78</v>
      </c>
      <c r="B5" s="11">
        <v>4</v>
      </c>
      <c r="C5">
        <v>1</v>
      </c>
      <c r="D5">
        <v>0</v>
      </c>
      <c r="E5">
        <v>2</v>
      </c>
      <c r="F5">
        <v>2</v>
      </c>
      <c r="G5" s="15">
        <f>4/20</f>
        <v>0.2</v>
      </c>
      <c r="H5" s="15">
        <f>8/20</f>
        <v>0.4</v>
      </c>
      <c r="I5" s="15">
        <f>8/20</f>
        <v>0.4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6">
        <f>2.54*35.5</f>
        <v>90.17</v>
      </c>
      <c r="Q5" s="16">
        <f>2.54*(AVERAGE(24.75,29,30,24))</f>
        <v>68.421250000000001</v>
      </c>
      <c r="R5" s="16">
        <f>2.54*(AVERAGE(22,49.5,38.25,35.5))</f>
        <v>92.233750000000001</v>
      </c>
      <c r="S5" s="16">
        <f>2.54*(AVERAGE(32.75,23,24,38.5))</f>
        <v>75.088750000000005</v>
      </c>
      <c r="T5" s="16">
        <f>2.54*(AVERAGE(24.75,22,32.75))</f>
        <v>67.31</v>
      </c>
      <c r="U5" s="16">
        <f>2.54*(AVERAGE(29,49.5,23))</f>
        <v>85.936666666666667</v>
      </c>
      <c r="V5" s="16">
        <f>2.54*(AVERAGE(30,38.25,24))</f>
        <v>78.105000000000004</v>
      </c>
      <c r="W5" s="16">
        <f>2.54*(AVERAGE(24,35.5,38.5))</f>
        <v>82.973333333333329</v>
      </c>
      <c r="X5" s="16">
        <f>2.54*3.5</f>
        <v>8.89</v>
      </c>
      <c r="Y5" s="16">
        <f>2.54*(AVERAGE(1.75,0.5,3,3.5))</f>
        <v>5.5562500000000004</v>
      </c>
      <c r="Z5" s="16">
        <f>2.54*(AVERAGE(3,0.5,1,1))</f>
        <v>3.4925000000000002</v>
      </c>
      <c r="AA5" s="16">
        <f>2.54*(AVERAGE(0,0,7,1))</f>
        <v>5.08</v>
      </c>
      <c r="AB5" s="16">
        <f>2.54*(AVERAGE(1.75,3,0))</f>
        <v>4.0216666666666665</v>
      </c>
      <c r="AC5" s="16">
        <f>2.54*(AVERAGE(0.5,0.5,0))</f>
        <v>0.84666666666666668</v>
      </c>
      <c r="AD5" s="16">
        <f>2.54*(AVERAGE(3,1,7))</f>
        <v>9.3133333333333326</v>
      </c>
      <c r="AE5" s="16">
        <f>2.54*(AVERAGE(3.5,1,1))</f>
        <v>4.6566666666666663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24">
        <f>AVERAGE(7,8,5,7)</f>
        <v>6.75</v>
      </c>
      <c r="AL5" s="24">
        <f>AVERAGE(6,9,8,6)</f>
        <v>7.25</v>
      </c>
      <c r="AM5" s="24">
        <f>AVERAGE(8,10,6,7,)</f>
        <v>6.2</v>
      </c>
      <c r="AN5" s="24">
        <f>AVERAGE(7,6,6,8)</f>
        <v>6.75</v>
      </c>
      <c r="AO5" s="24">
        <f>AVERAGE(7,6,8,7)</f>
        <v>7</v>
      </c>
      <c r="AP5" s="24">
        <f>AVERAGE(8,9,10,6)</f>
        <v>8.25</v>
      </c>
      <c r="AQ5" s="24">
        <f>AVERAGE(5,8,6,6)</f>
        <v>6.25</v>
      </c>
      <c r="AR5" s="24">
        <f>AVERAGE(7,6,7,8)</f>
        <v>7</v>
      </c>
      <c r="AS5">
        <v>1033</v>
      </c>
      <c r="AT5">
        <v>266</v>
      </c>
    </row>
    <row r="6" spans="1:46" x14ac:dyDescent="0.25">
      <c r="A6" s="7" t="s">
        <v>79</v>
      </c>
      <c r="B6" s="11">
        <v>5</v>
      </c>
      <c r="C6">
        <v>1</v>
      </c>
      <c r="D6">
        <v>0</v>
      </c>
      <c r="E6">
        <v>2</v>
      </c>
      <c r="F6">
        <v>2</v>
      </c>
      <c r="G6" s="15">
        <f>2/20</f>
        <v>0.1</v>
      </c>
      <c r="H6" s="15">
        <f>7/20</f>
        <v>0.35</v>
      </c>
      <c r="I6" s="15">
        <f>9/20</f>
        <v>0.45</v>
      </c>
      <c r="J6" s="15">
        <f>2/20</f>
        <v>0.1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6">
        <f>2.54*16.5</f>
        <v>41.910000000000004</v>
      </c>
      <c r="Q6" s="16">
        <f>2.54*(AVERAGE(29,18,20,27.75))</f>
        <v>60.166249999999998</v>
      </c>
      <c r="R6" s="16">
        <f>2.54*(AVERAGE(7.5,21,27,46.5))</f>
        <v>64.77</v>
      </c>
      <c r="S6" s="16">
        <f>2.54*(AVERAGE(28,12.5,61.5,21.5))</f>
        <v>78.422499999999999</v>
      </c>
      <c r="T6" s="16">
        <f>2.54*(AVERAGE(29,7.5,28))</f>
        <v>54.61</v>
      </c>
      <c r="U6" s="16">
        <f>2.54*(AVERAGE(18,21,12.5))</f>
        <v>43.603333333333339</v>
      </c>
      <c r="V6" s="16">
        <f>2.54*(AVERAGE(20,27,61.5))</f>
        <v>91.86333333333333</v>
      </c>
      <c r="W6" s="16">
        <f>2.54*(AVERAGE(27.75,46.5,21.5))</f>
        <v>81.068333333333342</v>
      </c>
      <c r="X6" s="16">
        <f>2.54*2.25</f>
        <v>5.7149999999999999</v>
      </c>
      <c r="Y6" s="16">
        <f>2.54*(AVERAGE(2.25,0.5,1,2))</f>
        <v>3.6512500000000001</v>
      </c>
      <c r="Z6" s="16">
        <f>2.54*(AVERAGE(1.5,2,2.5,2))</f>
        <v>5.08</v>
      </c>
      <c r="AA6" s="16">
        <f>2.54*(AVERAGE(1,1.5,0,1.25))</f>
        <v>2.3812500000000001</v>
      </c>
      <c r="AB6" s="16">
        <f>2.54*(AVERAGE(2.25,1.5,1))</f>
        <v>4.0216666666666665</v>
      </c>
      <c r="AC6" s="16">
        <f>2.54*(AVERAGE(0.5,2,1.5))</f>
        <v>3.3866666666666667</v>
      </c>
      <c r="AD6" s="16">
        <f>2.54*(AVERAGE(1,2.5,0))</f>
        <v>2.9633333333333334</v>
      </c>
      <c r="AE6" s="16">
        <f>2.54*(AVERAGE(2,2,1.25))</f>
        <v>4.4450000000000003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24">
        <f>AVERAGE(7,6,5,9)</f>
        <v>6.75</v>
      </c>
      <c r="AL6" s="24">
        <f>AVERAGE(8,7,5,7)</f>
        <v>6.75</v>
      </c>
      <c r="AM6" s="24">
        <f>AVERAGE(5,5,10,6)</f>
        <v>6.5</v>
      </c>
      <c r="AN6" s="24">
        <f>AVERAGE(6,8,10,6)</f>
        <v>7.5</v>
      </c>
      <c r="AO6" s="24">
        <f>AVERAGE(7,8,5,6)</f>
        <v>6.5</v>
      </c>
      <c r="AP6" s="24">
        <f>AVERAGE(6,7,5,8)</f>
        <v>6.5</v>
      </c>
      <c r="AQ6" s="24">
        <f>AVERAGE(5,5,10,10)</f>
        <v>7.5</v>
      </c>
      <c r="AR6" s="24">
        <f>AVERAGE(9,7,6,6)</f>
        <v>7</v>
      </c>
      <c r="AS6">
        <v>258</v>
      </c>
      <c r="AT6">
        <v>69</v>
      </c>
    </row>
    <row r="7" spans="1:46" x14ac:dyDescent="0.25">
      <c r="A7" s="7" t="s">
        <v>80</v>
      </c>
      <c r="B7" s="11">
        <v>6</v>
      </c>
      <c r="C7">
        <v>1</v>
      </c>
      <c r="D7">
        <v>0</v>
      </c>
      <c r="E7">
        <v>2</v>
      </c>
      <c r="F7">
        <v>1</v>
      </c>
      <c r="G7" s="15">
        <v>0</v>
      </c>
      <c r="H7" s="15">
        <f>14/20</f>
        <v>0.7</v>
      </c>
      <c r="I7" s="15">
        <f>6/20</f>
        <v>0.3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6">
        <v>100</v>
      </c>
      <c r="Q7" s="16">
        <f>AVERAGE(99,60,100,25)</f>
        <v>71</v>
      </c>
      <c r="R7" s="16">
        <f>AVERAGE(110,75,110,40)</f>
        <v>83.75</v>
      </c>
      <c r="S7" s="16">
        <f>AVERAGE(80,20,80,70)</f>
        <v>62.5</v>
      </c>
      <c r="T7" s="16">
        <f>AVERAGE(99,110,80)</f>
        <v>96.333333333333329</v>
      </c>
      <c r="U7" s="16">
        <f>AVERAGE(60,75,20)</f>
        <v>51.666666666666664</v>
      </c>
      <c r="V7" s="16">
        <f>AVERAGE(100,110,80)</f>
        <v>96.666666666666671</v>
      </c>
      <c r="W7" s="16">
        <f>AVERAGE(25,40,70)</f>
        <v>45</v>
      </c>
      <c r="X7" s="16">
        <v>2</v>
      </c>
      <c r="Y7" s="16">
        <f>AVERAGE(3,1,2,3)</f>
        <v>2.25</v>
      </c>
      <c r="Z7" s="16">
        <f>AVERAGE(4,2,3,2)</f>
        <v>2.75</v>
      </c>
      <c r="AA7" s="16">
        <f>AVERAGE(2,1.5,2.5,2)</f>
        <v>2</v>
      </c>
      <c r="AB7" s="16">
        <f>AVERAGE(3,4,2)</f>
        <v>3</v>
      </c>
      <c r="AC7" s="16">
        <f>AVERAGE(1,2,1.5)</f>
        <v>1.5</v>
      </c>
      <c r="AD7" s="16">
        <f>AVERAGE(2,3,2.5)</f>
        <v>2.5</v>
      </c>
      <c r="AE7" s="16">
        <f>AVERAGE(3,2,2)</f>
        <v>2.3333333333333335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24">
        <f>AVERAGE(8,9,10,6)</f>
        <v>8.25</v>
      </c>
      <c r="AL7" s="24">
        <f>AVERAGE(10,9,10,5)</f>
        <v>8.5</v>
      </c>
      <c r="AM7" s="24">
        <f>AVERAGE(8,8,8,7)</f>
        <v>7.75</v>
      </c>
      <c r="AN7" s="24">
        <f>AVERAGE(6,7,7,7)</f>
        <v>6.75</v>
      </c>
      <c r="AO7" s="24">
        <f>AVERAGE(8,10,8,6)</f>
        <v>8</v>
      </c>
      <c r="AP7" s="24">
        <f>AVERAGE(9,9,8,7)</f>
        <v>8.25</v>
      </c>
      <c r="AQ7" s="24">
        <f>AVERAGE(10,10,8,7)</f>
        <v>8.75</v>
      </c>
      <c r="AR7" s="24">
        <f>AVERAGE(6,5,7,7)</f>
        <v>6.25</v>
      </c>
      <c r="AS7">
        <v>960</v>
      </c>
      <c r="AT7">
        <v>15</v>
      </c>
    </row>
    <row r="8" spans="1:46" x14ac:dyDescent="0.25">
      <c r="A8" s="7" t="s">
        <v>81</v>
      </c>
      <c r="B8" s="11">
        <v>7</v>
      </c>
      <c r="C8">
        <v>1</v>
      </c>
      <c r="D8">
        <v>0</v>
      </c>
      <c r="E8">
        <v>2</v>
      </c>
      <c r="F8">
        <v>1</v>
      </c>
      <c r="G8" s="15">
        <f>2/20</f>
        <v>0.1</v>
      </c>
      <c r="H8" s="15">
        <f>10/20</f>
        <v>0.5</v>
      </c>
      <c r="I8" s="15">
        <f>8/20</f>
        <v>0.4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6">
        <v>98</v>
      </c>
      <c r="Q8" s="16">
        <f>AVERAGE(118,60,76,111)</f>
        <v>91.25</v>
      </c>
      <c r="R8" s="16">
        <f>AVERAGE(67,86,84,71)</f>
        <v>77</v>
      </c>
      <c r="S8" s="16">
        <f>AVERAGE(119,92,103,77)</f>
        <v>97.75</v>
      </c>
      <c r="T8" s="16">
        <f>AVERAGE(118,67,119)</f>
        <v>101.33333333333333</v>
      </c>
      <c r="U8" s="16">
        <f>AVERAGE(60,86,92)</f>
        <v>79.333333333333329</v>
      </c>
      <c r="V8" s="16">
        <f>AVERAGE(76,84,103)</f>
        <v>87.666666666666671</v>
      </c>
      <c r="W8" s="16">
        <f>AVERAGE(111,71,77)</f>
        <v>86.333333333333329</v>
      </c>
      <c r="X8" s="16">
        <v>4</v>
      </c>
      <c r="Y8" s="16">
        <f>AVERAGE(2,4,2.5,4)</f>
        <v>3.125</v>
      </c>
      <c r="Z8" s="16">
        <f>AVERAGE(1,3,3,5)</f>
        <v>3</v>
      </c>
      <c r="AA8" s="16">
        <f>AVERAGE(3,3.5,2,4)</f>
        <v>3.125</v>
      </c>
      <c r="AB8" s="16">
        <f>AVERAGE(2,1,3)</f>
        <v>2</v>
      </c>
      <c r="AC8" s="16">
        <f>AVERAGE(4,3,3.5)</f>
        <v>3.5</v>
      </c>
      <c r="AD8" s="16">
        <f>AVERAGE(2.5,3,2)</f>
        <v>2.5</v>
      </c>
      <c r="AE8" s="16">
        <f>AVERAGE(4,5,4)</f>
        <v>4.333333333333333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24">
        <f>AVERAGE(10,5,8,9)</f>
        <v>8</v>
      </c>
      <c r="AL8" s="24">
        <f>AVERAGE(9,7,8,8)</f>
        <v>8</v>
      </c>
      <c r="AM8" s="24">
        <f>AVERAGE(10,10,10,7)</f>
        <v>9.25</v>
      </c>
      <c r="AN8" s="24">
        <f>AVERAGE(7,9,10,9)</f>
        <v>8.75</v>
      </c>
      <c r="AO8" s="24">
        <f>AVERAGE(10,9,10,7)</f>
        <v>9</v>
      </c>
      <c r="AP8" s="24">
        <f>AVERAGE(5,7,10,9)</f>
        <v>7.75</v>
      </c>
      <c r="AQ8" s="24">
        <f>AVERAGE(8,8,10,10)</f>
        <v>9</v>
      </c>
      <c r="AR8" s="24">
        <f>AVERAGE(9,8,7,9)</f>
        <v>8.25</v>
      </c>
      <c r="AS8">
        <v>770</v>
      </c>
      <c r="AT8">
        <v>24</v>
      </c>
    </row>
    <row r="9" spans="1:46" x14ac:dyDescent="0.25">
      <c r="A9" s="7" t="s">
        <v>82</v>
      </c>
      <c r="B9" s="11">
        <v>8</v>
      </c>
      <c r="C9">
        <v>1</v>
      </c>
      <c r="D9">
        <v>0</v>
      </c>
      <c r="E9">
        <v>1</v>
      </c>
      <c r="F9">
        <v>1</v>
      </c>
      <c r="G9" s="15">
        <v>0</v>
      </c>
      <c r="H9" s="15">
        <f>13/20</f>
        <v>0.65</v>
      </c>
      <c r="I9" s="15">
        <f>7/20</f>
        <v>0.35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7">
        <v>45</v>
      </c>
      <c r="Q9" s="17">
        <f>AVERAGE(48,41,45,48)</f>
        <v>45.5</v>
      </c>
      <c r="R9" s="17">
        <f>AVERAGE(75,62.5,82,48)</f>
        <v>66.875</v>
      </c>
      <c r="S9" s="17">
        <f>AVERAGE(30,80,77,35)</f>
        <v>55.5</v>
      </c>
      <c r="T9" s="17">
        <f>AVERAGE(48,75,30)</f>
        <v>51</v>
      </c>
      <c r="U9" s="17">
        <f>AVERAGE(41,62.5,80)</f>
        <v>61.166666666666664</v>
      </c>
      <c r="V9" s="17">
        <f>AVERAGE(45,82,77)</f>
        <v>68</v>
      </c>
      <c r="W9" s="17">
        <f>AVERAGE(48,48,35)</f>
        <v>43.666666666666664</v>
      </c>
      <c r="X9" s="17">
        <v>4</v>
      </c>
      <c r="Y9" s="17">
        <f>AVERAGE(4,7,3,3.5)</f>
        <v>4.375</v>
      </c>
      <c r="Z9" s="17">
        <f>AVERAGE(6,4,0,3.5)</f>
        <v>3.375</v>
      </c>
      <c r="AA9" s="17">
        <f>AVERAGE(5,4.5,5,6)</f>
        <v>5.125</v>
      </c>
      <c r="AB9" s="17">
        <f>AVERAGE(4,6,5)</f>
        <v>5</v>
      </c>
      <c r="AC9" s="17">
        <f>AVERAGE(7,4,4.5)</f>
        <v>5.166666666666667</v>
      </c>
      <c r="AD9" s="17">
        <f>AVERAGE(3,0,5)</f>
        <v>2.6666666666666665</v>
      </c>
      <c r="AE9" s="17">
        <f>AVERAGE(3.5,3.5,6)</f>
        <v>4.333333333333333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25">
        <f>AVERAGE(5,5,4,3)</f>
        <v>4.25</v>
      </c>
      <c r="AL9" s="25">
        <f>AVERAGE(4,3,4,3)</f>
        <v>3.5</v>
      </c>
      <c r="AM9" s="25">
        <f>AVERAGE(4,6,5,4)</f>
        <v>4.75</v>
      </c>
      <c r="AN9" s="25">
        <f>AVERAGE(4,5,6,5)</f>
        <v>5</v>
      </c>
      <c r="AO9" s="25">
        <f>AVERAGE(5,4,4,4)</f>
        <v>4.25</v>
      </c>
      <c r="AP9" s="25">
        <f>AVERAGE(5,3,6,5)</f>
        <v>4.75</v>
      </c>
      <c r="AQ9" s="25">
        <f>AVERAGE(4,4,5,6)</f>
        <v>4.75</v>
      </c>
      <c r="AR9" s="25">
        <f>AVERAGE(3,3,4,5)</f>
        <v>3.75</v>
      </c>
      <c r="AS9">
        <v>626</v>
      </c>
      <c r="AT9">
        <v>90</v>
      </c>
    </row>
    <row r="10" spans="1:46" x14ac:dyDescent="0.25">
      <c r="A10" s="7" t="s">
        <v>83</v>
      </c>
      <c r="B10" s="11">
        <v>9</v>
      </c>
      <c r="C10">
        <v>1</v>
      </c>
      <c r="D10">
        <v>0</v>
      </c>
      <c r="E10">
        <v>2</v>
      </c>
      <c r="F10">
        <v>2</v>
      </c>
      <c r="G10" s="18">
        <v>0</v>
      </c>
      <c r="H10" s="18">
        <f>8/20</f>
        <v>0.4</v>
      </c>
      <c r="I10" s="18">
        <f>9/20</f>
        <v>0.45</v>
      </c>
      <c r="J10" s="18">
        <f>1/20</f>
        <v>0.05</v>
      </c>
      <c r="K10" s="18">
        <v>0</v>
      </c>
      <c r="L10" s="18">
        <v>0</v>
      </c>
      <c r="M10" s="18">
        <v>0</v>
      </c>
      <c r="N10" s="18">
        <f>2/20</f>
        <v>0.1</v>
      </c>
      <c r="O10" s="15">
        <v>0</v>
      </c>
      <c r="P10" s="17">
        <v>90</v>
      </c>
      <c r="Q10" s="17">
        <f>AVERAGE(66,120,81,59)</f>
        <v>81.5</v>
      </c>
      <c r="R10" s="17">
        <f>AVERAGE(96,105,83,52)</f>
        <v>84</v>
      </c>
      <c r="S10" s="17">
        <f>AVERAGE(103,85,96,68)</f>
        <v>88</v>
      </c>
      <c r="T10" s="17">
        <f>AVERAGE(66,96,103)</f>
        <v>88.333333333333329</v>
      </c>
      <c r="U10" s="17">
        <f>AVERAGE(120,105,85)</f>
        <v>103.33333333333333</v>
      </c>
      <c r="V10" s="17">
        <f>AVERAGE(81,83,96)</f>
        <v>86.666666666666671</v>
      </c>
      <c r="W10" s="17">
        <f>AVERAGE(59,52,68)</f>
        <v>59.666666666666664</v>
      </c>
      <c r="X10" s="17">
        <v>0</v>
      </c>
      <c r="Y10" s="17">
        <f>AVERAGE(0,1,3,5)</f>
        <v>2.25</v>
      </c>
      <c r="Z10" s="17">
        <f>AVERAGE(3,1,1,0)</f>
        <v>1.25</v>
      </c>
      <c r="AA10" s="17">
        <f>AVERAGE(2,4,2,0)</f>
        <v>2</v>
      </c>
      <c r="AB10" s="17">
        <f>AVERAGE(0,3,2)</f>
        <v>1.6666666666666667</v>
      </c>
      <c r="AC10" s="17">
        <f>AVERAGE(1,1,4)</f>
        <v>2</v>
      </c>
      <c r="AD10" s="17">
        <f>AVERAGE(3,1,2)</f>
        <v>2</v>
      </c>
      <c r="AE10" s="17">
        <f>AVERAGE(5,0,0)</f>
        <v>1.6666666666666667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25">
        <f>AVERAGE(7,7,8,8)</f>
        <v>7.5</v>
      </c>
      <c r="AL10" s="25">
        <f>AVERAGE(10,9,8,5)</f>
        <v>8</v>
      </c>
      <c r="AM10" s="25">
        <f>AVERAGE(10,9,8,6)</f>
        <v>8.25</v>
      </c>
      <c r="AN10" s="25">
        <f>AVERAGE(9,9,8,8)</f>
        <v>8.5</v>
      </c>
      <c r="AO10" s="25">
        <f>AVERAGE(7,10,10,9)</f>
        <v>9</v>
      </c>
      <c r="AP10" s="25">
        <f>AVERAGE(7,9,9,9)</f>
        <v>8.5</v>
      </c>
      <c r="AQ10" s="25">
        <f>AVERAGE(8,8,8,8)</f>
        <v>8</v>
      </c>
      <c r="AR10" s="25">
        <f>AVERAGE(8,5,6,8)</f>
        <v>6.75</v>
      </c>
      <c r="AS10">
        <v>805</v>
      </c>
      <c r="AT10">
        <v>306</v>
      </c>
    </row>
    <row r="11" spans="1:46" x14ac:dyDescent="0.25">
      <c r="A11" s="7" t="s">
        <v>84</v>
      </c>
      <c r="B11" s="11">
        <v>10</v>
      </c>
      <c r="C11">
        <v>1</v>
      </c>
      <c r="D11">
        <v>0</v>
      </c>
      <c r="E11">
        <v>2</v>
      </c>
      <c r="F11">
        <v>1</v>
      </c>
      <c r="G11" s="18">
        <v>0</v>
      </c>
      <c r="H11" s="18">
        <f>11/20</f>
        <v>0.55000000000000004</v>
      </c>
      <c r="I11" s="18">
        <f>7/20</f>
        <v>0.35</v>
      </c>
      <c r="J11" s="18">
        <f>2/20</f>
        <v>0.1</v>
      </c>
      <c r="K11" s="18">
        <v>0</v>
      </c>
      <c r="L11" s="18">
        <v>0</v>
      </c>
      <c r="M11" s="18">
        <v>0</v>
      </c>
      <c r="N11" s="18">
        <v>0</v>
      </c>
      <c r="O11" s="15">
        <v>0</v>
      </c>
      <c r="P11" s="17">
        <v>62</v>
      </c>
      <c r="Q11" s="17">
        <f>AVERAGE(79,56,55.5,67)</f>
        <v>64.375</v>
      </c>
      <c r="R11" s="17">
        <f>AVERAGE(55,76.8,73,61.5)</f>
        <v>66.575000000000003</v>
      </c>
      <c r="S11" s="17">
        <f>AVERAGE(93,60.5,73,104.5)</f>
        <v>82.75</v>
      </c>
      <c r="T11" s="17">
        <f>AVERAGE(79,55,93)</f>
        <v>75.666666666666671</v>
      </c>
      <c r="U11" s="17">
        <f>AVERAGE(56,76.8,60.5)</f>
        <v>64.433333333333337</v>
      </c>
      <c r="V11" s="17">
        <f>AVERAGE(55.5,73,73)</f>
        <v>67.166666666666671</v>
      </c>
      <c r="W11" s="17">
        <f>AVERAGE(67,61.5,104.5)</f>
        <v>77.666666666666671</v>
      </c>
      <c r="X11" s="17">
        <v>2.5</v>
      </c>
      <c r="Y11" s="17">
        <f>AVERAGE(2.5,1,1,4.5)</f>
        <v>2.25</v>
      </c>
      <c r="Z11" s="17">
        <f>AVERAGE(2.8,2,3,2.5)</f>
        <v>2.5750000000000002</v>
      </c>
      <c r="AA11" s="17">
        <f>AVERAGE(5.5,3,6,2.5)</f>
        <v>4.25</v>
      </c>
      <c r="AB11" s="17">
        <f>AVERAGE(2.5,2.8,5.5)</f>
        <v>3.6</v>
      </c>
      <c r="AC11" s="17">
        <f>AVERAGE(1,2,3)</f>
        <v>2</v>
      </c>
      <c r="AD11" s="17">
        <f>AVERAGE(1,3,6)</f>
        <v>3.3333333333333335</v>
      </c>
      <c r="AE11" s="17">
        <f>AVERAGE(4.5,2.5,2.5)</f>
        <v>3.1666666666666665</v>
      </c>
      <c r="AF11" s="18">
        <v>0</v>
      </c>
      <c r="AG11" s="18">
        <v>0</v>
      </c>
      <c r="AH11" s="18">
        <v>0</v>
      </c>
      <c r="AI11" s="18">
        <v>0</v>
      </c>
      <c r="AJ11" s="15">
        <v>0</v>
      </c>
      <c r="AK11" s="25">
        <f>AVERAGE(5,7,7,6)</f>
        <v>6.25</v>
      </c>
      <c r="AL11" s="25">
        <f>AVERAGE(6,6,8,5)</f>
        <v>6.25</v>
      </c>
      <c r="AM11" s="25">
        <f>AVERAGE(6,7,10,7)</f>
        <v>7.5</v>
      </c>
      <c r="AN11" s="25">
        <f>AVERAGE(5,6,7,7)</f>
        <v>6.25</v>
      </c>
      <c r="AO11" s="25">
        <f>AVERAGE(5,6,6,5)</f>
        <v>5.5</v>
      </c>
      <c r="AP11" s="25">
        <f>AVERAGE(7,6,7,6)</f>
        <v>6.5</v>
      </c>
      <c r="AQ11" s="25">
        <f>AVERAGE(7,8,10,7)</f>
        <v>8</v>
      </c>
      <c r="AR11" s="25">
        <f>AVERAGE(6,5,7,7)</f>
        <v>6.25</v>
      </c>
      <c r="AS11">
        <v>1159</v>
      </c>
      <c r="AT11">
        <v>138</v>
      </c>
    </row>
    <row r="12" spans="1:46" x14ac:dyDescent="0.25">
      <c r="A12" s="7" t="s">
        <v>85</v>
      </c>
      <c r="B12" s="11">
        <v>11</v>
      </c>
      <c r="C12">
        <v>1</v>
      </c>
      <c r="D12">
        <v>0</v>
      </c>
      <c r="E12">
        <v>2</v>
      </c>
      <c r="F12">
        <v>1</v>
      </c>
      <c r="G12" s="18">
        <f>3/20</f>
        <v>0.15</v>
      </c>
      <c r="H12" s="18">
        <f>9/20</f>
        <v>0.45</v>
      </c>
      <c r="I12" s="18">
        <f>6/20</f>
        <v>0.3</v>
      </c>
      <c r="J12" s="18">
        <f>2/20</f>
        <v>0.1</v>
      </c>
      <c r="K12" s="18">
        <v>0</v>
      </c>
      <c r="L12" s="18">
        <v>0</v>
      </c>
      <c r="M12" s="18">
        <v>0</v>
      </c>
      <c r="N12" s="18">
        <v>0</v>
      </c>
      <c r="O12" s="15">
        <v>0</v>
      </c>
      <c r="P12" s="17">
        <v>65</v>
      </c>
      <c r="Q12" s="17">
        <f>AVERAGE(35,74.5,69.5,64)</f>
        <v>60.75</v>
      </c>
      <c r="R12" s="17">
        <f>AVERAGE(64,63,106.8,68.3)</f>
        <v>75.525000000000006</v>
      </c>
      <c r="S12" s="17">
        <f>AVERAGE(65.4,50,88,61)</f>
        <v>66.099999999999994</v>
      </c>
      <c r="T12" s="17">
        <f>AVERAGE(35,64,65.4)</f>
        <v>54.800000000000004</v>
      </c>
      <c r="U12" s="17">
        <f>AVERAGE(74.5,63,50)</f>
        <v>62.5</v>
      </c>
      <c r="V12" s="17">
        <f>AVERAGE(69.5,106.8,88)</f>
        <v>88.100000000000009</v>
      </c>
      <c r="W12" s="17">
        <f>AVERAGE(64,68.3,61)</f>
        <v>64.433333333333337</v>
      </c>
      <c r="X12" s="17">
        <v>4</v>
      </c>
      <c r="Y12" s="17">
        <f>AVERAGE(3,12.5,2,4)</f>
        <v>5.375</v>
      </c>
      <c r="Z12" s="17">
        <f>AVERAGE(2,7,4,4)</f>
        <v>4.25</v>
      </c>
      <c r="AA12" s="17">
        <f>AVERAGE(2,2,1.5,4.5)</f>
        <v>2.5</v>
      </c>
      <c r="AB12" s="17">
        <f>AVERAGE(3,2,2)</f>
        <v>2.3333333333333335</v>
      </c>
      <c r="AC12" s="17">
        <f>AVERAGE(12.5,7,2)</f>
        <v>7.166666666666667</v>
      </c>
      <c r="AD12" s="17">
        <f>AVERAGE(2,4,1.5)</f>
        <v>2.5</v>
      </c>
      <c r="AE12" s="17">
        <f>AVERAGE(4,4,4.5)</f>
        <v>4.166666666666667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25">
        <f>AVERAGE(6,5,5,5)</f>
        <v>5.25</v>
      </c>
      <c r="AL12" s="25">
        <f>AVERAGE(6,4,5,5)</f>
        <v>5</v>
      </c>
      <c r="AM12" s="25">
        <f>AVERAGE(4,5,5,6)</f>
        <v>5</v>
      </c>
      <c r="AN12" s="25">
        <f>AVERAGE(5,7,5,3)</f>
        <v>5</v>
      </c>
      <c r="AO12" s="25">
        <f>AVERAGE(6,6,4,5)</f>
        <v>5.25</v>
      </c>
      <c r="AP12" s="25">
        <f>AVERAGE(5,4,5,7)</f>
        <v>5.25</v>
      </c>
      <c r="AQ12" s="25">
        <v>5</v>
      </c>
      <c r="AR12" s="25">
        <f>AVERAGE(5,5,6,3)</f>
        <v>4.75</v>
      </c>
      <c r="AS12">
        <v>865</v>
      </c>
      <c r="AT12">
        <v>370</v>
      </c>
    </row>
    <row r="13" spans="1:46" x14ac:dyDescent="0.25">
      <c r="A13" s="7" t="s">
        <v>86</v>
      </c>
      <c r="B13" s="11">
        <v>12</v>
      </c>
      <c r="C13">
        <v>1</v>
      </c>
      <c r="D13">
        <v>0</v>
      </c>
      <c r="E13">
        <v>2</v>
      </c>
      <c r="F13">
        <v>1</v>
      </c>
      <c r="G13" s="18">
        <v>0</v>
      </c>
      <c r="H13" s="18">
        <f>6/20</f>
        <v>0.3</v>
      </c>
      <c r="I13" s="18">
        <f>11/20</f>
        <v>0.55000000000000004</v>
      </c>
      <c r="J13" s="18">
        <f>1/20</f>
        <v>0.05</v>
      </c>
      <c r="K13" s="18">
        <v>0</v>
      </c>
      <c r="L13" s="18">
        <v>0</v>
      </c>
      <c r="M13" s="18">
        <f>2/20</f>
        <v>0.1</v>
      </c>
      <c r="N13" s="18">
        <v>0</v>
      </c>
      <c r="O13" s="15">
        <v>0</v>
      </c>
      <c r="P13" s="17">
        <v>88.5</v>
      </c>
      <c r="Q13" s="17">
        <f>AVERAGE(61,89,84.5,138)</f>
        <v>93.125</v>
      </c>
      <c r="R13" s="17">
        <f>AVERAGE(79.5,72,99,151)</f>
        <v>100.375</v>
      </c>
      <c r="S13" s="17">
        <f>AVERAGE(85,65,74,100)</f>
        <v>81</v>
      </c>
      <c r="T13" s="17">
        <f>AVERAGE(61,79.5,85)</f>
        <v>75.166666666666671</v>
      </c>
      <c r="U13" s="17">
        <f>AVERAGE(89,72,65)</f>
        <v>75.333333333333329</v>
      </c>
      <c r="V13" s="17">
        <f>AVERAGE(84.5,99,74)</f>
        <v>85.833333333333329</v>
      </c>
      <c r="W13" s="17">
        <f>AVERAGE(138,151,100)</f>
        <v>129.66666666666666</v>
      </c>
      <c r="X13" s="17">
        <v>0</v>
      </c>
      <c r="Y13" s="17">
        <f>AVERAGE(0,3,0,0)</f>
        <v>0.75</v>
      </c>
      <c r="Z13" s="17">
        <f>AVERAGE(5,7.5,0,0)</f>
        <v>3.125</v>
      </c>
      <c r="AA13" s="17">
        <f>AVERAGE(4,8,0,4)</f>
        <v>4</v>
      </c>
      <c r="AB13" s="17">
        <f>AVERAGE(0,5,4)</f>
        <v>3</v>
      </c>
      <c r="AC13" s="17">
        <f>AVERAGE(3,7.5,8)</f>
        <v>6.166666666666667</v>
      </c>
      <c r="AD13" s="17">
        <v>0</v>
      </c>
      <c r="AE13" s="17">
        <f>AVERAGE(0,0,4)</f>
        <v>1.3333333333333333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25">
        <f>AVERAGE(5,6,7,7)</f>
        <v>6.25</v>
      </c>
      <c r="AL13" s="25">
        <f>AVERAGE(7,6,5,7)</f>
        <v>6.25</v>
      </c>
      <c r="AM13" s="25">
        <f>AVERAGE(8,6,8,8)</f>
        <v>7.5</v>
      </c>
      <c r="AN13" s="25">
        <f>AVERAGE(7,6,7,9)</f>
        <v>7.25</v>
      </c>
      <c r="AO13" s="25">
        <f>AVERAGE(5,7,8,7)</f>
        <v>6.75</v>
      </c>
      <c r="AP13" s="25">
        <v>6</v>
      </c>
      <c r="AQ13" s="25">
        <f>AVERAGE(7,5,8,7)</f>
        <v>6.75</v>
      </c>
      <c r="AR13" s="25">
        <f>AVERAGE(7,7,8,9)</f>
        <v>7.75</v>
      </c>
      <c r="AS13">
        <v>1610</v>
      </c>
      <c r="AT13">
        <v>40</v>
      </c>
    </row>
    <row r="14" spans="1:46" x14ac:dyDescent="0.25">
      <c r="A14" s="7" t="s">
        <v>87</v>
      </c>
      <c r="B14" s="11">
        <v>13</v>
      </c>
      <c r="C14">
        <v>1</v>
      </c>
      <c r="D14">
        <v>0</v>
      </c>
      <c r="E14">
        <v>2</v>
      </c>
      <c r="F14">
        <v>2</v>
      </c>
      <c r="G14" s="18">
        <f>5/20</f>
        <v>0.25</v>
      </c>
      <c r="H14" s="18">
        <f>5/20</f>
        <v>0.25</v>
      </c>
      <c r="I14" s="18">
        <f>6/20</f>
        <v>0.3</v>
      </c>
      <c r="J14" s="18">
        <f>3/20</f>
        <v>0.15</v>
      </c>
      <c r="K14" s="18">
        <v>0</v>
      </c>
      <c r="L14" s="18">
        <v>0</v>
      </c>
      <c r="M14" s="18">
        <f>1/20</f>
        <v>0.05</v>
      </c>
      <c r="N14" s="18">
        <v>0</v>
      </c>
      <c r="O14" s="15">
        <v>0</v>
      </c>
      <c r="P14" s="17">
        <f>2.54*15</f>
        <v>38.1</v>
      </c>
      <c r="Q14" s="17">
        <f>2.54*(AVERAGE(20.5,11.5,19.5,25))</f>
        <v>48.577500000000001</v>
      </c>
      <c r="R14" s="17">
        <f>2.54*(AVERAGE(19,12.25,18.5,14.75))</f>
        <v>40.957500000000003</v>
      </c>
      <c r="S14" s="17">
        <f>2.54*(AVERAGE(13.5,18,13.5,17.75))</f>
        <v>39.846249999999998</v>
      </c>
      <c r="T14" s="17">
        <f>2.54*(AVERAGE(20.5,19,13.5))</f>
        <v>44.873333333333335</v>
      </c>
      <c r="U14" s="17">
        <f>2.54*(AVERAGE(11.5,12.25,18))</f>
        <v>35.348333333333329</v>
      </c>
      <c r="V14" s="17">
        <f>2.54*(AVERAGE(19.5,18.5,13.5))</f>
        <v>43.603333333333339</v>
      </c>
      <c r="W14" s="17">
        <f>2.54*(AVERAGE(25,14.75,17.75))</f>
        <v>48.683333333333337</v>
      </c>
      <c r="X14" s="17">
        <f>2.54*1.5</f>
        <v>3.81</v>
      </c>
      <c r="Y14" s="17">
        <f>2.54*(AVERAGE(2.5,1.5,3,3))</f>
        <v>6.35</v>
      </c>
      <c r="Z14" s="17">
        <f>2.54*(AVERAGE(0,1,2.5,3))</f>
        <v>4.1275000000000004</v>
      </c>
      <c r="AA14" s="17">
        <f>2.54*(AVERAGE(1.5,2.75,1.25,2.25))</f>
        <v>4.9212499999999997</v>
      </c>
      <c r="AB14" s="17">
        <f>2.54*(AVERAGE(2.5,0,1.5))</f>
        <v>3.3866666666666667</v>
      </c>
      <c r="AC14" s="17">
        <f>2.54*(AVERAGE(1.5,1,2.75))</f>
        <v>4.4450000000000003</v>
      </c>
      <c r="AD14" s="17">
        <f>2.54*(AVERAGE(3,2.5,1.25))</f>
        <v>5.7149999999999999</v>
      </c>
      <c r="AE14" s="17">
        <f>2.54*(AVERAGE(3,3,2.25))</f>
        <v>6.9850000000000003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25">
        <f>AVERAGE(6,6,10,7)</f>
        <v>7.25</v>
      </c>
      <c r="AL14" s="25">
        <f>AVERAGE(5,5,10,6)</f>
        <v>6.5</v>
      </c>
      <c r="AM14" s="25">
        <f>AVERAGE(4,4,7,4)</f>
        <v>4.75</v>
      </c>
      <c r="AN14" s="25">
        <f>AVERAGE(10,6,10,7)</f>
        <v>8.25</v>
      </c>
      <c r="AO14" s="25">
        <f>AVERAGE(6,5,4,10)</f>
        <v>6.25</v>
      </c>
      <c r="AP14" s="25">
        <f>AVERAGE(6,5,4,6)</f>
        <v>5.25</v>
      </c>
      <c r="AQ14" s="25">
        <f>AVERAGE(10,10,7,10)</f>
        <v>9.25</v>
      </c>
      <c r="AR14" s="25">
        <f>AVERAGE(7,6,4,7)</f>
        <v>6</v>
      </c>
      <c r="AS14">
        <v>570</v>
      </c>
      <c r="AT14">
        <v>478</v>
      </c>
    </row>
    <row r="15" spans="1:46" x14ac:dyDescent="0.25">
      <c r="A15" s="7" t="s">
        <v>88</v>
      </c>
      <c r="B15" s="11">
        <v>14</v>
      </c>
      <c r="C15">
        <v>1</v>
      </c>
      <c r="D15">
        <v>0</v>
      </c>
      <c r="E15">
        <v>4</v>
      </c>
      <c r="F15">
        <v>2</v>
      </c>
      <c r="G15" s="18">
        <f>1/20</f>
        <v>0.05</v>
      </c>
      <c r="H15" s="18">
        <f>6/20</f>
        <v>0.3</v>
      </c>
      <c r="I15" s="18">
        <f>12/20</f>
        <v>0.6</v>
      </c>
      <c r="J15" s="18">
        <f>1/20</f>
        <v>0.05</v>
      </c>
      <c r="K15" s="18">
        <v>0</v>
      </c>
      <c r="L15" s="18">
        <v>0</v>
      </c>
      <c r="M15" s="18">
        <v>0</v>
      </c>
      <c r="N15" s="18">
        <v>0</v>
      </c>
      <c r="O15" s="15">
        <v>0</v>
      </c>
      <c r="P15" s="17">
        <f>2.54*25</f>
        <v>63.5</v>
      </c>
      <c r="Q15" s="17">
        <f>2.54*(AVERAGE(27,31.5,23.5,30))</f>
        <v>71.12</v>
      </c>
      <c r="R15" s="17">
        <f>2.54*(AVERAGE(29.5,33.5,27,38))</f>
        <v>81.28</v>
      </c>
      <c r="S15" s="17">
        <f>2.54*(AVERAGE(27.5,22.5,22,39))</f>
        <v>70.484999999999999</v>
      </c>
      <c r="T15" s="17">
        <f>2.54*(AVERAGE(27,29.5,27.5))</f>
        <v>71.12</v>
      </c>
      <c r="U15" s="17">
        <f>2.54*(AVERAGE(31.5,33.5,22.5))</f>
        <v>74.083333333333343</v>
      </c>
      <c r="V15" s="17">
        <f>2.54*(AVERAGE(23.5,27,22))</f>
        <v>61.38333333333334</v>
      </c>
      <c r="W15" s="17">
        <f>2.54*(AVERAGE(30,38,39))</f>
        <v>90.593333333333334</v>
      </c>
      <c r="X15" s="17">
        <v>0</v>
      </c>
      <c r="Y15" s="17">
        <v>0</v>
      </c>
      <c r="Z15" s="17">
        <f>AVERAGE(1,0,5,0.5)</f>
        <v>1.625</v>
      </c>
      <c r="AA15" s="17">
        <f>AVERAGE(0.5,0,3,0.5)</f>
        <v>1</v>
      </c>
      <c r="AB15" s="17">
        <f>AVERAGE(0,1,0.5)</f>
        <v>0.5</v>
      </c>
      <c r="AC15" s="17">
        <v>0</v>
      </c>
      <c r="AD15" s="17">
        <f>AVERAGE(0,5,3)</f>
        <v>2.6666666666666665</v>
      </c>
      <c r="AE15" s="17">
        <f>AVERAGE(0,0.5,0.5)</f>
        <v>0.33333333333333331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25">
        <f>AVERAGE(10,10,6,8)</f>
        <v>8.5</v>
      </c>
      <c r="AL15" s="25">
        <f>AVERAGE(10,8,7,9)</f>
        <v>8.5</v>
      </c>
      <c r="AM15" s="25">
        <f>AVERAGE(9,7,6,10)</f>
        <v>8</v>
      </c>
      <c r="AN15" s="25">
        <f>AVERAGE(7,8,6,10)</f>
        <v>7.75</v>
      </c>
      <c r="AO15" s="25">
        <f>AVERAGE(10,10,9,7)</f>
        <v>9</v>
      </c>
      <c r="AP15" s="25">
        <f>AVERAGE(10,8,7,8)</f>
        <v>8.25</v>
      </c>
      <c r="AQ15" s="25">
        <f>AVERAGE(6,7,6,6)</f>
        <v>6.25</v>
      </c>
      <c r="AR15" s="25">
        <f>AVERAGE(8,9,10,10)</f>
        <v>9.25</v>
      </c>
      <c r="AS15">
        <v>1077</v>
      </c>
      <c r="AT15">
        <v>256</v>
      </c>
    </row>
    <row r="16" spans="1:46" x14ac:dyDescent="0.25">
      <c r="A16" s="7" t="s">
        <v>89</v>
      </c>
      <c r="B16" s="11">
        <v>15</v>
      </c>
      <c r="C16">
        <v>1</v>
      </c>
      <c r="D16">
        <v>0</v>
      </c>
      <c r="E16">
        <v>4</v>
      </c>
      <c r="F16">
        <v>2</v>
      </c>
      <c r="G16" s="18">
        <v>0</v>
      </c>
      <c r="H16" s="18">
        <f>11/20</f>
        <v>0.55000000000000004</v>
      </c>
      <c r="I16" s="18">
        <f>4/20</f>
        <v>0.2</v>
      </c>
      <c r="J16" s="18">
        <f>4/20</f>
        <v>0.2</v>
      </c>
      <c r="K16" s="18">
        <v>0</v>
      </c>
      <c r="L16" s="18">
        <v>0</v>
      </c>
      <c r="M16" s="18">
        <f>1/20</f>
        <v>0.05</v>
      </c>
      <c r="N16" s="18">
        <v>0</v>
      </c>
      <c r="O16" s="15">
        <v>0</v>
      </c>
      <c r="P16" s="17">
        <f>2.54*30</f>
        <v>76.2</v>
      </c>
      <c r="Q16" s="17">
        <f>2.54*(AVERAGE(23.5,33,25.5,21.5))</f>
        <v>65.722499999999997</v>
      </c>
      <c r="R16" s="17">
        <f>2.54*(AVERAGE(35,34.5,28,34.75))</f>
        <v>83.978750000000005</v>
      </c>
      <c r="S16" s="17">
        <f>2.54*(AVERAGE(25,35.75,19.5,28))</f>
        <v>68.738749999999996</v>
      </c>
      <c r="T16" s="17">
        <f>2.54*(AVERAGE(23.5,35,25))</f>
        <v>70.696666666666658</v>
      </c>
      <c r="U16" s="17">
        <f>2.54*(AVERAGE(33,34.5,35.75))</f>
        <v>87.418333333333322</v>
      </c>
      <c r="V16" s="17">
        <f>2.54*(AVERAGE(25.5,28,19.5))</f>
        <v>61.806666666666665</v>
      </c>
      <c r="W16" s="17">
        <f>2.54*(AVERAGE(21.5,34.75,28))</f>
        <v>71.331666666666663</v>
      </c>
      <c r="X16" s="17">
        <f>2.54*2</f>
        <v>5.08</v>
      </c>
      <c r="Y16" s="17">
        <f>2.54*(AVERAGE(3,4,3.5,2))</f>
        <v>7.9375</v>
      </c>
      <c r="Z16" s="17">
        <f>2.54*(AVERAGE(0,2,2.75,3))</f>
        <v>4.9212499999999997</v>
      </c>
      <c r="AA16" s="17">
        <f>2.54*(AVERAGE(1.5,1.75,2,2))</f>
        <v>4.6037499999999998</v>
      </c>
      <c r="AB16" s="17">
        <f>2.54*(AVERAGE(3,0,1.5))</f>
        <v>3.81</v>
      </c>
      <c r="AC16" s="17">
        <f>2.54*(AVERAGE(4,2,1.75))</f>
        <v>6.5616666666666674</v>
      </c>
      <c r="AD16" s="17">
        <f>2.54*(AVERAGE(3.5,2.75,2))</f>
        <v>6.9850000000000003</v>
      </c>
      <c r="AE16" s="17">
        <f>2.54*(AVERAGE(2,3,2))</f>
        <v>5.9266666666666667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25">
        <f>AVERAGE(7,5,5,6)</f>
        <v>5.75</v>
      </c>
      <c r="AL16" s="25">
        <v>5</v>
      </c>
      <c r="AM16" s="25">
        <f>AVERAGE(8,7,6,6)</f>
        <v>6.75</v>
      </c>
      <c r="AN16" s="25">
        <f>AVERAGE(8,6,6,5)</f>
        <v>6.25</v>
      </c>
      <c r="AO16" s="25">
        <f>AVERAGE(7,5,8,8)</f>
        <v>7</v>
      </c>
      <c r="AP16" s="25">
        <f>AVERAGE(5,5,7,6)</f>
        <v>5.75</v>
      </c>
      <c r="AQ16" s="25">
        <f>AVERAGE(5,5,6,6)</f>
        <v>5.5</v>
      </c>
      <c r="AR16" s="25">
        <f>AVERAGE(6,5,6,5)</f>
        <v>5.5</v>
      </c>
      <c r="AS16">
        <v>566</v>
      </c>
      <c r="AT16">
        <v>40</v>
      </c>
    </row>
    <row r="17" spans="1:46" x14ac:dyDescent="0.25">
      <c r="A17" s="7" t="s">
        <v>90</v>
      </c>
      <c r="B17" s="11">
        <v>16</v>
      </c>
      <c r="C17">
        <v>1</v>
      </c>
      <c r="D17">
        <v>0</v>
      </c>
      <c r="E17">
        <v>4</v>
      </c>
      <c r="F17">
        <v>2</v>
      </c>
      <c r="G17" s="18">
        <f>1/20</f>
        <v>0.05</v>
      </c>
      <c r="H17" s="18">
        <f>11/20</f>
        <v>0.55000000000000004</v>
      </c>
      <c r="I17" s="18">
        <f>6/20</f>
        <v>0.3</v>
      </c>
      <c r="J17" s="18">
        <f>2/20</f>
        <v>0.1</v>
      </c>
      <c r="K17" s="18">
        <v>0</v>
      </c>
      <c r="L17" s="18">
        <v>0</v>
      </c>
      <c r="M17" s="18">
        <v>0</v>
      </c>
      <c r="N17" s="18">
        <v>0</v>
      </c>
      <c r="O17" s="15">
        <v>0</v>
      </c>
      <c r="P17" s="17">
        <f>2.54*20</f>
        <v>50.8</v>
      </c>
      <c r="Q17" s="17">
        <f>2.54*(AVERAGE(26,16,19,12.5))</f>
        <v>46.672499999999999</v>
      </c>
      <c r="R17" s="17">
        <f>2.54*(AVERAGE(25.5,25.25,17,26.5))</f>
        <v>59.848750000000003</v>
      </c>
      <c r="S17" s="17">
        <f>2.54*(AVERAGE(22,14.5,20,18))</f>
        <v>47.307499999999997</v>
      </c>
      <c r="T17" s="17">
        <f>2.54*(AVERAGE(26,25.5,22))</f>
        <v>62.230000000000004</v>
      </c>
      <c r="U17" s="17">
        <f>2.54*(AVERAGE(16,25.25,14.5))</f>
        <v>47.201666666666661</v>
      </c>
      <c r="V17" s="17">
        <f>2.54*(AVERAGE(19,17,20))</f>
        <v>47.413333333333334</v>
      </c>
      <c r="W17" s="17">
        <f>2.54*(AVERAGE(12.5,26.5,18))</f>
        <v>48.26</v>
      </c>
      <c r="X17" s="17">
        <f>2.54*2</f>
        <v>5.08</v>
      </c>
      <c r="Y17" s="17">
        <f>2.54*(AVERAGE(2.25,0.5,2.5,0))</f>
        <v>3.3337500000000002</v>
      </c>
      <c r="Z17" s="17">
        <f>2.54*(AVERAGE(3.5,3.5,0.5,0.25))</f>
        <v>4.9212499999999997</v>
      </c>
      <c r="AA17" s="17">
        <f>2.54*(AVERAGE(1,1.5,1.5,2))</f>
        <v>3.81</v>
      </c>
      <c r="AB17" s="17">
        <f>2.54*(AVERAGE(2.25,3.5,1))</f>
        <v>5.7149999999999999</v>
      </c>
      <c r="AC17" s="17">
        <f>2.54*(AVERAGE(0.5,3.5,1.5))</f>
        <v>4.6566666666666663</v>
      </c>
      <c r="AD17" s="17">
        <f>2.54*(AVERAGE(2.5,0.5,1.5))</f>
        <v>3.81</v>
      </c>
      <c r="AE17" s="17">
        <f>2.54*(AVERAGE(0,0.25,2))</f>
        <v>1.905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25">
        <f>AVERAGE(5,4,5,4)</f>
        <v>4.5</v>
      </c>
      <c r="AL17" s="25">
        <f>AVERAGE(6,3,4,4)</f>
        <v>4.25</v>
      </c>
      <c r="AM17" s="25">
        <f>AVERAGE(5,3,4,3)</f>
        <v>3.75</v>
      </c>
      <c r="AN17" s="25">
        <f>AVERAGE(4,4,4,5)</f>
        <v>4.25</v>
      </c>
      <c r="AO17" s="25">
        <f>AVERAGE(5,6,5,4)</f>
        <v>5</v>
      </c>
      <c r="AP17" s="25">
        <f>AVERAGE(4,3,3,4)</f>
        <v>3.5</v>
      </c>
      <c r="AQ17" s="25">
        <f>AVERAGE(5,4,4,4)</f>
        <v>4.25</v>
      </c>
      <c r="AR17" s="25">
        <f>AVERAGE(4,4,3,5)</f>
        <v>4</v>
      </c>
      <c r="AS17">
        <v>629</v>
      </c>
      <c r="AT17">
        <v>31</v>
      </c>
    </row>
    <row r="18" spans="1:46" x14ac:dyDescent="0.25">
      <c r="A18" s="7" t="s">
        <v>91</v>
      </c>
      <c r="B18" s="11">
        <v>17</v>
      </c>
      <c r="C18">
        <v>1</v>
      </c>
      <c r="D18">
        <v>0</v>
      </c>
      <c r="E18">
        <v>2</v>
      </c>
      <c r="F18">
        <v>1</v>
      </c>
      <c r="G18" s="19">
        <f>2/20</f>
        <v>0.1</v>
      </c>
      <c r="H18" s="19">
        <f>7/20</f>
        <v>0.35</v>
      </c>
      <c r="I18" s="19">
        <f>5/20</f>
        <v>0.25</v>
      </c>
      <c r="J18" s="19">
        <f>1/20</f>
        <v>0.05</v>
      </c>
      <c r="K18" s="19">
        <v>0</v>
      </c>
      <c r="L18" s="19">
        <v>0</v>
      </c>
      <c r="M18" s="19">
        <f>5/20</f>
        <v>0.25</v>
      </c>
      <c r="N18" s="19">
        <v>0</v>
      </c>
      <c r="O18" s="15">
        <v>0</v>
      </c>
      <c r="P18" s="20">
        <f>2.54*15.5</f>
        <v>39.369999999999997</v>
      </c>
      <c r="Q18" s="20">
        <f>2.54*(AVERAGE(14.5,32,17,46))</f>
        <v>69.532499999999999</v>
      </c>
      <c r="R18" s="20">
        <f>2.54*(AVERAGE(21,10.5,20,30.75))</f>
        <v>52.228749999999998</v>
      </c>
      <c r="S18" s="20">
        <f>2.54*(AVERAGE(27.5,35.5,28.5,24))</f>
        <v>73.342500000000001</v>
      </c>
      <c r="T18" s="20">
        <f>2.54*(AVERAGE(14.5,21,27.5))</f>
        <v>53.34</v>
      </c>
      <c r="U18" s="20">
        <f>2.54*(AVERAGE(32,10.5,35.5))</f>
        <v>66.040000000000006</v>
      </c>
      <c r="V18" s="20">
        <f>2.54*(AVERAGE(17,20,28.5))</f>
        <v>55.456666666666663</v>
      </c>
      <c r="W18" s="20">
        <f>2.54*(AVERAGE(46,30.75,24))</f>
        <v>85.301666666666677</v>
      </c>
      <c r="X18" s="20">
        <v>0</v>
      </c>
      <c r="Y18" s="20">
        <f>2.54*(AVERAGE(2.5,3,1.5,0))</f>
        <v>4.4450000000000003</v>
      </c>
      <c r="Z18" s="20">
        <f>2.54*(AVERAGE(4,0,0,1))</f>
        <v>3.1749999999999998</v>
      </c>
      <c r="AA18" s="20">
        <f>2.54*(AVERAGE(2.25,3,1,1.5))</f>
        <v>4.9212499999999997</v>
      </c>
      <c r="AB18" s="20">
        <f>2.54*(AVERAGE(2.5,4,2.25))</f>
        <v>7.4083333333333332</v>
      </c>
      <c r="AC18" s="20">
        <f>2.54*(AVERAGE(3,0,3))</f>
        <v>5.08</v>
      </c>
      <c r="AD18" s="20">
        <f>2.54*(AVERAGE(1.5,0,1))</f>
        <v>2.1166666666666667</v>
      </c>
      <c r="AE18" s="20">
        <f>2.54*(AVERAGE(0,1,1.5))</f>
        <v>2.1166666666666667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26">
        <f>AVERAGE(4,5,4,6)</f>
        <v>4.75</v>
      </c>
      <c r="AL18" s="26">
        <f>AVERAGE(3,6,6,5)</f>
        <v>5</v>
      </c>
      <c r="AM18" s="26">
        <f>AVERAGE(7,4,5,6)</f>
        <v>5.5</v>
      </c>
      <c r="AN18" s="26">
        <f>AVERAGE(6,4,4,7)</f>
        <v>5.25</v>
      </c>
      <c r="AO18" s="26">
        <f>AVERAGE(4,3,7,6)</f>
        <v>5</v>
      </c>
      <c r="AP18" s="26">
        <f>AVERAGE(5,6,4,4)</f>
        <v>4.75</v>
      </c>
      <c r="AQ18" s="26">
        <f>AVERAGE(4,6,5,4)</f>
        <v>4.75</v>
      </c>
      <c r="AR18" s="26">
        <f>AVERAGE(6,5,6,7)</f>
        <v>6</v>
      </c>
      <c r="AS18">
        <v>1114</v>
      </c>
      <c r="AT18">
        <v>494</v>
      </c>
    </row>
    <row r="19" spans="1:46" x14ac:dyDescent="0.25">
      <c r="A19" s="7" t="s">
        <v>92</v>
      </c>
      <c r="B19" s="11">
        <v>18</v>
      </c>
      <c r="C19">
        <v>1</v>
      </c>
      <c r="D19">
        <v>0</v>
      </c>
      <c r="E19">
        <v>4</v>
      </c>
      <c r="F19">
        <v>1</v>
      </c>
      <c r="G19" s="19">
        <v>0</v>
      </c>
      <c r="H19" s="19">
        <f>11/20</f>
        <v>0.55000000000000004</v>
      </c>
      <c r="I19" s="19">
        <f>9/20</f>
        <v>0.45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5">
        <v>0</v>
      </c>
      <c r="P19" s="20">
        <f>2.54*25.5</f>
        <v>64.77</v>
      </c>
      <c r="Q19" s="20">
        <f>2.54*(AVERAGE(21,21,19.5,28.25))</f>
        <v>56.991250000000001</v>
      </c>
      <c r="R19" s="20">
        <f>2.54*(AVERAGE(30,36,19.75,30))</f>
        <v>73.501249999999999</v>
      </c>
      <c r="S19" s="20">
        <f>2.54*(AVERAGE(21,28,26.5,25.25))</f>
        <v>63.97625</v>
      </c>
      <c r="T19" s="20">
        <f>2.54*(AVERAGE(21,30,21))</f>
        <v>60.96</v>
      </c>
      <c r="U19" s="20">
        <f>2.54*(AVERAGE(21,36,28))</f>
        <v>71.966666666666669</v>
      </c>
      <c r="V19" s="20">
        <f>2.54*(AVERAGE(19.5,19.75,26.5))</f>
        <v>55.668333333333337</v>
      </c>
      <c r="W19" s="20">
        <f>2.54*(AVERAGE(28.25,30,25.25))</f>
        <v>70.696666666666658</v>
      </c>
      <c r="X19" s="20">
        <f>2.54*1.75</f>
        <v>4.4450000000000003</v>
      </c>
      <c r="Y19" s="20">
        <f>2.54*(AVERAGE(1.25,0,1.5,1))</f>
        <v>2.3812500000000001</v>
      </c>
      <c r="Z19" s="20">
        <f>2.54*(AVERAGE(1.5,1.25,1,1.25))</f>
        <v>3.1749999999999998</v>
      </c>
      <c r="AA19" s="20">
        <f>2.54*(AVERAGE(0.5,1.75,2.25,1.5))</f>
        <v>3.81</v>
      </c>
      <c r="AB19" s="20">
        <f>2.54*(AVERAGE(1.25,1.5,0.5))</f>
        <v>2.7516666666666665</v>
      </c>
      <c r="AC19" s="20">
        <f>2.54*(AVERAGE(0,1.25,1.75))</f>
        <v>2.54</v>
      </c>
      <c r="AD19" s="20">
        <f>2.54*(AVERAGE(1.5,1,2.25))</f>
        <v>4.0216666666666665</v>
      </c>
      <c r="AE19" s="20">
        <f>2.54*(AVERAGE(1,1.25,1.5))</f>
        <v>3.1749999999999998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f>AVERAGE(7,7,6,8)</f>
        <v>7</v>
      </c>
      <c r="AL19" s="26">
        <f>AVERAGE(6,6,5,7)</f>
        <v>6</v>
      </c>
      <c r="AM19" s="26">
        <f>AVERAGE(5,8,6,7)</f>
        <v>6.5</v>
      </c>
      <c r="AN19" s="26">
        <f>AVERAGE(7,6,5,8)</f>
        <v>6.5</v>
      </c>
      <c r="AO19" s="26">
        <f>AVERAGE(7,6,5,7)</f>
        <v>6.25</v>
      </c>
      <c r="AP19" s="26">
        <f>AVERAGE(7,6,8,6)</f>
        <v>6.75</v>
      </c>
      <c r="AQ19" s="26">
        <f>AVERAGE(6,5,6,5)</f>
        <v>5.5</v>
      </c>
      <c r="AR19" s="26">
        <f>AVERAGE(8,7,7,8)</f>
        <v>7.5</v>
      </c>
      <c r="AS19">
        <v>1500</v>
      </c>
      <c r="AT19">
        <v>6</v>
      </c>
    </row>
    <row r="20" spans="1:46" x14ac:dyDescent="0.25">
      <c r="A20" s="7" t="s">
        <v>93</v>
      </c>
      <c r="B20" s="11">
        <v>19</v>
      </c>
      <c r="C20">
        <v>1</v>
      </c>
      <c r="D20">
        <v>0</v>
      </c>
      <c r="E20">
        <v>4</v>
      </c>
      <c r="F20">
        <v>2</v>
      </c>
      <c r="G20" s="19">
        <f>8/20</f>
        <v>0.4</v>
      </c>
      <c r="H20" s="19">
        <f>8/20</f>
        <v>0.4</v>
      </c>
      <c r="I20" s="19">
        <f>3/20</f>
        <v>0.15</v>
      </c>
      <c r="J20" s="19">
        <f>1/20</f>
        <v>0.05</v>
      </c>
      <c r="K20" s="19">
        <v>0</v>
      </c>
      <c r="L20" s="19">
        <v>0</v>
      </c>
      <c r="M20" s="19">
        <v>0</v>
      </c>
      <c r="N20" s="19">
        <v>0</v>
      </c>
      <c r="O20" s="15">
        <v>0</v>
      </c>
      <c r="P20" s="20">
        <v>80</v>
      </c>
      <c r="Q20" s="20">
        <f>AVERAGE(89.5,87.5,81.5,52)</f>
        <v>77.625</v>
      </c>
      <c r="R20" s="20">
        <f>AVERAGE(75,64,70,78)</f>
        <v>71.75</v>
      </c>
      <c r="S20" s="20">
        <f>AVERAGE(78,62,182,70.5)</f>
        <v>98.125</v>
      </c>
      <c r="T20" s="20">
        <f>AVERAGE(89.5,75,78)</f>
        <v>80.833333333333329</v>
      </c>
      <c r="U20" s="20">
        <f>AVERAGE(87.5,64,62)</f>
        <v>71.166666666666671</v>
      </c>
      <c r="V20" s="20">
        <f>AVERAGE(81.5,70,182)</f>
        <v>111.16666666666667</v>
      </c>
      <c r="W20" s="20">
        <f>AVERAGE(52,78,70.5)</f>
        <v>66.833333333333329</v>
      </c>
      <c r="X20" s="20">
        <v>1</v>
      </c>
      <c r="Y20" s="20">
        <f>AVERAGE(1,6,4,4)</f>
        <v>3.75</v>
      </c>
      <c r="Z20" s="20">
        <f>AVERAGE(2,5,6,3)</f>
        <v>4</v>
      </c>
      <c r="AA20" s="20">
        <f>AVERAGE(12,3,3.5,6)</f>
        <v>6.125</v>
      </c>
      <c r="AB20" s="20">
        <f>AVERAGE(1,2,12)</f>
        <v>5</v>
      </c>
      <c r="AC20" s="20">
        <f>AVERAGE(6,5,3)</f>
        <v>4.666666666666667</v>
      </c>
      <c r="AD20" s="20">
        <f>AVERAGE(4,6,3.5)</f>
        <v>4.5</v>
      </c>
      <c r="AE20" s="20">
        <f>AVERAGE(4,3,6)</f>
        <v>4.333333333333333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f>AVERAGE(9,7,8,5)</f>
        <v>7.25</v>
      </c>
      <c r="AL20" s="26">
        <f>AVERAGE(9,7,7,8)</f>
        <v>7.75</v>
      </c>
      <c r="AM20" s="26">
        <f>AVERAGE(9,6,7,8)</f>
        <v>7.5</v>
      </c>
      <c r="AN20" s="26">
        <f>AVERAGE(10,5,7,10)</f>
        <v>8</v>
      </c>
      <c r="AO20" s="26">
        <f>AVERAGE(9,9,9,10)</f>
        <v>9.25</v>
      </c>
      <c r="AP20" s="26">
        <f>AVERAGE(7,7,6,5)</f>
        <v>6.25</v>
      </c>
      <c r="AQ20" s="26">
        <f>AVERAGE(8,7,7,7)</f>
        <v>7.25</v>
      </c>
      <c r="AR20" s="26">
        <f>AVERAGE(5,8,8,10)</f>
        <v>7.75</v>
      </c>
      <c r="AS20">
        <v>337</v>
      </c>
      <c r="AT20">
        <v>2</v>
      </c>
    </row>
    <row r="21" spans="1:46" x14ac:dyDescent="0.25">
      <c r="A21" s="7" t="s">
        <v>94</v>
      </c>
      <c r="B21" s="11">
        <v>20</v>
      </c>
      <c r="C21">
        <v>1</v>
      </c>
      <c r="D21">
        <v>0</v>
      </c>
      <c r="E21">
        <v>4</v>
      </c>
      <c r="F21">
        <v>2</v>
      </c>
      <c r="G21" s="19">
        <f>1/20</f>
        <v>0.05</v>
      </c>
      <c r="H21" s="19">
        <f>8/20</f>
        <v>0.4</v>
      </c>
      <c r="I21" s="19">
        <f>6/20</f>
        <v>0.3</v>
      </c>
      <c r="J21" s="19">
        <f>1/20</f>
        <v>0.05</v>
      </c>
      <c r="K21" s="19">
        <v>0</v>
      </c>
      <c r="L21" s="19">
        <v>0</v>
      </c>
      <c r="M21" s="19">
        <v>0</v>
      </c>
      <c r="N21" s="19">
        <f>4/20</f>
        <v>0.2</v>
      </c>
      <c r="O21" s="15">
        <v>0</v>
      </c>
      <c r="P21" s="20">
        <v>80</v>
      </c>
      <c r="Q21" s="20">
        <f>AVERAGE(72,81,64,111.5)</f>
        <v>82.125</v>
      </c>
      <c r="R21" s="20">
        <f>AVERAGE(63,36,82,48)</f>
        <v>57.25</v>
      </c>
      <c r="S21" s="20">
        <f>AVERAGE(38,66,107,75.5)</f>
        <v>71.625</v>
      </c>
      <c r="T21" s="20">
        <f>AVERAGE(72,63,38)</f>
        <v>57.666666666666664</v>
      </c>
      <c r="U21" s="20">
        <f>AVERAGE(81,36,66)</f>
        <v>61</v>
      </c>
      <c r="V21" s="20">
        <f>AVERAGE(64,82,107)</f>
        <v>84.333333333333329</v>
      </c>
      <c r="W21" s="20">
        <f>AVERAGE(111.5,48,75.5)</f>
        <v>78.333333333333329</v>
      </c>
      <c r="X21" s="20">
        <v>3</v>
      </c>
      <c r="Y21" s="20">
        <f>AVERAGE(3,1,4,0)</f>
        <v>2</v>
      </c>
      <c r="Z21" s="20">
        <f>AVERAGE(0,4,3.5,0)</f>
        <v>1.875</v>
      </c>
      <c r="AA21" s="20">
        <f>AVERAGE(0,3,0.5,5)</f>
        <v>2.125</v>
      </c>
      <c r="AB21" s="20">
        <f>AVERAGE(3,0,0)</f>
        <v>1</v>
      </c>
      <c r="AC21" s="20">
        <f>AVERAGE(1,4,3)</f>
        <v>2.6666666666666665</v>
      </c>
      <c r="AD21" s="20">
        <f>AVERAGE(4,3.5,0.5)</f>
        <v>2.6666666666666665</v>
      </c>
      <c r="AE21" s="20">
        <f>AVERAGE(0,0,5)</f>
        <v>1.6666666666666667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f>AVERAGE(7,8,8,6)</f>
        <v>7.25</v>
      </c>
      <c r="AL21" s="26">
        <f>AVERAGE(8,6,8,4)</f>
        <v>6.5</v>
      </c>
      <c r="AM21" s="26">
        <f>AVERAGE(4,6,10,4)</f>
        <v>6</v>
      </c>
      <c r="AN21" s="26">
        <f>AVERAGE(5,5,10,7)</f>
        <v>6.75</v>
      </c>
      <c r="AO21" s="26">
        <f>AVERAGE(7,8,4,5)</f>
        <v>6</v>
      </c>
      <c r="AP21" s="26">
        <f>AVERAGE(8,6,6,5)</f>
        <v>6.25</v>
      </c>
      <c r="AQ21" s="26">
        <f>AVERAGE(7,8,10,10)</f>
        <v>8.75</v>
      </c>
      <c r="AR21" s="26">
        <f>AVERAGE(6,4,4,7)</f>
        <v>5.25</v>
      </c>
      <c r="AS21">
        <v>238</v>
      </c>
      <c r="AT21">
        <v>40</v>
      </c>
    </row>
    <row r="22" spans="1:46" x14ac:dyDescent="0.25">
      <c r="A22" s="7" t="s">
        <v>95</v>
      </c>
      <c r="B22" s="11">
        <v>21</v>
      </c>
      <c r="C22">
        <v>1</v>
      </c>
      <c r="D22">
        <v>0</v>
      </c>
      <c r="E22">
        <v>4</v>
      </c>
      <c r="F22">
        <v>2</v>
      </c>
      <c r="G22" s="19">
        <v>0</v>
      </c>
      <c r="H22" s="19">
        <f>14/20</f>
        <v>0.7</v>
      </c>
      <c r="I22" s="19">
        <f>4/20</f>
        <v>0.2</v>
      </c>
      <c r="J22" s="19">
        <f>2/20</f>
        <v>0.1</v>
      </c>
      <c r="K22" s="19">
        <v>0</v>
      </c>
      <c r="L22" s="19">
        <v>0</v>
      </c>
      <c r="M22" s="19">
        <v>0</v>
      </c>
      <c r="N22" s="19">
        <v>0</v>
      </c>
      <c r="O22" s="15">
        <v>0</v>
      </c>
      <c r="P22" s="20">
        <v>45</v>
      </c>
      <c r="Q22" s="20">
        <f>AVERAGE(40,51,53,57)</f>
        <v>50.25</v>
      </c>
      <c r="R22" s="20">
        <f>AVERAGE(71,55,67,49)</f>
        <v>60.5</v>
      </c>
      <c r="S22" s="20">
        <f>AVERAGE(46.5,62,73,52)</f>
        <v>58.375</v>
      </c>
      <c r="T22" s="20">
        <f>AVERAGE(40,71,46.5)</f>
        <v>52.5</v>
      </c>
      <c r="U22" s="20">
        <f>AVERAGE(51,55,62)</f>
        <v>56</v>
      </c>
      <c r="V22" s="20">
        <f>AVERAGE(53,67,73)</f>
        <v>64.333333333333329</v>
      </c>
      <c r="W22" s="20">
        <f>AVERAGE(57,49,52)</f>
        <v>52.666666666666664</v>
      </c>
      <c r="X22" s="20">
        <v>4</v>
      </c>
      <c r="Y22" s="20">
        <f>AVERAGE(6,4.5,8,2.5)</f>
        <v>5.25</v>
      </c>
      <c r="Z22" s="20">
        <f>AVERAGE(6,3,3,6)</f>
        <v>4.5</v>
      </c>
      <c r="AA22" s="20">
        <f>AVERAGE(3,0,4,2)</f>
        <v>2.25</v>
      </c>
      <c r="AB22" s="20">
        <f>AVERAGE(6,6,3)</f>
        <v>5</v>
      </c>
      <c r="AC22" s="20">
        <f>AVERAGE(4.5,3,0)</f>
        <v>2.5</v>
      </c>
      <c r="AD22" s="20">
        <f>AVERAGE(8,3,4)</f>
        <v>5</v>
      </c>
      <c r="AE22" s="20">
        <f>AVERAGE(2.5,6,2)</f>
        <v>3.5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f>AVERAGE(5,5,5,5)</f>
        <v>5</v>
      </c>
      <c r="AL22" s="26">
        <f>AVERAGE(5,4,5,4)</f>
        <v>4.5</v>
      </c>
      <c r="AM22" s="26">
        <f>AVERAGE(4,5,5,4)</f>
        <v>4.5</v>
      </c>
      <c r="AN22" s="26">
        <f>AVERAGE(6,6,5,6)</f>
        <v>5.75</v>
      </c>
      <c r="AO22" s="26">
        <f>AVERAGE(5,5,4,6)</f>
        <v>5</v>
      </c>
      <c r="AP22" s="26">
        <f>AVERAGE(5,4,5,6)</f>
        <v>5</v>
      </c>
      <c r="AQ22" s="26">
        <f>AVERAGE(5,5,5,5)</f>
        <v>5</v>
      </c>
      <c r="AR22" s="26">
        <f>AVERAGE(5,4,4,6)</f>
        <v>4.75</v>
      </c>
      <c r="AS22">
        <v>365</v>
      </c>
      <c r="AT22">
        <v>153</v>
      </c>
    </row>
    <row r="23" spans="1:46" x14ac:dyDescent="0.25">
      <c r="A23" s="7" t="s">
        <v>96</v>
      </c>
      <c r="B23" s="11">
        <v>22</v>
      </c>
      <c r="C23">
        <v>1</v>
      </c>
      <c r="D23">
        <v>0</v>
      </c>
      <c r="E23">
        <v>4</v>
      </c>
      <c r="F23">
        <v>1</v>
      </c>
      <c r="G23" s="19">
        <v>0</v>
      </c>
      <c r="H23" s="19">
        <f>6/20</f>
        <v>0.3</v>
      </c>
      <c r="I23" s="19">
        <f>9/20</f>
        <v>0.45</v>
      </c>
      <c r="J23" s="19">
        <f>1/20</f>
        <v>0.05</v>
      </c>
      <c r="K23" s="19">
        <v>0</v>
      </c>
      <c r="L23" s="19">
        <v>0</v>
      </c>
      <c r="M23" s="19">
        <f>3/20</f>
        <v>0.15</v>
      </c>
      <c r="N23" s="19">
        <f>1/20</f>
        <v>0.05</v>
      </c>
      <c r="O23" s="15">
        <v>0</v>
      </c>
      <c r="P23" s="20">
        <f>2.54*25</f>
        <v>63.5</v>
      </c>
      <c r="Q23" s="20">
        <f>2.54*(AVERAGE(16,21,23.5,12))</f>
        <v>46.037500000000001</v>
      </c>
      <c r="R23" s="20">
        <f>2.54*(AVERAGE(20,21.5,23,23.5))</f>
        <v>55.88</v>
      </c>
      <c r="S23" s="20">
        <f>2.54*(AVERAGE(18.25,17,20.75,17.5))</f>
        <v>46.672499999999999</v>
      </c>
      <c r="T23" s="20">
        <f>2.54*(AVERAGE(16,20,18.25))</f>
        <v>45.931666666666665</v>
      </c>
      <c r="U23" s="20">
        <f>2.54*(AVERAGE(21,21.5,17))</f>
        <v>50.376666666666665</v>
      </c>
      <c r="V23" s="20">
        <f>2.54*(AVERAGE(23.5,23,20.75))</f>
        <v>56.93833333333334</v>
      </c>
      <c r="W23" s="20">
        <f>2.54*(AVERAGE(12,23.5,17.5))</f>
        <v>44.873333333333335</v>
      </c>
      <c r="X23" s="20">
        <f>2.54*2.75</f>
        <v>6.9850000000000003</v>
      </c>
      <c r="Y23" s="20">
        <f>2.54*(AVERAGE(2.5,1.75,2.25,1.75))</f>
        <v>5.2387500000000005</v>
      </c>
      <c r="Z23" s="20">
        <f>2.54*(AVERAGE(0,1.5,2,0))</f>
        <v>2.2225000000000001</v>
      </c>
      <c r="AA23" s="20">
        <f>2.54*(AVERAGE(2,2,2,3.5))</f>
        <v>6.0324999999999998</v>
      </c>
      <c r="AB23" s="20">
        <f>2.54*(AVERAGE(2.5,0,2))</f>
        <v>3.81</v>
      </c>
      <c r="AC23" s="20">
        <f>2.54*(AVERAGE(1.75,1.5,2))</f>
        <v>4.4450000000000003</v>
      </c>
      <c r="AD23" s="20">
        <f>2.54*(AVERAGE(2.25,2,2,))</f>
        <v>3.96875</v>
      </c>
      <c r="AE23" s="20">
        <f>2.25*(AVERAGE(1.75,0,3.5))</f>
        <v>3.9375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f>AVERAGE(5,5,5,6)</f>
        <v>5.25</v>
      </c>
      <c r="AL23" s="26">
        <f>AVERAGE(4,5,3,5)</f>
        <v>4.25</v>
      </c>
      <c r="AM23" s="26">
        <f>AVERAGE(4,5,5,4)</f>
        <v>4.5</v>
      </c>
      <c r="AN23" s="26">
        <f>AVERAGE(5,4,6,5)</f>
        <v>5</v>
      </c>
      <c r="AO23" s="26">
        <f>AVERAGE(5,4,4,5)</f>
        <v>4.5</v>
      </c>
      <c r="AP23" s="26">
        <f>AVERAGE(5,5,5,4)</f>
        <v>4.75</v>
      </c>
      <c r="AQ23" s="26">
        <f>AVERAGE(5,3,5,6)</f>
        <v>4.75</v>
      </c>
      <c r="AR23" s="26">
        <f>AVERAGE(6,5,4,5)</f>
        <v>5</v>
      </c>
      <c r="AS23">
        <v>1281</v>
      </c>
      <c r="AT23">
        <v>204</v>
      </c>
    </row>
    <row r="24" spans="1:46" x14ac:dyDescent="0.25">
      <c r="A24" s="7" t="s">
        <v>97</v>
      </c>
      <c r="B24" s="11">
        <v>23</v>
      </c>
      <c r="C24">
        <v>1</v>
      </c>
      <c r="D24">
        <v>0</v>
      </c>
      <c r="E24">
        <v>4</v>
      </c>
      <c r="F24">
        <v>1</v>
      </c>
      <c r="G24" s="19">
        <v>0</v>
      </c>
      <c r="H24" s="19">
        <f>8/20</f>
        <v>0.4</v>
      </c>
      <c r="I24" s="19">
        <f>5/20</f>
        <v>0.25</v>
      </c>
      <c r="J24" s="19">
        <f>3/20</f>
        <v>0.15</v>
      </c>
      <c r="K24" s="19">
        <v>0</v>
      </c>
      <c r="L24" s="19">
        <v>0</v>
      </c>
      <c r="M24" s="19">
        <f>3/20</f>
        <v>0.15</v>
      </c>
      <c r="N24" s="19">
        <f>1/20</f>
        <v>0.05</v>
      </c>
      <c r="O24" s="15">
        <v>0</v>
      </c>
      <c r="P24" s="20">
        <f>2.54*24.5</f>
        <v>62.230000000000004</v>
      </c>
      <c r="Q24" s="20">
        <f>2.54*(AVERAGE(21,10,25,12))</f>
        <v>43.18</v>
      </c>
      <c r="R24" s="20">
        <f>2.54*(AVERAGE(12.5,14.5,26.5,16.5))</f>
        <v>44.45</v>
      </c>
      <c r="S24" s="20">
        <f>2.54*(AVERAGE(58,18.5,16.5,27))</f>
        <v>76.2</v>
      </c>
      <c r="T24" s="20">
        <f>2.54*(AVERAGE(21,12.5,58))</f>
        <v>77.47</v>
      </c>
      <c r="U24" s="20">
        <f>2.54*(AVERAGE(10,14.5,18.5))</f>
        <v>36.406666666666666</v>
      </c>
      <c r="V24" s="20">
        <f>2.54*(AVERAGE(25,26.5,16.5))</f>
        <v>57.573333333333338</v>
      </c>
      <c r="W24" s="20">
        <f>2.54*(AVERAGE(12,16.5,27))</f>
        <v>46.99</v>
      </c>
      <c r="X24" s="20">
        <f>2.54*2</f>
        <v>5.08</v>
      </c>
      <c r="Y24" s="20">
        <f>2.54*(AVERAGE(1.75,2.25,2.5,1.5))</f>
        <v>5.08</v>
      </c>
      <c r="Z24" s="20">
        <f>2.54*(AVERAGE(1.75,2.5,2.5,2))</f>
        <v>5.5562500000000004</v>
      </c>
      <c r="AA24" s="20">
        <f>2.54*(AVERAGE(0,2.75,1.5,2))</f>
        <v>3.96875</v>
      </c>
      <c r="AB24" s="20">
        <f>2.54*(AVERAGE(1.75,1.75,0))</f>
        <v>2.9633333333333334</v>
      </c>
      <c r="AC24" s="20">
        <f>2.54*(AVERAGE(2.25,2.5,2.75))</f>
        <v>6.35</v>
      </c>
      <c r="AD24" s="20">
        <f>2.54*(AVERAGE(2.5,2.5,1.5))</f>
        <v>5.503333333333333</v>
      </c>
      <c r="AE24" s="20">
        <f>2.54*(AVERAGE(1.5,2,2))</f>
        <v>4.6566666666666663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f>AVERAGE(4,4,4,3)</f>
        <v>3.75</v>
      </c>
      <c r="AL24" s="26">
        <f>AVERAGE(5,2,4,3)</f>
        <v>3.5</v>
      </c>
      <c r="AM24" s="26">
        <f>AVERAGE(5,3,6,5)</f>
        <v>4.75</v>
      </c>
      <c r="AN24" s="26">
        <f>AVERAGE(6,4,6,5)</f>
        <v>5.25</v>
      </c>
      <c r="AO24" s="26">
        <f>AVERAGE(4,5,5,6)</f>
        <v>5</v>
      </c>
      <c r="AP24" s="26">
        <f>AVERAGE(4,2,3,4)</f>
        <v>3.25</v>
      </c>
      <c r="AQ24" s="26">
        <f>AVERAGE(4,4,6,6)</f>
        <v>5</v>
      </c>
      <c r="AR24" s="26">
        <f>AVERAGE(3,3,5,5)</f>
        <v>4</v>
      </c>
      <c r="AS24">
        <v>1647</v>
      </c>
      <c r="AT24">
        <v>227</v>
      </c>
    </row>
    <row r="25" spans="1:46" x14ac:dyDescent="0.25">
      <c r="A25" s="7" t="s">
        <v>98</v>
      </c>
      <c r="B25" s="11">
        <v>24</v>
      </c>
      <c r="C25">
        <v>1</v>
      </c>
      <c r="D25">
        <v>0</v>
      </c>
      <c r="E25">
        <v>4</v>
      </c>
      <c r="F25">
        <v>1</v>
      </c>
      <c r="G25" s="19">
        <f>3/20</f>
        <v>0.15</v>
      </c>
      <c r="H25" s="19">
        <f>13/20</f>
        <v>0.65</v>
      </c>
      <c r="I25" s="19">
        <f>2/20</f>
        <v>0.1</v>
      </c>
      <c r="J25" s="19">
        <f>2/20</f>
        <v>0.1</v>
      </c>
      <c r="K25" s="19">
        <v>0</v>
      </c>
      <c r="L25" s="19">
        <v>0</v>
      </c>
      <c r="M25" s="19">
        <v>0</v>
      </c>
      <c r="N25" s="19">
        <v>0</v>
      </c>
      <c r="O25" s="15">
        <v>0</v>
      </c>
      <c r="P25" s="20">
        <f>2.54*12</f>
        <v>30.48</v>
      </c>
      <c r="Q25" s="20">
        <f>2.54*(AVERAGE(21,22.25,16.5,12))</f>
        <v>45.561250000000001</v>
      </c>
      <c r="R25" s="20">
        <f>2.54*(AVERAGE(21,28,30.5,20))</f>
        <v>63.182499999999997</v>
      </c>
      <c r="S25" s="20">
        <f>2.54*(AVERAGE(19.25,15.25,21.5,26.25))</f>
        <v>52.228749999999998</v>
      </c>
      <c r="T25" s="20">
        <f>2.54*(AVERAGE(21,21,19.25))</f>
        <v>51.858333333333334</v>
      </c>
      <c r="U25" s="20">
        <f>2.54*(AVERAGE(22.25,28,15.25))</f>
        <v>55.456666666666663</v>
      </c>
      <c r="V25" s="20">
        <f>2.54*(AVERAGE(16.5,30.5,21.5))</f>
        <v>57.996666666666663</v>
      </c>
      <c r="W25" s="20">
        <f>2.54*(AVERAGE(12,20,26.25))</f>
        <v>49.318333333333335</v>
      </c>
      <c r="X25" s="20">
        <f>2.54*1.75</f>
        <v>4.4450000000000003</v>
      </c>
      <c r="Y25" s="20">
        <f>2.54*(AVERAGE(0.5,0.5,1,1))</f>
        <v>1.905</v>
      </c>
      <c r="Z25" s="20">
        <f>2.54*(AVERAGE(0.5,3,3.5,1.5))</f>
        <v>5.3975</v>
      </c>
      <c r="AA25" s="20">
        <f>2.54*(AVERAGE(2.25,0.25,0,1))</f>
        <v>2.2225000000000001</v>
      </c>
      <c r="AB25" s="20">
        <f>2.54*(AVERAGE(0.5,0.5,2.25))</f>
        <v>2.7516666666666665</v>
      </c>
      <c r="AC25" s="20">
        <f>2.54*(AVERAGE(0.5,3,0.25))</f>
        <v>3.1749999999999998</v>
      </c>
      <c r="AD25" s="20">
        <f>2.54*(AVERAGE(1,3.5,0))</f>
        <v>3.81</v>
      </c>
      <c r="AE25" s="20">
        <f>2.54*(AVERAGE(1,1.5,1))</f>
        <v>2.9633333333333334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f>AVERAGE(5,3,4,3)</f>
        <v>3.75</v>
      </c>
      <c r="AL25" s="26">
        <f>AVERAGE(6,4,5,5)</f>
        <v>5</v>
      </c>
      <c r="AM25" s="26">
        <f>AVERAGE(6,7,4,6)</f>
        <v>5.75</v>
      </c>
      <c r="AN25" s="26">
        <f>AVERAGE(6,5,5,9)</f>
        <v>6.25</v>
      </c>
      <c r="AO25" s="26">
        <f>AVERAGE(5,6,6,6)</f>
        <v>5.75</v>
      </c>
      <c r="AP25" s="26">
        <f>AVERAGE(3,4,7,5)</f>
        <v>4.75</v>
      </c>
      <c r="AQ25" s="26">
        <f>AVERAGE(4,5,4,5)</f>
        <v>4.5</v>
      </c>
      <c r="AR25" s="26">
        <f>AVERAGE(3,5,6,9)</f>
        <v>5.75</v>
      </c>
      <c r="AS25">
        <v>379</v>
      </c>
      <c r="AT25">
        <v>23</v>
      </c>
    </row>
    <row r="26" spans="1:46" x14ac:dyDescent="0.25">
      <c r="A26" s="7" t="s">
        <v>99</v>
      </c>
      <c r="B26" s="11">
        <v>25</v>
      </c>
      <c r="C26">
        <v>1</v>
      </c>
      <c r="D26">
        <v>0</v>
      </c>
      <c r="E26">
        <v>2</v>
      </c>
      <c r="F26">
        <v>2</v>
      </c>
      <c r="G26" s="19">
        <v>0</v>
      </c>
      <c r="H26" s="19">
        <f>7/20</f>
        <v>0.35</v>
      </c>
      <c r="I26" s="19">
        <f>9/20</f>
        <v>0.45</v>
      </c>
      <c r="J26" s="19">
        <f>2/20</f>
        <v>0.1</v>
      </c>
      <c r="K26" s="19">
        <v>0</v>
      </c>
      <c r="L26" s="19">
        <v>0</v>
      </c>
      <c r="M26" s="19">
        <v>0</v>
      </c>
      <c r="N26" s="19">
        <f>2/20</f>
        <v>0.1</v>
      </c>
      <c r="O26" s="15">
        <v>0</v>
      </c>
      <c r="P26" s="21">
        <v>50</v>
      </c>
      <c r="Q26" s="20">
        <f>AVERAGE(29.7,81,71.8,56.2)</f>
        <v>59.674999999999997</v>
      </c>
      <c r="R26" s="20">
        <f>AVERAGE(72,91.5,56,51.5)</f>
        <v>67.75</v>
      </c>
      <c r="S26" s="20">
        <f>AVERAGE(66,84,57,55)</f>
        <v>65.5</v>
      </c>
      <c r="T26" s="20">
        <f>AVERAGE(29.7,72,66)</f>
        <v>55.9</v>
      </c>
      <c r="U26" s="20">
        <f>AVERAGE(81,91.5,84)</f>
        <v>85.5</v>
      </c>
      <c r="V26" s="20">
        <f>AVERAGE(71.8,56,57)</f>
        <v>61.6</v>
      </c>
      <c r="W26" s="20">
        <f>AVERAGE(56.2,51.5,55)</f>
        <v>54.233333333333327</v>
      </c>
      <c r="X26" s="20">
        <v>2</v>
      </c>
      <c r="Y26" s="20">
        <f>AVERAGE(3,5,5,2.5)</f>
        <v>3.875</v>
      </c>
      <c r="Z26" s="20">
        <f>AVERAGE(4.5,2,2.5,3)</f>
        <v>3</v>
      </c>
      <c r="AA26" s="20">
        <f>AVERAGE(4,2,4.5,3)</f>
        <v>3.375</v>
      </c>
      <c r="AB26" s="20">
        <f>AVERAGE(3,4.5,4)</f>
        <v>3.8333333333333335</v>
      </c>
      <c r="AC26" s="20">
        <f>AVERAGE(5,2,2)</f>
        <v>3</v>
      </c>
      <c r="AD26" s="20">
        <f>AVERAGE(5,2.5,4.5)</f>
        <v>4</v>
      </c>
      <c r="AE26" s="20">
        <f>AVERAGE(2.5,3,3)</f>
        <v>2.8333333333333335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f>AVERAGE(6,7,6,6)</f>
        <v>6.25</v>
      </c>
      <c r="AL26" s="26">
        <f>AVERAGE(6,6,7,6)</f>
        <v>6.25</v>
      </c>
      <c r="AM26" s="26">
        <f>AVERAGE(5,8,5,5)</f>
        <v>5.75</v>
      </c>
      <c r="AN26" s="26">
        <f>AVERAGE(5,6,6,6)</f>
        <v>5.75</v>
      </c>
      <c r="AO26" s="26">
        <f>AVERAGE(6,6,5,5)</f>
        <v>5.5</v>
      </c>
      <c r="AP26" s="26">
        <f>AVERAGE(7,6,8,6)</f>
        <v>6.75</v>
      </c>
      <c r="AQ26" s="26">
        <f>AVERAGE(6,7,5,6)</f>
        <v>6</v>
      </c>
      <c r="AR26" s="26">
        <f>AVERAGE(6,6,5,6)</f>
        <v>5.75</v>
      </c>
      <c r="AS26">
        <v>2105</v>
      </c>
      <c r="AT26">
        <v>22</v>
      </c>
    </row>
    <row r="27" spans="1:46" x14ac:dyDescent="0.25">
      <c r="A27" s="7" t="s">
        <v>100</v>
      </c>
      <c r="B27" s="11">
        <v>26</v>
      </c>
      <c r="C27">
        <v>1</v>
      </c>
      <c r="D27">
        <v>0</v>
      </c>
      <c r="E27">
        <v>4</v>
      </c>
      <c r="F27">
        <v>1</v>
      </c>
      <c r="G27" s="19">
        <f>7/20</f>
        <v>0.35</v>
      </c>
      <c r="H27" s="19">
        <f>3/20</f>
        <v>0.15</v>
      </c>
      <c r="I27" s="19">
        <f>4/20</f>
        <v>0.2</v>
      </c>
      <c r="J27" s="19">
        <f>1/20</f>
        <v>0.05</v>
      </c>
      <c r="K27" s="19">
        <v>0</v>
      </c>
      <c r="L27" s="19">
        <v>0</v>
      </c>
      <c r="M27" s="19">
        <v>0</v>
      </c>
      <c r="N27" s="19">
        <f>4/20</f>
        <v>0.2</v>
      </c>
      <c r="O27" s="19">
        <f>1/20</f>
        <v>0.05</v>
      </c>
      <c r="P27" s="21">
        <v>70</v>
      </c>
      <c r="Q27" s="20">
        <f>AVERAGE(145,120,113.2,174)</f>
        <v>138.05000000000001</v>
      </c>
      <c r="R27" s="20">
        <f>AVERAGE(63.5,111,64,76)</f>
        <v>78.625</v>
      </c>
      <c r="S27" s="20">
        <f>AVERAGE(75.6,165.5,78.2,70.4)</f>
        <v>97.425000000000011</v>
      </c>
      <c r="T27" s="20">
        <f>AVERAGE(145,63.5,75.6)</f>
        <v>94.7</v>
      </c>
      <c r="U27" s="20">
        <f>AVERAGE(120,111,165.5)</f>
        <v>132.16666666666666</v>
      </c>
      <c r="V27" s="20">
        <f>AVERAGE(113.2,64,78.2)</f>
        <v>85.133333333333326</v>
      </c>
      <c r="W27" s="20">
        <f>AVERAGE(174,76,70.4)</f>
        <v>106.8</v>
      </c>
      <c r="X27" s="20">
        <v>0</v>
      </c>
      <c r="Y27" s="20">
        <v>0</v>
      </c>
      <c r="Z27" s="20">
        <f>AVERAGE(0,0,0,16)</f>
        <v>4</v>
      </c>
      <c r="AA27" s="20">
        <f>AVERAGE(17,23,0,0)</f>
        <v>10</v>
      </c>
      <c r="AB27" s="20">
        <f>AVERAGE(0,0,17)</f>
        <v>5.666666666666667</v>
      </c>
      <c r="AC27" s="20">
        <f>AVERAGE(0,0,23)</f>
        <v>7.666666666666667</v>
      </c>
      <c r="AD27" s="20">
        <v>0</v>
      </c>
      <c r="AE27" s="20">
        <f>AVERAGE(0,0,16)</f>
        <v>5.333333333333333</v>
      </c>
      <c r="AF27" s="26">
        <v>0</v>
      </c>
      <c r="AG27" s="26">
        <v>2.76</v>
      </c>
      <c r="AH27" s="26">
        <v>0</v>
      </c>
      <c r="AI27" s="26">
        <v>95.32</v>
      </c>
      <c r="AJ27" s="26">
        <v>0</v>
      </c>
      <c r="AK27" s="26">
        <f>AVERAGE(10,6,7,5)</f>
        <v>7</v>
      </c>
      <c r="AL27" s="26">
        <f>AVERAGE(8,4,7,6)</f>
        <v>6.25</v>
      </c>
      <c r="AM27" s="26">
        <f>AVERAGE(7,5,8,8)</f>
        <v>7</v>
      </c>
      <c r="AN27" s="26">
        <f>AVERAGE(5,5,2,7)</f>
        <v>4.75</v>
      </c>
      <c r="AO27" s="26">
        <f>AVERAGE(10,8,7,5)</f>
        <v>7.5</v>
      </c>
      <c r="AP27" s="26">
        <f>AVERAGE(6,4,5,5)</f>
        <v>5</v>
      </c>
      <c r="AQ27" s="26">
        <f>AVERAGE(7,7,8,2)</f>
        <v>6</v>
      </c>
      <c r="AR27" s="26">
        <f>AVERAGE(5,6,8,7)</f>
        <v>6.5</v>
      </c>
      <c r="AS27">
        <v>119</v>
      </c>
      <c r="AT27">
        <v>7</v>
      </c>
    </row>
    <row r="28" spans="1:46" x14ac:dyDescent="0.25">
      <c r="A28" s="7" t="s">
        <v>101</v>
      </c>
      <c r="B28" s="11">
        <v>27</v>
      </c>
      <c r="C28">
        <v>1</v>
      </c>
      <c r="D28">
        <v>0</v>
      </c>
      <c r="E28">
        <v>1</v>
      </c>
      <c r="F28">
        <v>1</v>
      </c>
      <c r="G28" s="19">
        <f>4/20</f>
        <v>0.2</v>
      </c>
      <c r="H28" s="19">
        <f>12/20</f>
        <v>0.6</v>
      </c>
      <c r="I28" s="19">
        <f>1/20</f>
        <v>0.05</v>
      </c>
      <c r="J28" s="19">
        <f>3/20</f>
        <v>0.15</v>
      </c>
      <c r="K28" s="19">
        <v>0</v>
      </c>
      <c r="L28" s="19">
        <v>0</v>
      </c>
      <c r="M28" s="19">
        <v>0</v>
      </c>
      <c r="N28" s="19">
        <v>0</v>
      </c>
      <c r="O28" s="15">
        <v>0</v>
      </c>
      <c r="P28" s="21">
        <v>45</v>
      </c>
      <c r="Q28" s="20">
        <f>AVERAGE(51,63,63,49.5)</f>
        <v>56.625</v>
      </c>
      <c r="R28" s="20">
        <f>AVERAGE(74,40,46,62)</f>
        <v>55.5</v>
      </c>
      <c r="S28" s="20">
        <f>AVERAGE(64,42,58,78.5)</f>
        <v>60.625</v>
      </c>
      <c r="T28" s="20">
        <f>AVERAGE(51,74,64)</f>
        <v>63</v>
      </c>
      <c r="U28" s="20">
        <f>AVERAGE(63,40,42)</f>
        <v>48.333333333333336</v>
      </c>
      <c r="V28" s="20">
        <f>AVERAGE(63,46,58)</f>
        <v>55.666666666666664</v>
      </c>
      <c r="W28" s="20">
        <f>AVERAGE(49.5,62,78.5)</f>
        <v>63.333333333333336</v>
      </c>
      <c r="X28" s="20">
        <v>3</v>
      </c>
      <c r="Y28" s="20">
        <f>AVERAGE(2,2,11,3.5)</f>
        <v>4.625</v>
      </c>
      <c r="Z28" s="20">
        <f>AVERAGE(2,3.5,4,4)</f>
        <v>3.375</v>
      </c>
      <c r="AA28" s="20">
        <f>AVERAGE(4.5,1,3.5,3)</f>
        <v>3</v>
      </c>
      <c r="AB28" s="20">
        <f>AVERAGE(2,2,4.5)</f>
        <v>2.8333333333333335</v>
      </c>
      <c r="AC28" s="20">
        <f>AVERAGE(2,3.5,1)</f>
        <v>2.1666666666666665</v>
      </c>
      <c r="AD28" s="20">
        <f>AVERAGE(11,4,3.5)</f>
        <v>6.166666666666667</v>
      </c>
      <c r="AE28" s="20">
        <f>AVERAGE(3.5,4,3)</f>
        <v>3.5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f>AVERAGE(6,5,5,6)</f>
        <v>5.5</v>
      </c>
      <c r="AL28" s="26">
        <f>AVERAGE(6,6,7,6)</f>
        <v>6.25</v>
      </c>
      <c r="AM28" s="26">
        <f>AVERAGE(7,4,5,6)</f>
        <v>5.5</v>
      </c>
      <c r="AN28" s="26">
        <f>AVERAGE(5,4,6,6)</f>
        <v>5.25</v>
      </c>
      <c r="AO28" s="26">
        <f>AVERAGE(6,6,7,5)</f>
        <v>6</v>
      </c>
      <c r="AP28" s="26">
        <f>AVERAGE(5,6,4,4)</f>
        <v>4.75</v>
      </c>
      <c r="AQ28" s="26">
        <f>AVERAGE(5,7,5,6)</f>
        <v>5.75</v>
      </c>
      <c r="AR28" s="26">
        <v>6</v>
      </c>
      <c r="AS28">
        <v>70</v>
      </c>
      <c r="AT28">
        <v>11</v>
      </c>
    </row>
    <row r="29" spans="1:46" x14ac:dyDescent="0.25">
      <c r="A29" s="7" t="s">
        <v>102</v>
      </c>
      <c r="B29" s="11">
        <v>28</v>
      </c>
      <c r="C29">
        <v>1</v>
      </c>
      <c r="D29">
        <v>0</v>
      </c>
      <c r="E29">
        <v>1</v>
      </c>
      <c r="F29">
        <v>1</v>
      </c>
      <c r="G29" s="19">
        <f>2/20</f>
        <v>0.1</v>
      </c>
      <c r="H29" s="19">
        <f>16/20</f>
        <v>0.8</v>
      </c>
      <c r="I29" s="19">
        <f>1/20</f>
        <v>0.05</v>
      </c>
      <c r="J29" s="19">
        <f>1/20</f>
        <v>0.05</v>
      </c>
      <c r="K29" s="19">
        <v>0</v>
      </c>
      <c r="L29" s="19">
        <v>0</v>
      </c>
      <c r="M29" s="19">
        <v>0</v>
      </c>
      <c r="N29" s="19">
        <v>0</v>
      </c>
      <c r="O29" s="15">
        <v>0</v>
      </c>
      <c r="P29" s="21">
        <v>85</v>
      </c>
      <c r="Q29" s="20">
        <f>AVERAGE(122.5,119.5,94.5,80)</f>
        <v>104.125</v>
      </c>
      <c r="R29" s="20">
        <f>AVERAGE(83,106.5,138,77)</f>
        <v>101.125</v>
      </c>
      <c r="S29" s="20">
        <f>AVERAGE(123,140.5,91,144.5)</f>
        <v>124.75</v>
      </c>
      <c r="T29" s="20">
        <f>AVERAGE(122.5,83,123)</f>
        <v>109.5</v>
      </c>
      <c r="U29" s="20">
        <f>AVERAGE(119.5,106.5,140.5)</f>
        <v>122.16666666666667</v>
      </c>
      <c r="V29" s="20">
        <f>AVERAGE(94.5,138,91)</f>
        <v>107.83333333333333</v>
      </c>
      <c r="W29" s="20">
        <f>AVERAGE(80,77,144.5)</f>
        <v>100.5</v>
      </c>
      <c r="X29" s="20">
        <v>4</v>
      </c>
      <c r="Y29" s="20">
        <f>AVERAGE(7.5,2,5.5,3.5)</f>
        <v>4.625</v>
      </c>
      <c r="Z29" s="20">
        <f>AVERAGE(5,3.5,5.5,3.5)</f>
        <v>4.375</v>
      </c>
      <c r="AA29" s="20">
        <f>AVERAGE(2,4,11,3)</f>
        <v>5</v>
      </c>
      <c r="AB29" s="20">
        <f>AVERAGE(7.5,5,2)</f>
        <v>4.833333333333333</v>
      </c>
      <c r="AC29" s="20">
        <f>AVERAGE(2,3.5,4)</f>
        <v>3.1666666666666665</v>
      </c>
      <c r="AD29" s="20">
        <f>AVERAGE(5.5,5.5,11)</f>
        <v>7.333333333333333</v>
      </c>
      <c r="AE29" s="20">
        <f>AVERAGE(3.5,3.5,3)</f>
        <v>3.3333333333333335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f>AVERAGE(7,5,6,7)</f>
        <v>6.25</v>
      </c>
      <c r="AL29" s="26">
        <f>AVERAGE(6,3,7,6)</f>
        <v>5.5</v>
      </c>
      <c r="AM29" s="26">
        <f>AVERAGE(4,7,8,7)</f>
        <v>6.5</v>
      </c>
      <c r="AN29" s="26">
        <f>AVERAGE(7,6,9,7)</f>
        <v>7.25</v>
      </c>
      <c r="AO29" s="26">
        <f>AVERAGE(7,6,4,7)</f>
        <v>6</v>
      </c>
      <c r="AP29" s="26">
        <f>AVERAGE(5,3,7,6)</f>
        <v>5.25</v>
      </c>
      <c r="AQ29" s="26">
        <f>AVERAGE(6,7,8,9)</f>
        <v>7.5</v>
      </c>
      <c r="AR29" s="26">
        <f>AVERAGE(7,6,7,7)</f>
        <v>6.75</v>
      </c>
      <c r="AS29">
        <v>97</v>
      </c>
      <c r="AT29">
        <v>85</v>
      </c>
    </row>
    <row r="30" spans="1:46" x14ac:dyDescent="0.25">
      <c r="A30" s="7" t="s">
        <v>103</v>
      </c>
      <c r="B30" s="11">
        <v>29</v>
      </c>
      <c r="C30">
        <v>1</v>
      </c>
      <c r="D30">
        <v>0</v>
      </c>
      <c r="E30">
        <v>4</v>
      </c>
      <c r="F30">
        <v>1</v>
      </c>
      <c r="G30" s="19">
        <v>0</v>
      </c>
      <c r="H30" s="19">
        <f>13/20</f>
        <v>0.65</v>
      </c>
      <c r="I30" s="19">
        <f>6/20</f>
        <v>0.3</v>
      </c>
      <c r="J30" s="19">
        <f>1/20</f>
        <v>0.05</v>
      </c>
      <c r="K30" s="19">
        <v>0</v>
      </c>
      <c r="L30" s="19">
        <v>0</v>
      </c>
      <c r="M30" s="19">
        <v>0</v>
      </c>
      <c r="N30" s="19">
        <v>0</v>
      </c>
      <c r="O30" s="15">
        <v>0</v>
      </c>
      <c r="P30" s="21">
        <v>72</v>
      </c>
      <c r="Q30" s="20">
        <f>AVERAGE(75,103,85.6,68)</f>
        <v>82.9</v>
      </c>
      <c r="R30" s="20">
        <f>AVERAGE(63,76,99.5,90)</f>
        <v>82.125</v>
      </c>
      <c r="S30" s="20">
        <f>AVERAGE(172,85.5,49,26)</f>
        <v>83.125</v>
      </c>
      <c r="T30" s="20">
        <f>AVERAGE(75,63,172)</f>
        <v>103.33333333333333</v>
      </c>
      <c r="U30" s="20">
        <f>AVERAGE(103,76,85.5)</f>
        <v>88.166666666666671</v>
      </c>
      <c r="V30" s="20">
        <f>AVERAGE(85.6,99.5,49)</f>
        <v>78.033333333333331</v>
      </c>
      <c r="W30" s="20">
        <f>AVERAGE(68,90,26)</f>
        <v>61.333333333333336</v>
      </c>
      <c r="X30" s="20">
        <f>2.54*1.5</f>
        <v>3.81</v>
      </c>
      <c r="Y30" s="20">
        <f>2.54*(AVERAGE(0.5,2,1,0.5))</f>
        <v>2.54</v>
      </c>
      <c r="Z30" s="20">
        <f>2.54*(AVERAGE(1,0.5,1.5,1))</f>
        <v>2.54</v>
      </c>
      <c r="AA30" s="20">
        <f>2.54*(AVERAGE(1.5,1,0.25,2))</f>
        <v>3.0162499999999999</v>
      </c>
      <c r="AB30" s="20">
        <f>2.54*(AVERAGE(0.5,1,1.5))</f>
        <v>2.54</v>
      </c>
      <c r="AC30" s="20">
        <f>2.54*(AVERAGE(2,0.5,1))</f>
        <v>2.9633333333333334</v>
      </c>
      <c r="AD30" s="20">
        <f>2.54*(AVERAGE(1,1.5,0.25))</f>
        <v>2.3283333333333331</v>
      </c>
      <c r="AE30" s="20">
        <f>2.54*(AVERAGE(0.5,1,2))</f>
        <v>2.9633333333333334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f>AVERAGE(7,6,5,6)</f>
        <v>6</v>
      </c>
      <c r="AL30" s="26">
        <f>AVERAGE(6,7,6,7)</f>
        <v>6.5</v>
      </c>
      <c r="AM30" s="26">
        <f>AVERAGE(6,7,8,4)</f>
        <v>6.25</v>
      </c>
      <c r="AN30" s="26">
        <f>AVERAGE(6,8,7,6)</f>
        <v>6.75</v>
      </c>
      <c r="AO30" s="26">
        <f>AVERAGE(7,6,6,6)</f>
        <v>6.25</v>
      </c>
      <c r="AP30" s="26">
        <f>AVERAGE(6,7,7,8)</f>
        <v>7</v>
      </c>
      <c r="AQ30" s="26">
        <f>AVERAGE(5,6,8,7)</f>
        <v>6.5</v>
      </c>
      <c r="AR30" s="26">
        <f>AVERAGE(6,7,4,6)</f>
        <v>5.75</v>
      </c>
      <c r="AS30">
        <v>422</v>
      </c>
      <c r="AT30">
        <v>159</v>
      </c>
    </row>
    <row r="31" spans="1:46" x14ac:dyDescent="0.25">
      <c r="A31" s="7" t="s">
        <v>104</v>
      </c>
      <c r="B31" s="11">
        <v>30</v>
      </c>
      <c r="C31">
        <v>1</v>
      </c>
      <c r="D31">
        <v>0</v>
      </c>
      <c r="E31">
        <v>2</v>
      </c>
      <c r="F31">
        <v>2</v>
      </c>
      <c r="G31" s="19">
        <v>0</v>
      </c>
      <c r="H31" s="19">
        <f>11/20</f>
        <v>0.55000000000000004</v>
      </c>
      <c r="I31" s="19">
        <f>8/20</f>
        <v>0.4</v>
      </c>
      <c r="J31" s="19">
        <f>1/20</f>
        <v>0.05</v>
      </c>
      <c r="K31" s="19">
        <v>0</v>
      </c>
      <c r="L31" s="19">
        <v>0</v>
      </c>
      <c r="M31" s="19">
        <v>0</v>
      </c>
      <c r="N31" s="19">
        <v>0</v>
      </c>
      <c r="O31" s="15">
        <v>0</v>
      </c>
      <c r="P31" s="20">
        <f>2.54*44.5</f>
        <v>113.03</v>
      </c>
      <c r="Q31" s="20">
        <f>2.54*(AVERAGE(50.5,47.25,37.5,43))</f>
        <v>113.18875</v>
      </c>
      <c r="R31" s="20">
        <f>2.54*(AVERAGE(38,49,40.5,41))</f>
        <v>106.9975</v>
      </c>
      <c r="S31" s="20">
        <f>2.54*(AVERAGE(39,61.5,32.75,54))</f>
        <v>118.90375</v>
      </c>
      <c r="T31" s="20">
        <f>2.54*(AVERAGE(50.5,38,39))</f>
        <v>107.95</v>
      </c>
      <c r="U31" s="20">
        <f>2.54*(AVERAGE(47.25,49,61.5))</f>
        <v>133.56166666666667</v>
      </c>
      <c r="V31" s="20">
        <f>2.54*(AVERAGE(37.5,40.5,32.75))</f>
        <v>93.768333333333331</v>
      </c>
      <c r="W31" s="20">
        <f>2.54*(AVERAGE(43,41,54))</f>
        <v>116.84</v>
      </c>
      <c r="X31" s="20">
        <f>1.5*2.54</f>
        <v>3.81</v>
      </c>
      <c r="Y31" s="20">
        <f>2.54*(AVERAGE(1,1.375,1,1.25))</f>
        <v>2.9368750000000001</v>
      </c>
      <c r="Z31" s="20">
        <f>2.54*(AVERAGE(2,0.75,1.25,1))</f>
        <v>3.1749999999999998</v>
      </c>
      <c r="AA31" s="20">
        <f>2.54*(AVERAGE(1.5,0.5,2.75,1.25))</f>
        <v>3.81</v>
      </c>
      <c r="AB31" s="20">
        <f>2.54*(AVERAGE(1,2,1.5))</f>
        <v>3.81</v>
      </c>
      <c r="AC31" s="20">
        <f>2.54*(AVERAGE(1.375,0.75,0.5))</f>
        <v>2.2225000000000001</v>
      </c>
      <c r="AD31" s="20">
        <f>2.54*(AVERAGE(1,1.25,2.75))</f>
        <v>4.2333333333333334</v>
      </c>
      <c r="AE31" s="20">
        <f>2.54*(AVERAGE(0.25,1,1.25))</f>
        <v>2.1166666666666667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10</v>
      </c>
      <c r="AL31" s="26">
        <f>AVERAGE(9,10,10,10)</f>
        <v>9.75</v>
      </c>
      <c r="AM31" s="26">
        <f>9.75</f>
        <v>9.75</v>
      </c>
      <c r="AN31" s="26">
        <f>AVERAGE(10,10,9,10)</f>
        <v>9.75</v>
      </c>
      <c r="AO31" s="26">
        <f>AVERAGE(10,9,9,10)</f>
        <v>9.5</v>
      </c>
      <c r="AP31" s="26">
        <v>10</v>
      </c>
      <c r="AQ31" s="26">
        <f>AVERAGE(9,10,10,10)</f>
        <v>9.75</v>
      </c>
      <c r="AR31" s="26">
        <v>10</v>
      </c>
      <c r="AS31">
        <v>356</v>
      </c>
      <c r="AT31">
        <v>77</v>
      </c>
    </row>
    <row r="32" spans="1:46" x14ac:dyDescent="0.25">
      <c r="A32" s="7" t="s">
        <v>105</v>
      </c>
      <c r="B32" s="11">
        <v>31</v>
      </c>
      <c r="C32">
        <v>1</v>
      </c>
      <c r="D32">
        <v>0</v>
      </c>
      <c r="E32">
        <v>2</v>
      </c>
      <c r="F32">
        <v>2</v>
      </c>
      <c r="G32" s="19">
        <f>2/20</f>
        <v>0.1</v>
      </c>
      <c r="H32" s="19">
        <f>9/20</f>
        <v>0.45</v>
      </c>
      <c r="I32" s="19">
        <f>6/20</f>
        <v>0.3</v>
      </c>
      <c r="J32" s="19">
        <f>2/20</f>
        <v>0.1</v>
      </c>
      <c r="K32" s="19">
        <v>0</v>
      </c>
      <c r="L32" s="19">
        <v>0</v>
      </c>
      <c r="M32" s="19">
        <f>1/20</f>
        <v>0.05</v>
      </c>
      <c r="N32" s="19">
        <v>0</v>
      </c>
      <c r="O32" s="15">
        <v>0</v>
      </c>
      <c r="P32" s="20">
        <f>2.54*22.5</f>
        <v>57.15</v>
      </c>
      <c r="Q32" s="20">
        <f>2.54*(AVERAGE(32,16,19.75,23.25))</f>
        <v>57.785000000000004</v>
      </c>
      <c r="R32" s="20">
        <f>2.54*(AVERAGE(29,22.5,17,18))</f>
        <v>54.927500000000002</v>
      </c>
      <c r="S32" s="20">
        <f>2.54*(AVERAGE(35,26,22.5,30))</f>
        <v>72.072500000000005</v>
      </c>
      <c r="T32" s="20">
        <f>2.54*(AVERAGE(32,29,35))</f>
        <v>81.28</v>
      </c>
      <c r="U32" s="20">
        <f>2.54*(AVERAGE(16,22.5,26))</f>
        <v>54.61</v>
      </c>
      <c r="V32" s="20">
        <f>2.54*(AVERAGE(19.75,17,22.5))</f>
        <v>50.164999999999999</v>
      </c>
      <c r="W32" s="20">
        <f>2.54*(AVERAGE(23.25,18,30))</f>
        <v>60.325000000000003</v>
      </c>
      <c r="X32" s="20">
        <f>2.54*1</f>
        <v>2.54</v>
      </c>
      <c r="Y32" s="20">
        <f>2.54*(AVERAGE(0,1.125,1.5,2.5))</f>
        <v>3.254375</v>
      </c>
      <c r="Z32" s="20">
        <f>2.54*(AVERAGE(0.5,1,1,2.125))</f>
        <v>2.9368750000000001</v>
      </c>
      <c r="AA32" s="20">
        <f>2.54*(AVERAGE(3.5,0.75,0.25,2.5))</f>
        <v>4.4450000000000003</v>
      </c>
      <c r="AB32" s="20">
        <f>2.54*(AVERAGE(0,0.5,3.5))</f>
        <v>3.3866666666666667</v>
      </c>
      <c r="AC32" s="20">
        <f>2.54*(AVERAGE(1.125,1,0.75))</f>
        <v>2.4341666666666666</v>
      </c>
      <c r="AD32" s="20">
        <f>2.54*(AVERAGE(1.5,1,0.25))</f>
        <v>2.3283333333333331</v>
      </c>
      <c r="AE32" s="20">
        <f>2.54*(AVERAGE(2.5,2.125,2.5))</f>
        <v>6.0324999999999998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f>AVERAGE(7,7,7,6)</f>
        <v>6.75</v>
      </c>
      <c r="AL32" s="26">
        <f>AVERAGE(5,6,6,6)</f>
        <v>5.75</v>
      </c>
      <c r="AM32" s="26">
        <f>AVERAGE(6,6,6,7)</f>
        <v>6.25</v>
      </c>
      <c r="AN32" s="26">
        <f>AVERAGE(7,7,7,6)</f>
        <v>6.75</v>
      </c>
      <c r="AO32" s="26">
        <f>AVERAGE(7,5,6,7)</f>
        <v>6.25</v>
      </c>
      <c r="AP32" s="26">
        <f>AVERAGE(7,6,6,7)</f>
        <v>6.5</v>
      </c>
      <c r="AQ32" s="26">
        <f>AVERAGE(7,6,6,7)</f>
        <v>6.5</v>
      </c>
      <c r="AR32" s="26">
        <f>AVERAGE(6,6,7,6)</f>
        <v>6.25</v>
      </c>
      <c r="AS32">
        <v>266</v>
      </c>
      <c r="AT32">
        <v>43</v>
      </c>
    </row>
    <row r="33" spans="1:46" x14ac:dyDescent="0.25">
      <c r="A33" s="7" t="s">
        <v>106</v>
      </c>
      <c r="B33" s="11">
        <v>32</v>
      </c>
      <c r="C33">
        <v>1</v>
      </c>
      <c r="D33">
        <v>0</v>
      </c>
      <c r="E33">
        <v>2</v>
      </c>
      <c r="F33">
        <v>1</v>
      </c>
      <c r="G33" s="19">
        <f>3/20</f>
        <v>0.15</v>
      </c>
      <c r="H33" s="19">
        <f>9/20</f>
        <v>0.45</v>
      </c>
      <c r="I33" s="19">
        <f>3/20</f>
        <v>0.15</v>
      </c>
      <c r="J33" s="19">
        <f>3/20</f>
        <v>0.15</v>
      </c>
      <c r="K33" s="19">
        <f>1/20</f>
        <v>0.05</v>
      </c>
      <c r="L33" s="19">
        <v>0</v>
      </c>
      <c r="M33" s="19">
        <f>1/20</f>
        <v>0.05</v>
      </c>
      <c r="N33" s="19">
        <v>0</v>
      </c>
      <c r="O33" s="15">
        <v>0</v>
      </c>
      <c r="P33" s="20">
        <f>2.54*21.5</f>
        <v>54.61</v>
      </c>
      <c r="Q33" s="20">
        <f>2.54*(AVERAGE(15.5,20.75,24))</f>
        <v>51.011666666666663</v>
      </c>
      <c r="R33" s="20">
        <f>2.54*(AVERAGE(7.5,30.75,15,15.5))</f>
        <v>43.65625</v>
      </c>
      <c r="S33" s="20">
        <f>2.54*(AVERAGE(13,27.75,22,21.25))</f>
        <v>53.34</v>
      </c>
      <c r="T33" s="20">
        <f>2.54*(AVERAGE(15.5,7.5,13))</f>
        <v>30.48</v>
      </c>
      <c r="U33" s="20">
        <f>2.54*(AVERAGE(20.75,30.75,27.75))</f>
        <v>67.098333333333343</v>
      </c>
      <c r="V33" s="20">
        <f>2.54*(AVERAGE(24,15,22))</f>
        <v>51.646666666666661</v>
      </c>
      <c r="W33" s="20">
        <f>2.54*(AVERAGE(24,15.5,21.25))</f>
        <v>51.435000000000002</v>
      </c>
      <c r="X33" s="20">
        <f>2.54*1.25</f>
        <v>3.1749999999999998</v>
      </c>
      <c r="Y33" s="20">
        <f>2.54*(AVERAGE(1.25,1.5,1,2.5))</f>
        <v>3.96875</v>
      </c>
      <c r="Z33" s="20">
        <f>2.54*(AVERAGE(1.375,1,1.5,1.25))</f>
        <v>3.254375</v>
      </c>
      <c r="AA33" s="20">
        <f>2.54*(AVERAGE(0.5,0,1.25,1))</f>
        <v>1.7462500000000001</v>
      </c>
      <c r="AB33" s="20">
        <f>2.54*(AVERAGE(1.25,1.375,0.5))</f>
        <v>2.6458333333333335</v>
      </c>
      <c r="AC33" s="20">
        <f>2.54*(AVERAGE(1.5,1,0))</f>
        <v>2.1166666666666667</v>
      </c>
      <c r="AD33" s="20">
        <f>2.54*(AVERAGE(1,1.5,1.25))</f>
        <v>3.1749999999999998</v>
      </c>
      <c r="AE33" s="20">
        <f>2.54*(AVERAGE(2.5,1.25,1))</f>
        <v>4.0216666666666665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f>AVERAGE(5,4,4,7)</f>
        <v>5</v>
      </c>
      <c r="AL33" s="26">
        <f>AVERAGE(4,5,3,5)</f>
        <v>4.25</v>
      </c>
      <c r="AM33" s="26">
        <f>AVERAGE(4,5,4,4)</f>
        <v>4.25</v>
      </c>
      <c r="AN33" s="26">
        <f>AVERAGE(6,5,4,4)</f>
        <v>4.75</v>
      </c>
      <c r="AO33" s="26">
        <f>AVERAGE(5,4,4,6)</f>
        <v>4.75</v>
      </c>
      <c r="AP33" s="26">
        <f>AVERAGE(4,5,5,5)</f>
        <v>4.75</v>
      </c>
      <c r="AQ33" s="26">
        <f>AVERAGE(4,3,4,4)</f>
        <v>3.75</v>
      </c>
      <c r="AR33" s="26">
        <f>AVERAGE(7,4,4,4)</f>
        <v>4.75</v>
      </c>
      <c r="AS33">
        <v>454</v>
      </c>
      <c r="AT33">
        <v>162</v>
      </c>
    </row>
    <row r="34" spans="1:46" x14ac:dyDescent="0.25">
      <c r="A34" s="7" t="s">
        <v>107</v>
      </c>
      <c r="B34" s="11">
        <v>33</v>
      </c>
      <c r="C34">
        <v>1</v>
      </c>
      <c r="D34">
        <v>0</v>
      </c>
      <c r="E34">
        <v>1</v>
      </c>
      <c r="F34">
        <v>1</v>
      </c>
      <c r="G34" s="19">
        <f>3/20</f>
        <v>0.15</v>
      </c>
      <c r="H34" s="19">
        <f>13/20</f>
        <v>0.65</v>
      </c>
      <c r="I34" s="19">
        <f>2/20</f>
        <v>0.1</v>
      </c>
      <c r="J34" s="19">
        <f>2/10</f>
        <v>0.2</v>
      </c>
      <c r="K34" s="19">
        <v>0</v>
      </c>
      <c r="L34" s="19">
        <v>0</v>
      </c>
      <c r="M34" s="19">
        <v>0</v>
      </c>
      <c r="N34" s="19">
        <v>0</v>
      </c>
      <c r="O34" s="15">
        <v>0</v>
      </c>
      <c r="P34" s="20">
        <f>2.54*21.75</f>
        <v>55.244999999999997</v>
      </c>
      <c r="Q34" s="20">
        <f>2.54*(AVERAGE(22,22.25,19,15.5))</f>
        <v>50.006250000000001</v>
      </c>
      <c r="R34" s="20">
        <f>2.54*(AVERAGE(16,29.5,28,28))</f>
        <v>64.452500000000001</v>
      </c>
      <c r="S34" s="20">
        <f>2.54*(AVERAGE(13,27,18.5,20))</f>
        <v>49.847500000000004</v>
      </c>
      <c r="T34" s="20">
        <f>2.54*(AVERAGE(22,16,13))</f>
        <v>43.18</v>
      </c>
      <c r="U34" s="20">
        <f>2.54*(AVERAGE(22.25,29.5,27))</f>
        <v>66.674999999999997</v>
      </c>
      <c r="V34" s="20">
        <f>2.54*(AVERAGE(19,28,18.5))</f>
        <v>55.456666666666663</v>
      </c>
      <c r="W34" s="20">
        <f>2.54*(AVERAGE(15.5,28,20))</f>
        <v>53.763333333333335</v>
      </c>
      <c r="X34" s="20">
        <f>2.54*3.25</f>
        <v>8.2550000000000008</v>
      </c>
      <c r="Y34" s="20">
        <f>2.54*(AVERAGE(1,1.375,2,1.375))</f>
        <v>3.6512500000000001</v>
      </c>
      <c r="Z34" s="20">
        <f>2.54*(AVERAGE(1.75,1.5,1.25,1))</f>
        <v>3.4925000000000002</v>
      </c>
      <c r="AA34" s="20">
        <f>2.54*(AVERAGE(1.75,2.625,1.25,2.125))</f>
        <v>4.9212499999999997</v>
      </c>
      <c r="AB34" s="20">
        <f>2.54*(AVERAGE(1,1.75,1.75))</f>
        <v>3.81</v>
      </c>
      <c r="AC34" s="20">
        <f>2.54*(AVERAGE(1.375,1.5,2.625))</f>
        <v>4.6566666666666663</v>
      </c>
      <c r="AD34" s="20">
        <f>2.54*(AVERAGE(2,1.25,1.25))</f>
        <v>3.81</v>
      </c>
      <c r="AE34" s="20">
        <f>2.54*(AVERAGE(1.375,1,2.125))</f>
        <v>3.81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f>AVERAGE(6,7,8,4)</f>
        <v>6.25</v>
      </c>
      <c r="AL34" s="26">
        <f>AVERAGE(4,7,7,4)</f>
        <v>5.5</v>
      </c>
      <c r="AM34" s="26">
        <f>AVERAGE(6,8,6,5)</f>
        <v>6.25</v>
      </c>
      <c r="AN34" s="26">
        <f>AVERAGE(5,8,5,5)</f>
        <v>5.75</v>
      </c>
      <c r="AO34" s="26">
        <f>AVERAGE(6,4,6,5)</f>
        <v>5.25</v>
      </c>
      <c r="AP34" s="26">
        <f>AVERAGE(7,7,8,8)</f>
        <v>7.5</v>
      </c>
      <c r="AQ34" s="26">
        <f>AVERAGE(8,7,6,5)</f>
        <v>6.5</v>
      </c>
      <c r="AR34" s="26">
        <f>AVERAGE(4,4,5,5)</f>
        <v>4.5</v>
      </c>
      <c r="AS34">
        <v>263</v>
      </c>
      <c r="AT34">
        <v>92</v>
      </c>
    </row>
    <row r="35" spans="1:46" x14ac:dyDescent="0.25">
      <c r="A35" s="7" t="s">
        <v>108</v>
      </c>
      <c r="B35" s="11">
        <v>34</v>
      </c>
      <c r="C35">
        <v>1</v>
      </c>
      <c r="D35">
        <v>0</v>
      </c>
      <c r="E35">
        <v>4</v>
      </c>
      <c r="F35">
        <v>2</v>
      </c>
      <c r="G35" s="19">
        <f>1/20</f>
        <v>0.05</v>
      </c>
      <c r="H35" s="19">
        <f>9/20</f>
        <v>0.45</v>
      </c>
      <c r="I35" s="19">
        <f>10/20</f>
        <v>0.5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5">
        <v>0</v>
      </c>
      <c r="P35" s="20">
        <f>40*2.54</f>
        <v>101.6</v>
      </c>
      <c r="Q35" s="20">
        <f>2.54*(AVERAGE(37,48,40,43.5))</f>
        <v>106.9975</v>
      </c>
      <c r="R35" s="20">
        <f>2.54*(AVERAGE(39.5,36,26.5,35.5))</f>
        <v>87.3125</v>
      </c>
      <c r="S35" s="20">
        <f>2.54*(AVERAGE(41,32.75,33.5,33.5))</f>
        <v>89.376249999999999</v>
      </c>
      <c r="T35" s="20">
        <f>2.54*(AVERAGE(37,39.5,41))</f>
        <v>99.483333333333334</v>
      </c>
      <c r="U35" s="20">
        <f>2.54*(AVERAGE(48,36,32.75))</f>
        <v>98.848333333333329</v>
      </c>
      <c r="V35" s="20">
        <f>2.54*(AVERAGE(40,26.5,33.5))</f>
        <v>84.666666666666671</v>
      </c>
      <c r="W35" s="20">
        <f>2.54*(AVERAGE(43.5,35.5,33.5))</f>
        <v>95.25</v>
      </c>
      <c r="X35" s="20">
        <f>2.54*0.5</f>
        <v>1.27</v>
      </c>
      <c r="Y35" s="20">
        <f>2.54*(AVERAGE(1,0.75,1.5,1.75))</f>
        <v>3.1749999999999998</v>
      </c>
      <c r="Z35" s="20">
        <f>2.54*(AVERAGE(0.25,1.5,1,1.5))</f>
        <v>2.69875</v>
      </c>
      <c r="AA35" s="20">
        <f>2.54*(AVERAGE(4,1.75,1.25,1.5))</f>
        <v>5.3975</v>
      </c>
      <c r="AB35" s="20">
        <f>2.54*(AVERAGE(1,0.25,4))</f>
        <v>4.4450000000000003</v>
      </c>
      <c r="AC35" s="20">
        <f>2.54*(AVERAGE(0.75,1.5,1.75))</f>
        <v>3.3866666666666667</v>
      </c>
      <c r="AD35" s="20">
        <f>2.54*(AVERAGE(1.5,1,1.25))</f>
        <v>3.1749999999999998</v>
      </c>
      <c r="AE35" s="20">
        <f>2.54*(AVERAGE(1.75,1.5,1.5))</f>
        <v>4.0216666666666665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f>AVERAGE(10,10,10,9)</f>
        <v>9.75</v>
      </c>
      <c r="AL35" s="26">
        <f>AVERAGE(10,10,8,10)</f>
        <v>9.5</v>
      </c>
      <c r="AM35" s="26">
        <f>AVERAGE(10,9,8,10)</f>
        <v>9.25</v>
      </c>
      <c r="AN35" s="26">
        <f>AVERAGE(8,9,9,9)</f>
        <v>8.75</v>
      </c>
      <c r="AO35" s="26">
        <f>AVERAGE(10,10,10,8)</f>
        <v>9.5</v>
      </c>
      <c r="AP35" s="26">
        <f>AVERAGE(10,10,9,9)</f>
        <v>9.5</v>
      </c>
      <c r="AQ35" s="26">
        <f>AVERAGE(10,8,8,9)</f>
        <v>8.75</v>
      </c>
      <c r="AR35" s="26">
        <f>AVERAGE(9,10,10,9)</f>
        <v>9.5</v>
      </c>
      <c r="AS35">
        <v>225</v>
      </c>
      <c r="AT35">
        <v>24</v>
      </c>
    </row>
    <row r="36" spans="1:46" x14ac:dyDescent="0.25">
      <c r="A36" s="7" t="s">
        <v>109</v>
      </c>
      <c r="B36" s="11">
        <v>35</v>
      </c>
      <c r="C36">
        <v>1</v>
      </c>
      <c r="D36">
        <v>0</v>
      </c>
      <c r="E36">
        <v>1</v>
      </c>
      <c r="F36">
        <v>1</v>
      </c>
      <c r="G36" s="19">
        <f>3/20</f>
        <v>0.15</v>
      </c>
      <c r="H36" s="19">
        <f>7/20</f>
        <v>0.35</v>
      </c>
      <c r="I36" s="19">
        <f>3/20</f>
        <v>0.15</v>
      </c>
      <c r="J36" s="19">
        <f>2/20</f>
        <v>0.1</v>
      </c>
      <c r="K36" s="19">
        <v>0</v>
      </c>
      <c r="L36" s="19">
        <v>0</v>
      </c>
      <c r="M36" s="19">
        <f>4/20</f>
        <v>0.2</v>
      </c>
      <c r="N36" s="19">
        <f>1/20</f>
        <v>0.05</v>
      </c>
      <c r="O36" s="15">
        <v>0</v>
      </c>
      <c r="P36" s="20">
        <f>2.54*19.25</f>
        <v>48.895000000000003</v>
      </c>
      <c r="Q36" s="20">
        <f>2.54*(AVERAGE(10.5,21,23.5,24))</f>
        <v>50.164999999999999</v>
      </c>
      <c r="R36" s="20">
        <f>2.54*(AVERAGE(25.25,12.5,17,18.5))</f>
        <v>46.513750000000002</v>
      </c>
      <c r="S36" s="20">
        <f>2.54*(AVERAGE(25.5,24,21.75,27))</f>
        <v>62.388750000000002</v>
      </c>
      <c r="T36" s="20">
        <f>2.54*(AVERAGE(10.5,25.25,25.5))</f>
        <v>51.858333333333334</v>
      </c>
      <c r="U36" s="20">
        <f>2.54*(AVERAGE(21,12.5,24))</f>
        <v>48.683333333333337</v>
      </c>
      <c r="V36" s="20">
        <f>2.54*(AVERAGE(23.5,17,21.75))</f>
        <v>52.704999999999998</v>
      </c>
      <c r="W36" s="20">
        <f>2.54*(AVERAGE(24,18.5,27))</f>
        <v>58.843333333333334</v>
      </c>
      <c r="X36" s="20">
        <v>0</v>
      </c>
      <c r="Y36" s="20">
        <f>2.54*(AVERAGE(1.25,0,2.5,0))</f>
        <v>2.3812500000000001</v>
      </c>
      <c r="Z36" s="20">
        <f>2.54*(AVERAGE(2,0,0.25,0))</f>
        <v>1.42875</v>
      </c>
      <c r="AA36" s="20">
        <f>2.54*(AVERAGE(1,3,2,1.5))</f>
        <v>4.7625000000000002</v>
      </c>
      <c r="AB36" s="20">
        <f>2.54*(AVERAGE(1.25,2,1))</f>
        <v>3.5983333333333336</v>
      </c>
      <c r="AC36" s="20">
        <f>2.54*(AVERAGE(0,0,3))</f>
        <v>2.54</v>
      </c>
      <c r="AD36" s="20">
        <f>2.54*(AVERAGE(2.5,0.25,2))</f>
        <v>4.0216666666666665</v>
      </c>
      <c r="AE36" s="20">
        <f>2.54*(AVERAGE(0,0,1.5))</f>
        <v>1.27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f>AVERAGE(3,3,6,4)</f>
        <v>4</v>
      </c>
      <c r="AL36" s="26">
        <v>4</v>
      </c>
      <c r="AM36" s="26">
        <f>AVERAGE(4,3,5,5)</f>
        <v>4.25</v>
      </c>
      <c r="AN36" s="26">
        <f>AVERAGE(5,6,6,4)</f>
        <v>5.25</v>
      </c>
      <c r="AO36" s="26">
        <f>AVERAGE(3,4,4,5)</f>
        <v>4</v>
      </c>
      <c r="AP36" s="26">
        <f>AVERAGE(3,4,3,6)</f>
        <v>4</v>
      </c>
      <c r="AQ36" s="26">
        <f>AVERAGE(6,4,5,6)</f>
        <v>5.25</v>
      </c>
      <c r="AR36" s="26">
        <f>AVERAGE(4,4,5,4)</f>
        <v>4.25</v>
      </c>
      <c r="AS36">
        <v>346</v>
      </c>
      <c r="AT36">
        <v>152</v>
      </c>
    </row>
    <row r="37" spans="1:46" x14ac:dyDescent="0.25">
      <c r="A37" s="7" t="s">
        <v>110</v>
      </c>
      <c r="B37" s="11">
        <v>36</v>
      </c>
      <c r="C37">
        <v>1</v>
      </c>
      <c r="D37">
        <v>0</v>
      </c>
      <c r="E37">
        <v>2</v>
      </c>
      <c r="F37">
        <v>1</v>
      </c>
      <c r="G37" s="19">
        <v>0</v>
      </c>
      <c r="H37" s="19">
        <f>14/20</f>
        <v>0.7</v>
      </c>
      <c r="I37" s="19">
        <f>5/20</f>
        <v>0.25</v>
      </c>
      <c r="J37" s="19">
        <f>1/20</f>
        <v>0.05</v>
      </c>
      <c r="K37" s="19">
        <v>0</v>
      </c>
      <c r="L37" s="19">
        <v>0</v>
      </c>
      <c r="M37" s="19">
        <v>0</v>
      </c>
      <c r="N37" s="19">
        <v>0</v>
      </c>
      <c r="O37" s="15">
        <v>0</v>
      </c>
      <c r="P37" s="20">
        <f>2.54*29</f>
        <v>73.66</v>
      </c>
      <c r="Q37" s="20">
        <f>2.54*(AVERAGE(32,36,27,32))</f>
        <v>80.644999999999996</v>
      </c>
      <c r="R37" s="20">
        <f>2.54*(AVERAGE(26.5,31,33.75,26.5))</f>
        <v>74.771249999999995</v>
      </c>
      <c r="S37" s="20">
        <f>2.54*(AVERAGE(28.5,22,23,31))</f>
        <v>66.357500000000002</v>
      </c>
      <c r="T37" s="22">
        <f>2.54*(AVERAGE(32,26.5,28.5))</f>
        <v>73.66</v>
      </c>
      <c r="U37" s="22">
        <f>2.54*(AVERAGE(36,31,22))</f>
        <v>75.353333333333339</v>
      </c>
      <c r="V37" s="22">
        <f>2.54*(AVERAGE(27,33.75,23))</f>
        <v>70.908333333333331</v>
      </c>
      <c r="W37" s="22">
        <f>2.54*(AVERAGE(32,26.5,31))</f>
        <v>75.776666666666671</v>
      </c>
      <c r="X37" s="20">
        <f>1.25*2.54</f>
        <v>3.1749999999999998</v>
      </c>
      <c r="Y37" s="20">
        <f>2.54*(AVERAGE(1.5,1,1.5,1.25))</f>
        <v>3.3337500000000002</v>
      </c>
      <c r="Z37" s="20">
        <f>2.54*(AVERAGE(2,0.5,3,1.25))</f>
        <v>4.2862499999999999</v>
      </c>
      <c r="AA37" s="20">
        <f>2.54*(AVERAGE(2,1,0.75,1.5))</f>
        <v>3.3337500000000002</v>
      </c>
      <c r="AB37" s="20">
        <f>2.54*(AVERAGE(1.5,2,2))</f>
        <v>4.6566666666666663</v>
      </c>
      <c r="AC37" s="20">
        <f>2.54*(AVERAGE(1,0.5,1))</f>
        <v>2.1166666666666667</v>
      </c>
      <c r="AD37" s="20">
        <f>2.54*(AVERAGE(1.5,3,0.75))</f>
        <v>4.4450000000000003</v>
      </c>
      <c r="AE37" s="20">
        <f>2.54*(AVERAGE(1.25,1.25,1.5))</f>
        <v>3.3866666666666667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f>AVERAGE(7,6,7,6)</f>
        <v>6.5</v>
      </c>
      <c r="AL37" s="26">
        <f>AVERAGE(7,6,5,6)</f>
        <v>6</v>
      </c>
      <c r="AM37" s="26">
        <f>AVERAGE(8,5,4,8)</f>
        <v>6.25</v>
      </c>
      <c r="AN37" s="26">
        <f>AVERAGE(9,6,5,8)</f>
        <v>7</v>
      </c>
      <c r="AO37" s="26">
        <f>AVERAGE(7,7,8,9)</f>
        <v>7.75</v>
      </c>
      <c r="AP37" s="26">
        <f>AVERAGE(6,6,5,6)</f>
        <v>5.75</v>
      </c>
      <c r="AQ37" s="26">
        <f>AVERAGE(7,5,4,5)</f>
        <v>5.25</v>
      </c>
      <c r="AR37" s="26">
        <f>AVERAGE(6,6,8,8)</f>
        <v>7</v>
      </c>
      <c r="AS37">
        <v>61</v>
      </c>
      <c r="AT37">
        <v>268</v>
      </c>
    </row>
    <row r="38" spans="1:46" x14ac:dyDescent="0.25">
      <c r="A38" s="7" t="s">
        <v>111</v>
      </c>
      <c r="B38" s="11">
        <v>37</v>
      </c>
      <c r="C38">
        <v>1</v>
      </c>
      <c r="D38">
        <v>0</v>
      </c>
      <c r="E38">
        <v>2</v>
      </c>
      <c r="F38">
        <v>1</v>
      </c>
      <c r="G38" s="19">
        <f>1/20</f>
        <v>0.05</v>
      </c>
      <c r="H38" s="19">
        <f>11/20</f>
        <v>0.55000000000000004</v>
      </c>
      <c r="I38" s="19">
        <f>4/20</f>
        <v>0.2</v>
      </c>
      <c r="J38" s="19">
        <f>3/20</f>
        <v>0.15</v>
      </c>
      <c r="K38" s="19">
        <v>0</v>
      </c>
      <c r="L38" s="19">
        <v>0</v>
      </c>
      <c r="M38" s="19">
        <v>0</v>
      </c>
      <c r="N38" s="19">
        <f>1/20</f>
        <v>0.05</v>
      </c>
      <c r="O38" s="15">
        <v>0</v>
      </c>
      <c r="P38" s="22">
        <f>2.54*18</f>
        <v>45.72</v>
      </c>
      <c r="Q38" s="22">
        <f>2.54*(AVERAGE(24.75,19.5,46.25,16))</f>
        <v>67.627499999999998</v>
      </c>
      <c r="R38" s="22">
        <f>2.54*(AVERAGE(42.25,22,28,19.5))</f>
        <v>70.961250000000007</v>
      </c>
      <c r="S38" s="22">
        <f>2.54*(AVERAGE(34.5,24,45.25,24.5))</f>
        <v>81.438749999999999</v>
      </c>
      <c r="T38" s="22">
        <f>2.54*(AVERAGE(24.75,42.25,34.5))</f>
        <v>85.936666666666667</v>
      </c>
      <c r="U38" s="22">
        <f>2.54*(AVERAGE(19.5,22,24))</f>
        <v>55.456666666666663</v>
      </c>
      <c r="V38" s="22">
        <f>2.54*(AVERAGE(46.25,28,45.25))</f>
        <v>101.17666666666668</v>
      </c>
      <c r="W38" s="22">
        <f>2.54*(AVERAGE(16,19.5,24.5))</f>
        <v>50.8</v>
      </c>
      <c r="X38" s="20">
        <f>2.54*1.5</f>
        <v>3.81</v>
      </c>
      <c r="Y38" s="20">
        <f>2.54*(AVERAGE(1,1,0,1.5))</f>
        <v>2.2225000000000001</v>
      </c>
      <c r="Z38" s="20">
        <f>2.54*(AVERAGE(1,1.25,0,1))</f>
        <v>2.0637500000000002</v>
      </c>
      <c r="AA38" s="20">
        <f>2.54*(AVERAGE(2.5,1,0.25,0.5))</f>
        <v>2.69875</v>
      </c>
      <c r="AB38" s="20">
        <f>2.54*(AVERAGE(1,1,2.5))</f>
        <v>3.81</v>
      </c>
      <c r="AC38" s="20">
        <f>2.54*(AVERAGE(1,1.25,1))</f>
        <v>2.7516666666666665</v>
      </c>
      <c r="AD38" s="20">
        <f>2.54*(AVERAGE(0,0,0.25))</f>
        <v>0.21166666666666667</v>
      </c>
      <c r="AE38" s="20">
        <f>2.54*(AVERAGE(1.5,1,0.5))</f>
        <v>2.54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f>AVERAGE(5,5,6,5)</f>
        <v>5.25</v>
      </c>
      <c r="AL38" s="26">
        <f>AVERAGE(7,6,6,6)</f>
        <v>6.25</v>
      </c>
      <c r="AM38" s="26">
        <f>AVERAGE(7,7,5,5)</f>
        <v>6</v>
      </c>
      <c r="AN38" s="26">
        <f>AVERAGE(6,6,6,4)</f>
        <v>5.5</v>
      </c>
      <c r="AO38" s="26">
        <f>AVERAGE(5,7,7,6)</f>
        <v>6.25</v>
      </c>
      <c r="AP38" s="26">
        <f>AVERAGE(5,6,7,6)</f>
        <v>6</v>
      </c>
      <c r="AQ38" s="26">
        <f>AVERAGE(6,6,5,6)</f>
        <v>5.75</v>
      </c>
      <c r="AR38" s="26">
        <f>AVERAGE(5,6,5,4)</f>
        <v>5</v>
      </c>
      <c r="AS38">
        <v>216</v>
      </c>
      <c r="AT38">
        <v>192</v>
      </c>
    </row>
    <row r="39" spans="1:46" x14ac:dyDescent="0.25">
      <c r="A39" s="7" t="s">
        <v>112</v>
      </c>
      <c r="B39" s="11">
        <v>38</v>
      </c>
      <c r="C39">
        <v>1</v>
      </c>
      <c r="D39">
        <v>0</v>
      </c>
      <c r="E39">
        <v>1</v>
      </c>
      <c r="F39">
        <v>1</v>
      </c>
      <c r="G39" s="19">
        <f>3/20</f>
        <v>0.15</v>
      </c>
      <c r="H39" s="19">
        <f>15/20</f>
        <v>0.75</v>
      </c>
      <c r="I39" s="19">
        <f>2/20</f>
        <v>0.1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5">
        <v>0</v>
      </c>
      <c r="P39" s="22">
        <f>2.54*44</f>
        <v>111.76</v>
      </c>
      <c r="Q39" s="22">
        <f>2.54*(AVERAGE(46,45,41.5,18))</f>
        <v>95.567499999999995</v>
      </c>
      <c r="R39" s="22">
        <f>2.54*(AVERAGE(45.5,41,31.5,28))</f>
        <v>92.710000000000008</v>
      </c>
      <c r="S39" s="22">
        <f>2.54*(AVERAGE(53.5,44,29,33))</f>
        <v>101.2825</v>
      </c>
      <c r="T39" s="22">
        <f>2.54*(AVERAGE(46,45.5,53.5))</f>
        <v>122.76666666666668</v>
      </c>
      <c r="U39" s="22">
        <f>2.54*(AVERAGE(45,41,44))</f>
        <v>110.06666666666668</v>
      </c>
      <c r="V39" s="22">
        <f>2.54*(AVERAGE(41.5,31.5,29))</f>
        <v>86.36</v>
      </c>
      <c r="W39" s="22">
        <f>2.54*(AVERAGE(18,28,33))</f>
        <v>66.88666666666667</v>
      </c>
      <c r="X39" s="20">
        <f>2.25*2.54</f>
        <v>5.7149999999999999</v>
      </c>
      <c r="Y39" s="20">
        <f>2.54*(AVERAGE(1.75,2.5,2,0.5))</f>
        <v>4.2862499999999999</v>
      </c>
      <c r="Z39" s="20">
        <f>2.54*(AVERAGE(1.5,1,1.5,1.25))</f>
        <v>3.3337500000000002</v>
      </c>
      <c r="AA39" s="20">
        <f>2.54*(AVERAGE(1.5,1.25,2.75,2))</f>
        <v>4.7625000000000002</v>
      </c>
      <c r="AB39" s="20">
        <f>2.54*(AVERAGE(1.75,1.5,1.5))</f>
        <v>4.0216666666666665</v>
      </c>
      <c r="AC39" s="20">
        <f>2.54*(AVERAGE(2.5,1,1.25))</f>
        <v>4.0216666666666665</v>
      </c>
      <c r="AD39" s="20">
        <f>2.54*(AVERAGE(2,1.5,2.75))</f>
        <v>5.291666666666667</v>
      </c>
      <c r="AE39" s="20">
        <f>2.54*(AVERAGE(0.5,1.25,2))</f>
        <v>3.1749999999999998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10</v>
      </c>
      <c r="AL39" s="26">
        <f>AVERAGE(10,10,7,5)</f>
        <v>8</v>
      </c>
      <c r="AM39" s="26">
        <f>AVERAGE(10,10,9,7)</f>
        <v>9</v>
      </c>
      <c r="AN39" s="26">
        <f>AVERAGE(10,10,10,4)</f>
        <v>8.5</v>
      </c>
      <c r="AO39" s="26">
        <v>10</v>
      </c>
      <c r="AP39" s="26">
        <v>10</v>
      </c>
      <c r="AQ39" s="26">
        <f>AVERAGE(10,7,9,10)</f>
        <v>9</v>
      </c>
      <c r="AR39" s="26">
        <f>AVERAGE(10,5,7,4)</f>
        <v>6.5</v>
      </c>
      <c r="AS39">
        <v>54</v>
      </c>
      <c r="AT39">
        <v>0</v>
      </c>
    </row>
    <row r="40" spans="1:46" x14ac:dyDescent="0.25">
      <c r="A40" s="7" t="s">
        <v>113</v>
      </c>
      <c r="B40" s="11">
        <v>39</v>
      </c>
      <c r="C40">
        <v>1</v>
      </c>
      <c r="D40">
        <v>0</v>
      </c>
      <c r="E40">
        <v>1</v>
      </c>
      <c r="F40">
        <v>1</v>
      </c>
      <c r="G40" s="19">
        <f>7/20</f>
        <v>0.35</v>
      </c>
      <c r="H40" s="19">
        <f>10/20</f>
        <v>0.5</v>
      </c>
      <c r="I40" s="19">
        <f>2/20</f>
        <v>0.1</v>
      </c>
      <c r="J40" s="19">
        <f>1/20</f>
        <v>0.05</v>
      </c>
      <c r="K40" s="19">
        <v>0</v>
      </c>
      <c r="L40" s="19">
        <v>0</v>
      </c>
      <c r="M40" s="19">
        <v>0</v>
      </c>
      <c r="N40" s="19">
        <v>0</v>
      </c>
      <c r="O40" s="15">
        <v>0</v>
      </c>
      <c r="P40" s="22">
        <v>100</v>
      </c>
      <c r="Q40" s="22">
        <f>AVERAGE(127,121,140,133)</f>
        <v>130.25</v>
      </c>
      <c r="R40" s="22">
        <f>AVERAGE(124.5,112,123,80)</f>
        <v>109.875</v>
      </c>
      <c r="S40" s="22">
        <f>AVERAGE(74,117,133.5,91)</f>
        <v>103.875</v>
      </c>
      <c r="T40" s="22">
        <f>AVERAGE(127,124.5,74)</f>
        <v>108.5</v>
      </c>
      <c r="U40" s="22">
        <f>AVERAGE(121,112,117)</f>
        <v>116.66666666666667</v>
      </c>
      <c r="V40" s="22">
        <f>AVERAGE(140,123,133.5)</f>
        <v>132.16666666666666</v>
      </c>
      <c r="W40" s="22">
        <f>AVERAGE(133,80,91)</f>
        <v>101.33333333333333</v>
      </c>
      <c r="X40" s="20">
        <v>6</v>
      </c>
      <c r="Y40" s="20">
        <f>AVERAGE(6.5,6,4,3)</f>
        <v>4.875</v>
      </c>
      <c r="Z40" s="20">
        <f>AVERAGE(16,7.5,6,6.5)</f>
        <v>9</v>
      </c>
      <c r="AA40" s="20">
        <f>AVERAGE(8.5,8,7.5,5)</f>
        <v>7.25</v>
      </c>
      <c r="AB40" s="20">
        <f>AVERAGE(6.5,16,8.5)</f>
        <v>10.333333333333334</v>
      </c>
      <c r="AC40" s="20">
        <f>AVERAGE(6,7.5,8)</f>
        <v>7.166666666666667</v>
      </c>
      <c r="AD40" s="20">
        <f>AVERAGE(4,6,7.5)</f>
        <v>5.833333333333333</v>
      </c>
      <c r="AE40" s="20">
        <f>AVERAGE(3,6.5,5)</f>
        <v>4.833333333333333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f>AVERAGE(5,6,7,5)</f>
        <v>5.75</v>
      </c>
      <c r="AL40" s="26">
        <f>AVERAGE(7,7,6,6)</f>
        <v>6.5</v>
      </c>
      <c r="AM40" s="26">
        <f>AVERAGE(8,7,6,6)</f>
        <v>6.75</v>
      </c>
      <c r="AN40" s="26">
        <f>AVERAGE(6,9,6,6)</f>
        <v>6.75</v>
      </c>
      <c r="AO40" s="26">
        <f>AVERAGE(5,7,8,6)</f>
        <v>6.5</v>
      </c>
      <c r="AP40" s="26">
        <f>AVERAGE(6,7,7,9)</f>
        <v>7.25</v>
      </c>
      <c r="AQ40" s="26">
        <f>AVERAGE(7,6,6,6)</f>
        <v>6.25</v>
      </c>
      <c r="AR40" s="26">
        <f>AVERAGE(5,6,6,6)</f>
        <v>5.75</v>
      </c>
      <c r="AS40">
        <v>290</v>
      </c>
      <c r="AT40">
        <v>0</v>
      </c>
    </row>
    <row r="41" spans="1:46" x14ac:dyDescent="0.25">
      <c r="A41" s="7" t="s">
        <v>114</v>
      </c>
      <c r="B41" s="11">
        <v>40</v>
      </c>
      <c r="C41">
        <v>1</v>
      </c>
      <c r="D41">
        <v>0</v>
      </c>
      <c r="E41">
        <v>1</v>
      </c>
      <c r="F41">
        <v>1</v>
      </c>
      <c r="G41" s="19">
        <v>0</v>
      </c>
      <c r="H41" s="19">
        <f>13/20</f>
        <v>0.65</v>
      </c>
      <c r="I41" s="19">
        <f>3/20</f>
        <v>0.15</v>
      </c>
      <c r="J41" s="19">
        <f>3/20</f>
        <v>0.15</v>
      </c>
      <c r="K41" s="19">
        <v>0</v>
      </c>
      <c r="L41" s="19">
        <v>0</v>
      </c>
      <c r="M41" s="19">
        <v>0</v>
      </c>
      <c r="N41" s="19">
        <f>1/20</f>
        <v>0.05</v>
      </c>
      <c r="O41" s="15">
        <v>0</v>
      </c>
      <c r="P41" s="22">
        <v>40</v>
      </c>
      <c r="Q41" s="22">
        <f>AVERAGE(56,53,48,37)</f>
        <v>48.5</v>
      </c>
      <c r="R41" s="22">
        <f>AVERAGE(47,46.5,49.5,23)</f>
        <v>41.5</v>
      </c>
      <c r="S41" s="22">
        <f>AVERAGE(37,51,42,43)</f>
        <v>43.25</v>
      </c>
      <c r="T41" s="22">
        <f>AVERAGE(56,47,37)</f>
        <v>46.666666666666664</v>
      </c>
      <c r="U41" s="22">
        <f>AVERAGE(53,46.5,51)</f>
        <v>50.166666666666664</v>
      </c>
      <c r="V41" s="22">
        <f>AVERAGE(48,49.5,42)</f>
        <v>46.5</v>
      </c>
      <c r="W41" s="22">
        <f>AVERAGE(37,23,43)</f>
        <v>34.333333333333336</v>
      </c>
      <c r="X41" s="20">
        <v>2</v>
      </c>
      <c r="Y41" s="20">
        <f>AVERAGE(4,1,4.5,1.5)</f>
        <v>2.75</v>
      </c>
      <c r="Z41" s="20">
        <f>AVERAGE(3,3.5,2.5,4)</f>
        <v>3.25</v>
      </c>
      <c r="AA41" s="20">
        <f>AVERAGE(2,0,2,0)</f>
        <v>1</v>
      </c>
      <c r="AB41" s="20">
        <f>AVERAGE(4,3,2)</f>
        <v>3</v>
      </c>
      <c r="AC41" s="20">
        <f>AVERAGE(1,3.5,0)</f>
        <v>1.5</v>
      </c>
      <c r="AD41" s="20">
        <f>AVERAGE(4.5,2.5,2)</f>
        <v>3</v>
      </c>
      <c r="AE41" s="20">
        <f>AVERAGE(1.5,4,0)</f>
        <v>1.8333333333333333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f>AVERAGE(4,4,4,5)</f>
        <v>4.25</v>
      </c>
      <c r="AL41" s="26">
        <f>AVERAGE(5,4,4,3)</f>
        <v>4</v>
      </c>
      <c r="AM41" s="26">
        <f>AVERAGE(4,4,3,3)</f>
        <v>3.5</v>
      </c>
      <c r="AN41" s="26">
        <f>AVERAGE(3,3,3,2)</f>
        <v>2.75</v>
      </c>
      <c r="AO41" s="26">
        <f>AVERAGE(4,5,4,3)</f>
        <v>4</v>
      </c>
      <c r="AP41" s="26">
        <f>AVERAGE(4,4,4,3)</f>
        <v>3.75</v>
      </c>
      <c r="AQ41" s="26">
        <f>AVERAGE(4,4,3,3)</f>
        <v>3.5</v>
      </c>
      <c r="AR41" s="26">
        <f>AVERAGE(5,3,3,2)</f>
        <v>3.25</v>
      </c>
      <c r="AS41">
        <v>0</v>
      </c>
      <c r="AT41">
        <v>141</v>
      </c>
    </row>
    <row r="42" spans="1:46" x14ac:dyDescent="0.25">
      <c r="A42" s="7" t="s">
        <v>115</v>
      </c>
      <c r="B42" s="11">
        <v>41</v>
      </c>
      <c r="C42">
        <v>1</v>
      </c>
      <c r="D42">
        <v>0</v>
      </c>
      <c r="E42">
        <v>1</v>
      </c>
      <c r="F42">
        <v>1</v>
      </c>
      <c r="G42" s="19">
        <f>8/20</f>
        <v>0.4</v>
      </c>
      <c r="H42" s="19">
        <f>4/20</f>
        <v>0.2</v>
      </c>
      <c r="I42" s="19">
        <f>4/20</f>
        <v>0.2</v>
      </c>
      <c r="J42" s="19">
        <f>3/20</f>
        <v>0.15</v>
      </c>
      <c r="K42" s="19">
        <v>0</v>
      </c>
      <c r="L42" s="19">
        <v>0</v>
      </c>
      <c r="M42" s="19">
        <v>0</v>
      </c>
      <c r="N42" s="19">
        <f>1/20</f>
        <v>0.05</v>
      </c>
      <c r="O42" s="15">
        <v>0</v>
      </c>
      <c r="P42" s="22">
        <v>90</v>
      </c>
      <c r="Q42" s="22">
        <f>AVERAGE(113,111,171,75)</f>
        <v>117.5</v>
      </c>
      <c r="R42" s="22">
        <f>AVERAGE(126.5,84,154.5,100)</f>
        <v>116.25</v>
      </c>
      <c r="S42" s="22">
        <f>AVERAGE(160,175,128.5,136)</f>
        <v>149.875</v>
      </c>
      <c r="T42" s="22">
        <f>AVERAGE(113,126.5,160)</f>
        <v>133.16666666666666</v>
      </c>
      <c r="U42" s="22">
        <f>AVERAGE(111,84,175)</f>
        <v>123.33333333333333</v>
      </c>
      <c r="V42" s="22">
        <f>AVERAGE(171,154.5,128.5)</f>
        <v>151.33333333333334</v>
      </c>
      <c r="W42" s="22">
        <f>AVERAGE(75,100,136)</f>
        <v>103.66666666666667</v>
      </c>
      <c r="X42" s="20">
        <v>3</v>
      </c>
      <c r="Y42" s="20">
        <f>AVERAGE(4,4,5,3)</f>
        <v>4</v>
      </c>
      <c r="Z42" s="20">
        <f>AVERAGE(3.5,7.5,3,12.5)</f>
        <v>6.625</v>
      </c>
      <c r="AA42" s="20">
        <f>AVERAGE(4,1,3,3)</f>
        <v>2.75</v>
      </c>
      <c r="AB42" s="20">
        <f>AVERAGE(4,3.5,4)</f>
        <v>3.8333333333333335</v>
      </c>
      <c r="AC42" s="20">
        <f>AVERAGE(4,7.5,1)</f>
        <v>4.166666666666667</v>
      </c>
      <c r="AD42" s="20">
        <f>AVERAGE(5,3,3)</f>
        <v>3.6666666666666665</v>
      </c>
      <c r="AE42" s="20">
        <f>AVERAGE(3,12.5,3)</f>
        <v>6.166666666666667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f>AVERAGE(7,9,9,6)</f>
        <v>7.75</v>
      </c>
      <c r="AL42" s="26">
        <f>AVERAGE(8,9,9,7)</f>
        <v>8.25</v>
      </c>
      <c r="AM42" s="26">
        <f>AVERAGE(6,8,8,8)</f>
        <v>7.5</v>
      </c>
      <c r="AN42" s="26">
        <f>AVERAGE(8,10,8,8)</f>
        <v>8.5</v>
      </c>
      <c r="AO42" s="26">
        <f>AVERAGE(7,8,6,8)</f>
        <v>7.25</v>
      </c>
      <c r="AP42" s="26">
        <f>AVERAGE(9,9,8,10)</f>
        <v>9</v>
      </c>
      <c r="AQ42" s="26">
        <f>AVERAGE(9,9,8,8)</f>
        <v>8.5</v>
      </c>
      <c r="AR42" s="26">
        <f>AVERAGE(6,7,8,8)</f>
        <v>7.25</v>
      </c>
      <c r="AS42">
        <v>263</v>
      </c>
      <c r="AT42">
        <v>0</v>
      </c>
    </row>
    <row r="43" spans="1:46" x14ac:dyDescent="0.25">
      <c r="A43" s="8" t="s">
        <v>116</v>
      </c>
      <c r="B43" s="11">
        <v>42</v>
      </c>
      <c r="C43">
        <v>0</v>
      </c>
      <c r="D43">
        <v>1</v>
      </c>
      <c r="E43" t="s">
        <v>172</v>
      </c>
      <c r="G43" s="19">
        <f>1/20</f>
        <v>0.05</v>
      </c>
      <c r="H43" s="19">
        <f>5/20</f>
        <v>0.25</v>
      </c>
      <c r="I43" s="19">
        <f>4/20</f>
        <v>0.2</v>
      </c>
      <c r="J43" s="19">
        <f>5/20</f>
        <v>0.25</v>
      </c>
      <c r="K43" s="19">
        <f>1/20</f>
        <v>0.05</v>
      </c>
      <c r="L43" s="19">
        <v>0</v>
      </c>
      <c r="M43" s="19">
        <v>0</v>
      </c>
      <c r="N43" s="19">
        <f>4/20</f>
        <v>0.2</v>
      </c>
      <c r="O43" s="19">
        <v>0.5</v>
      </c>
      <c r="P43" s="20">
        <v>10</v>
      </c>
      <c r="Q43" s="20">
        <f>AVERAGE(8,52,60.5,52)</f>
        <v>43.125</v>
      </c>
      <c r="R43" s="20">
        <f>AVERAGE(240,142,150.5,195)</f>
        <v>181.875</v>
      </c>
      <c r="S43" s="20">
        <f>AVERAGE(157,170,196,172)</f>
        <v>173.75</v>
      </c>
      <c r="T43" s="20">
        <f>AVERAGE(8,240,157)</f>
        <v>135</v>
      </c>
      <c r="U43" s="20">
        <f>AVERAGE(52,142,170)</f>
        <v>121.33333333333333</v>
      </c>
      <c r="V43" s="20">
        <f>AVERAGE(60.5,150.5,196)</f>
        <v>135.66666666666666</v>
      </c>
      <c r="W43" s="20">
        <f>AVERAGE(52,195,172)</f>
        <v>139.66666666666666</v>
      </c>
      <c r="X43" s="20">
        <v>2</v>
      </c>
      <c r="Y43" s="20">
        <f>AVERAGE(4,4,0.05,2)</f>
        <v>2.5125000000000002</v>
      </c>
      <c r="Z43" s="20">
        <f>AVERAGE(4,5,4,4.5)</f>
        <v>4.375</v>
      </c>
      <c r="AA43" s="20">
        <f>AVERAGE(4,0,4,5)</f>
        <v>3.25</v>
      </c>
      <c r="AB43" s="20">
        <f>AVERAGE(4,4,4)</f>
        <v>4</v>
      </c>
      <c r="AC43" s="20">
        <f>AVERAGE(4,5,0)</f>
        <v>3</v>
      </c>
      <c r="AD43" s="20">
        <f>AVERAGE(0.5,4,4)</f>
        <v>2.8333333333333335</v>
      </c>
      <c r="AE43" s="20">
        <f>AVERAGE(2,4.5,5)</f>
        <v>3.8333333333333335</v>
      </c>
      <c r="AF43" s="26">
        <v>33.96</v>
      </c>
      <c r="AG43" s="26">
        <v>40.46</v>
      </c>
      <c r="AH43" s="26">
        <v>40.46</v>
      </c>
      <c r="AI43" s="26">
        <v>38.119999999999997</v>
      </c>
      <c r="AJ43" s="26">
        <v>0</v>
      </c>
      <c r="AK43" s="18" t="s">
        <v>172</v>
      </c>
      <c r="AL43" s="18" t="s">
        <v>172</v>
      </c>
      <c r="AM43" s="18" t="s">
        <v>172</v>
      </c>
      <c r="AN43" s="18" t="s">
        <v>172</v>
      </c>
      <c r="AO43" s="18" t="s">
        <v>172</v>
      </c>
      <c r="AP43" s="18" t="s">
        <v>172</v>
      </c>
      <c r="AQ43" s="18" t="s">
        <v>172</v>
      </c>
      <c r="AR43" s="18" t="s">
        <v>172</v>
      </c>
      <c r="AS43">
        <v>886</v>
      </c>
      <c r="AT43">
        <v>87</v>
      </c>
    </row>
    <row r="44" spans="1:46" x14ac:dyDescent="0.25">
      <c r="A44" s="8" t="s">
        <v>117</v>
      </c>
      <c r="B44" s="11">
        <v>43</v>
      </c>
      <c r="C44">
        <v>0</v>
      </c>
      <c r="D44">
        <v>1</v>
      </c>
      <c r="E44" t="s">
        <v>172</v>
      </c>
      <c r="G44" s="19">
        <f>3/20</f>
        <v>0.15</v>
      </c>
      <c r="H44" s="19">
        <f>6/20</f>
        <v>0.3</v>
      </c>
      <c r="I44" s="19">
        <f>9/20</f>
        <v>0.45</v>
      </c>
      <c r="J44" s="19">
        <f>2/20</f>
        <v>0.1</v>
      </c>
      <c r="K44" s="19">
        <v>0</v>
      </c>
      <c r="L44" s="19">
        <v>0</v>
      </c>
      <c r="M44" s="19">
        <v>0</v>
      </c>
      <c r="N44" s="19">
        <v>0</v>
      </c>
      <c r="O44" s="29">
        <v>0</v>
      </c>
      <c r="P44" s="20">
        <v>60</v>
      </c>
      <c r="Q44" s="20">
        <f>AVERAGE(46,61,58.5,59)</f>
        <v>56.125</v>
      </c>
      <c r="R44" s="20">
        <f>AVERAGE(69,84,50,69.5)</f>
        <v>68.125</v>
      </c>
      <c r="S44" s="20">
        <f>AVERAGE(57.5,113,54,107.5)</f>
        <v>83</v>
      </c>
      <c r="T44" s="20">
        <f>AVERAGE(46,69,57.5)</f>
        <v>57.5</v>
      </c>
      <c r="U44" s="20">
        <f>AVERAGE(61,84,113)</f>
        <v>86</v>
      </c>
      <c r="V44" s="20">
        <f>AVERAGE(58.5,50,54)</f>
        <v>54.166666666666664</v>
      </c>
      <c r="W44" s="20">
        <f>AVERAGE(59,69.5,107.5)</f>
        <v>78.666666666666671</v>
      </c>
      <c r="X44" s="20">
        <v>4</v>
      </c>
      <c r="Y44" s="20">
        <f>AVERAGE(3.5,4,4,4)</f>
        <v>3.875</v>
      </c>
      <c r="Z44" s="20">
        <f>AVERAGE(4.5,5,3,4)</f>
        <v>4.125</v>
      </c>
      <c r="AA44" s="20">
        <f>AVERAGE(3,0,5,6)</f>
        <v>3.5</v>
      </c>
      <c r="AB44" s="20">
        <f>AVERAGE(3.5,4.5,3)</f>
        <v>3.6666666666666665</v>
      </c>
      <c r="AC44" s="20">
        <f>AVERAGE(4,5,0)</f>
        <v>3</v>
      </c>
      <c r="AD44" s="20">
        <f>AVERAGE(4,3,5)</f>
        <v>4</v>
      </c>
      <c r="AE44" s="20">
        <f>AVERAGE(4,4,6)</f>
        <v>4.666666666666667</v>
      </c>
      <c r="AF44" s="26">
        <v>0</v>
      </c>
      <c r="AG44" s="26">
        <v>6.92</v>
      </c>
      <c r="AH44" s="26">
        <v>0</v>
      </c>
      <c r="AI44" s="26">
        <v>0</v>
      </c>
      <c r="AJ44" s="26">
        <v>0</v>
      </c>
      <c r="AK44" s="18" t="s">
        <v>172</v>
      </c>
      <c r="AL44" s="18" t="s">
        <v>172</v>
      </c>
      <c r="AM44" s="18" t="s">
        <v>172</v>
      </c>
      <c r="AN44" s="18" t="s">
        <v>172</v>
      </c>
      <c r="AO44" s="18" t="s">
        <v>172</v>
      </c>
      <c r="AP44" s="18" t="s">
        <v>172</v>
      </c>
      <c r="AQ44" s="18" t="s">
        <v>172</v>
      </c>
      <c r="AR44" s="18" t="s">
        <v>172</v>
      </c>
      <c r="AS44">
        <v>253</v>
      </c>
      <c r="AT44">
        <v>9</v>
      </c>
    </row>
    <row r="45" spans="1:46" x14ac:dyDescent="0.25">
      <c r="A45" s="8" t="s">
        <v>118</v>
      </c>
      <c r="B45" s="11">
        <v>44</v>
      </c>
      <c r="C45">
        <v>0</v>
      </c>
      <c r="D45">
        <v>1</v>
      </c>
      <c r="E45" t="s">
        <v>172</v>
      </c>
      <c r="G45" s="19">
        <v>0</v>
      </c>
      <c r="H45" s="19">
        <f>4/20</f>
        <v>0.2</v>
      </c>
      <c r="I45" s="19">
        <f>9/20</f>
        <v>0.45</v>
      </c>
      <c r="J45" s="19">
        <f>3/20</f>
        <v>0.15</v>
      </c>
      <c r="K45" s="19">
        <v>0</v>
      </c>
      <c r="L45" s="19">
        <f>2/20</f>
        <v>0.1</v>
      </c>
      <c r="M45" s="19">
        <f>2/20</f>
        <v>0.1</v>
      </c>
      <c r="N45" s="19">
        <v>0</v>
      </c>
      <c r="O45" s="19">
        <v>0.5</v>
      </c>
      <c r="P45" s="20">
        <f>2.54*43</f>
        <v>109.22</v>
      </c>
      <c r="Q45" s="20">
        <f>2.54*(AVERAGE(37,48,36.5,56))</f>
        <v>112.71250000000001</v>
      </c>
      <c r="R45" s="20">
        <f>2.54*(AVERAGE(62,62,50,78))</f>
        <v>160.02000000000001</v>
      </c>
      <c r="S45" s="20">
        <f>2.54*(AVERAGE(55,78,18.5,72))</f>
        <v>141.92250000000001</v>
      </c>
      <c r="T45" s="20">
        <f>2.54*(AVERAGE(37,62,55))</f>
        <v>130.38666666666668</v>
      </c>
      <c r="U45" s="20">
        <f>2.54*(AVERAGE(48,62,78))</f>
        <v>159.17333333333332</v>
      </c>
      <c r="V45" s="20">
        <f>2.54*(AVERAGE(36.5,50,18.5))</f>
        <v>88.9</v>
      </c>
      <c r="W45" s="20">
        <f>2.54*(AVERAGE(56,78,72))</f>
        <v>174.41333333333336</v>
      </c>
      <c r="X45" s="20">
        <v>0</v>
      </c>
      <c r="Y45" s="20">
        <v>0</v>
      </c>
      <c r="Z45" s="20">
        <f>2.54*(AVERAGE(0,1.75,0,1.5))</f>
        <v>2.0637500000000002</v>
      </c>
      <c r="AA45" s="20">
        <f>2.54*(AVERAGE(0,1.5,0,1.5))</f>
        <v>1.905</v>
      </c>
      <c r="AB45" s="20">
        <v>0</v>
      </c>
      <c r="AC45" s="20">
        <f>2.54*(AVERAGE(0,1.75,1.5))</f>
        <v>2.7516666666666665</v>
      </c>
      <c r="AD45" s="20">
        <v>0</v>
      </c>
      <c r="AE45" s="20">
        <f>2.54*(AVERAGE(0,1.5,1.5))</f>
        <v>2.54</v>
      </c>
      <c r="AF45" s="26">
        <v>16.54</v>
      </c>
      <c r="AG45" s="26">
        <v>12.9</v>
      </c>
      <c r="AH45" s="26">
        <v>1.72</v>
      </c>
      <c r="AI45" s="26">
        <v>36.82</v>
      </c>
      <c r="AJ45" s="26">
        <v>1.5</v>
      </c>
      <c r="AK45" s="18" t="s">
        <v>172</v>
      </c>
      <c r="AL45" s="18" t="s">
        <v>172</v>
      </c>
      <c r="AM45" s="18" t="s">
        <v>172</v>
      </c>
      <c r="AN45" s="18" t="s">
        <v>172</v>
      </c>
      <c r="AO45" s="18" t="s">
        <v>172</v>
      </c>
      <c r="AP45" s="18" t="s">
        <v>172</v>
      </c>
      <c r="AQ45" s="18" t="s">
        <v>172</v>
      </c>
      <c r="AR45" s="18" t="s">
        <v>172</v>
      </c>
      <c r="AS45">
        <v>600</v>
      </c>
      <c r="AT45">
        <v>154</v>
      </c>
    </row>
    <row r="46" spans="1:46" x14ac:dyDescent="0.25">
      <c r="A46" s="8" t="s">
        <v>119</v>
      </c>
      <c r="B46" s="11">
        <v>45</v>
      </c>
      <c r="C46">
        <v>0</v>
      </c>
      <c r="D46">
        <v>1</v>
      </c>
      <c r="E46" t="s">
        <v>172</v>
      </c>
      <c r="G46" s="19">
        <v>0</v>
      </c>
      <c r="H46" s="19">
        <f>13/20</f>
        <v>0.65</v>
      </c>
      <c r="I46" s="19">
        <f>3/20</f>
        <v>0.15</v>
      </c>
      <c r="J46" s="19">
        <f>2/20</f>
        <v>0.1</v>
      </c>
      <c r="K46" s="19">
        <v>0</v>
      </c>
      <c r="L46" s="19">
        <v>0</v>
      </c>
      <c r="M46" s="19">
        <f>2/20</f>
        <v>0.1</v>
      </c>
      <c r="N46" s="19">
        <v>0</v>
      </c>
      <c r="O46" s="29">
        <v>0</v>
      </c>
      <c r="P46" s="20">
        <v>65</v>
      </c>
      <c r="Q46" s="20">
        <f>AVERAGE(69.2,78.3,68,91)</f>
        <v>76.625</v>
      </c>
      <c r="R46" s="20">
        <f>AVERAGE(104.5,141.9,144.5,43.2)</f>
        <v>108.52499999999999</v>
      </c>
      <c r="S46" s="20">
        <f>AVERAGE(85,70,62,79.3)</f>
        <v>74.075000000000003</v>
      </c>
      <c r="T46" s="20">
        <f>AVERAGE(69.2,104.5,85)</f>
        <v>86.233333333333334</v>
      </c>
      <c r="U46" s="20">
        <f>AVERAGE(78.3,141.9,70)</f>
        <v>96.733333333333334</v>
      </c>
      <c r="V46" s="20">
        <f>AVERAGE(68,144.5,62)</f>
        <v>91.5</v>
      </c>
      <c r="W46" s="20">
        <f>AVERAGE(91,43.2,79.3)</f>
        <v>71.166666666666671</v>
      </c>
      <c r="X46" s="20">
        <v>5</v>
      </c>
      <c r="Y46" s="20">
        <f>AVERAGE(5,7,5,7)</f>
        <v>6</v>
      </c>
      <c r="Z46" s="20">
        <f>AVERAGE(5,7,5,8)</f>
        <v>6.25</v>
      </c>
      <c r="AA46" s="20">
        <f>AVERAGE(6,0,8,7)</f>
        <v>5.25</v>
      </c>
      <c r="AB46" s="20">
        <f>AVERAGE(5,5,6)</f>
        <v>5.333333333333333</v>
      </c>
      <c r="AC46" s="20">
        <f>AVERAGE(7,7,0)</f>
        <v>4.666666666666667</v>
      </c>
      <c r="AD46" s="20">
        <f>AVERAGE(5,5,8)</f>
        <v>6</v>
      </c>
      <c r="AE46" s="20">
        <f>AVERAGE(7,8,7)</f>
        <v>7.333333333333333</v>
      </c>
      <c r="AF46" s="26">
        <v>0</v>
      </c>
      <c r="AG46" s="26">
        <v>8.2200000000000006</v>
      </c>
      <c r="AH46" s="26">
        <v>0</v>
      </c>
      <c r="AI46" s="26">
        <v>0</v>
      </c>
      <c r="AJ46" s="26">
        <v>0</v>
      </c>
      <c r="AK46" s="18" t="s">
        <v>172</v>
      </c>
      <c r="AL46" s="18" t="s">
        <v>172</v>
      </c>
      <c r="AM46" s="18" t="s">
        <v>172</v>
      </c>
      <c r="AN46" s="18" t="s">
        <v>172</v>
      </c>
      <c r="AO46" s="18" t="s">
        <v>172</v>
      </c>
      <c r="AP46" s="18" t="s">
        <v>172</v>
      </c>
      <c r="AQ46" s="18" t="s">
        <v>172</v>
      </c>
      <c r="AR46" s="18" t="s">
        <v>172</v>
      </c>
      <c r="AS46">
        <v>179</v>
      </c>
      <c r="AT46">
        <v>29</v>
      </c>
    </row>
    <row r="47" spans="1:46" x14ac:dyDescent="0.25">
      <c r="A47" s="8" t="s">
        <v>120</v>
      </c>
      <c r="B47" s="11">
        <v>46</v>
      </c>
      <c r="C47">
        <v>0</v>
      </c>
      <c r="D47">
        <v>1</v>
      </c>
      <c r="E47" t="s">
        <v>172</v>
      </c>
      <c r="G47" s="19">
        <v>0</v>
      </c>
      <c r="H47" s="19">
        <f>8/20</f>
        <v>0.4</v>
      </c>
      <c r="I47" s="19">
        <f>4/20</f>
        <v>0.2</v>
      </c>
      <c r="J47" s="19">
        <f>5/20</f>
        <v>0.25</v>
      </c>
      <c r="K47" s="19">
        <f>1/20</f>
        <v>0.05</v>
      </c>
      <c r="L47" s="19">
        <f>1/20</f>
        <v>0.05</v>
      </c>
      <c r="M47" s="19">
        <f>1/20</f>
        <v>0.05</v>
      </c>
      <c r="N47" s="19">
        <v>0</v>
      </c>
      <c r="O47" s="19">
        <f>15/20</f>
        <v>0.75</v>
      </c>
      <c r="P47" s="20">
        <f>2.54*34.5</f>
        <v>87.63</v>
      </c>
      <c r="Q47" s="20">
        <f>2.54*(AVERAGE(33.75,52.25,28.5,23.5))</f>
        <v>87.63</v>
      </c>
      <c r="R47" s="20">
        <f>2.54*(AVERAGE(85,55,51.5,66))</f>
        <v>163.51249999999999</v>
      </c>
      <c r="S47" s="20">
        <f>2.54*(AVERAGE(66,57.5,61.25,90))</f>
        <v>174.46625</v>
      </c>
      <c r="T47" s="20">
        <f>2.54*(AVERAGE(33.75,85,66))</f>
        <v>156.42166666666668</v>
      </c>
      <c r="U47" s="20">
        <f>2.54*(AVERAGE(52.25,55,57.5))</f>
        <v>139.48833333333332</v>
      </c>
      <c r="V47" s="20">
        <f>2.54*(AVERAGE(28.5,51.5,61.25))</f>
        <v>119.59166666666667</v>
      </c>
      <c r="W47" s="20">
        <f>2.54*(AVERAGE(23.5,66,90))</f>
        <v>151.97666666666669</v>
      </c>
      <c r="X47" s="20">
        <f>2.54*0.25</f>
        <v>0.63500000000000001</v>
      </c>
      <c r="Y47" s="20">
        <f>2.54*(AVERAGE(1,1,1.5,2))</f>
        <v>3.4925000000000002</v>
      </c>
      <c r="Z47" s="20">
        <f>2.54*(AVERAGE(1,1.5,2,3))</f>
        <v>4.7625000000000002</v>
      </c>
      <c r="AA47" s="20">
        <f>2.54*(AVERAGE(0.5,1,1.5,0.5))</f>
        <v>2.2225000000000001</v>
      </c>
      <c r="AB47" s="20">
        <f>2.54*(AVERAGE(1,1,0.5))</f>
        <v>2.1166666666666667</v>
      </c>
      <c r="AC47" s="20">
        <f>2.54*(AVERAGE(1,1.5,1))</f>
        <v>2.9633333333333334</v>
      </c>
      <c r="AD47" s="20">
        <f>2.54*(AVERAGE(1.5,2,1.5))</f>
        <v>4.2333333333333334</v>
      </c>
      <c r="AE47" s="20">
        <f>2.54*(AVERAGE(2,3,0.5))</f>
        <v>4.6566666666666663</v>
      </c>
      <c r="AF47" s="26">
        <v>9</v>
      </c>
      <c r="AG47" s="26">
        <v>14.2</v>
      </c>
      <c r="AH47" s="26">
        <v>90.9</v>
      </c>
      <c r="AI47" s="26">
        <v>96.88</v>
      </c>
      <c r="AJ47" s="26">
        <v>10</v>
      </c>
      <c r="AK47" s="18" t="s">
        <v>172</v>
      </c>
      <c r="AL47" s="18" t="s">
        <v>172</v>
      </c>
      <c r="AM47" s="18" t="s">
        <v>172</v>
      </c>
      <c r="AN47" s="18" t="s">
        <v>172</v>
      </c>
      <c r="AO47" s="18" t="s">
        <v>172</v>
      </c>
      <c r="AP47" s="18" t="s">
        <v>172</v>
      </c>
      <c r="AQ47" s="18" t="s">
        <v>172</v>
      </c>
      <c r="AR47" s="18" t="s">
        <v>172</v>
      </c>
      <c r="AS47">
        <v>823</v>
      </c>
      <c r="AT47">
        <v>39</v>
      </c>
    </row>
    <row r="48" spans="1:46" x14ac:dyDescent="0.25">
      <c r="A48" s="8" t="s">
        <v>121</v>
      </c>
      <c r="B48" s="11">
        <v>47</v>
      </c>
      <c r="C48">
        <v>0</v>
      </c>
      <c r="D48">
        <v>1</v>
      </c>
      <c r="E48" t="s">
        <v>172</v>
      </c>
      <c r="G48" s="19">
        <v>0</v>
      </c>
      <c r="H48" s="19">
        <f>5/20</f>
        <v>0.25</v>
      </c>
      <c r="I48" s="19">
        <f>11/20</f>
        <v>0.55000000000000004</v>
      </c>
      <c r="J48" s="19">
        <f>1/20</f>
        <v>0.05</v>
      </c>
      <c r="K48" s="19">
        <v>0</v>
      </c>
      <c r="L48" s="19">
        <f>2/20</f>
        <v>0.1</v>
      </c>
      <c r="M48" s="19">
        <v>0</v>
      </c>
      <c r="N48" s="19">
        <v>0</v>
      </c>
      <c r="O48" s="19">
        <f>4/20</f>
        <v>0.2</v>
      </c>
      <c r="P48" s="20">
        <v>60</v>
      </c>
      <c r="Q48" s="20">
        <f>AVERAGE(63,114.8,88,52)</f>
        <v>79.45</v>
      </c>
      <c r="R48" s="20">
        <f>AVERAGE(70,127.1,81.2,118)</f>
        <v>99.075000000000003</v>
      </c>
      <c r="S48" s="20">
        <f>AVERAGE(87.1,118.8,188,64.5)</f>
        <v>114.6</v>
      </c>
      <c r="T48" s="20">
        <f>AVERAGE(63,70,87.1)</f>
        <v>73.36666666666666</v>
      </c>
      <c r="U48" s="20">
        <f>AVERAGE(114.8,127.1,118.8)</f>
        <v>120.23333333333333</v>
      </c>
      <c r="V48" s="20">
        <f>AVERAGE(88,81.2,188)</f>
        <v>119.06666666666666</v>
      </c>
      <c r="W48" s="20">
        <f>AVERAGE(52,118,64.5)</f>
        <v>78.166666666666671</v>
      </c>
      <c r="X48" s="20">
        <v>3</v>
      </c>
      <c r="Y48" s="20">
        <f>AVERAGE(6,3,5.5,2)</f>
        <v>4.125</v>
      </c>
      <c r="Z48" s="20">
        <f>AVERAGE(4,4,1,0)</f>
        <v>2.25</v>
      </c>
      <c r="AA48" s="20">
        <f>AVERAGE(0,2,7.5,5)</f>
        <v>3.625</v>
      </c>
      <c r="AB48" s="20">
        <f>AVERAGE(6,4,0)</f>
        <v>3.3333333333333335</v>
      </c>
      <c r="AC48" s="20">
        <f>AVERAGE(3,4,2)</f>
        <v>3</v>
      </c>
      <c r="AD48" s="20">
        <f>AVERAGE(5.5,1,7.5)</f>
        <v>4.666666666666667</v>
      </c>
      <c r="AE48" s="20">
        <f>AVERAGE(2,0,5)</f>
        <v>2.3333333333333335</v>
      </c>
      <c r="AF48" s="26">
        <v>40.98</v>
      </c>
      <c r="AG48" s="26">
        <v>1.2</v>
      </c>
      <c r="AH48" s="26">
        <v>1.72</v>
      </c>
      <c r="AI48" s="26">
        <v>64.64</v>
      </c>
      <c r="AJ48" s="26">
        <v>0</v>
      </c>
      <c r="AK48" s="18" t="s">
        <v>172</v>
      </c>
      <c r="AL48" s="18" t="s">
        <v>172</v>
      </c>
      <c r="AM48" s="18" t="s">
        <v>172</v>
      </c>
      <c r="AN48" s="18" t="s">
        <v>172</v>
      </c>
      <c r="AO48" s="18" t="s">
        <v>172</v>
      </c>
      <c r="AP48" s="18" t="s">
        <v>172</v>
      </c>
      <c r="AQ48" s="18" t="s">
        <v>172</v>
      </c>
      <c r="AR48" s="18" t="s">
        <v>172</v>
      </c>
      <c r="AS48">
        <v>632</v>
      </c>
      <c r="AT48">
        <v>81</v>
      </c>
    </row>
    <row r="49" spans="1:46" x14ac:dyDescent="0.25">
      <c r="A49" s="8" t="s">
        <v>122</v>
      </c>
      <c r="B49" s="11">
        <v>48</v>
      </c>
      <c r="C49">
        <v>0</v>
      </c>
      <c r="D49">
        <v>1</v>
      </c>
      <c r="E49" t="s">
        <v>172</v>
      </c>
      <c r="G49" s="19">
        <v>0</v>
      </c>
      <c r="H49" s="19">
        <f>9/20</f>
        <v>0.45</v>
      </c>
      <c r="I49" s="19">
        <f>7/20</f>
        <v>0.35</v>
      </c>
      <c r="J49" s="19">
        <f>4/20</f>
        <v>0.2</v>
      </c>
      <c r="K49" s="19">
        <v>0</v>
      </c>
      <c r="L49" s="19">
        <v>0</v>
      </c>
      <c r="M49" s="19">
        <v>0</v>
      </c>
      <c r="N49" s="19">
        <v>0</v>
      </c>
      <c r="O49" s="19">
        <f>1/20</f>
        <v>0.05</v>
      </c>
      <c r="P49" s="20">
        <v>50</v>
      </c>
      <c r="Q49" s="20">
        <f>AVERAGE(67.5,33,107,30.5)</f>
        <v>59.5</v>
      </c>
      <c r="R49" s="20">
        <f>AVERAGE(110,48,58.5,35)</f>
        <v>62.875</v>
      </c>
      <c r="S49" s="20">
        <f>AVERAGE(64,46,71,164)</f>
        <v>86.25</v>
      </c>
      <c r="T49" s="20">
        <f>AVERAGE(67.5,110,64)</f>
        <v>80.5</v>
      </c>
      <c r="U49" s="20">
        <f>AVERAGE(33,48,46)</f>
        <v>42.333333333333336</v>
      </c>
      <c r="V49" s="20">
        <f>AVERAGE(107,58.5,71)</f>
        <v>78.833333333333329</v>
      </c>
      <c r="W49" s="20">
        <f>AVERAGE(30.5,35,164)</f>
        <v>76.5</v>
      </c>
      <c r="X49" s="20">
        <v>3</v>
      </c>
      <c r="Y49" s="20">
        <f>AVERAGE(3,2,3.5,1.5)</f>
        <v>2.5</v>
      </c>
      <c r="Z49" s="20">
        <f>AVERAGE(1,2.5,12,12)</f>
        <v>6.875</v>
      </c>
      <c r="AA49" s="20">
        <f>AVERAGE(4,3.5,1,4)</f>
        <v>3.125</v>
      </c>
      <c r="AB49" s="20">
        <f>AVERAGE(3,1,4)</f>
        <v>2.6666666666666665</v>
      </c>
      <c r="AC49" s="20">
        <f>AVERAGE(2,2.5,3.5)</f>
        <v>2.6666666666666665</v>
      </c>
      <c r="AD49" s="20">
        <f>AVERAGE(107,58.5,71)</f>
        <v>78.833333333333329</v>
      </c>
      <c r="AE49" s="20">
        <f>AVERAGE(30.5,35,164)</f>
        <v>76.5</v>
      </c>
      <c r="AF49" s="26">
        <v>82</v>
      </c>
      <c r="AG49" s="26">
        <v>1.98</v>
      </c>
      <c r="AH49" s="26">
        <v>91.68</v>
      </c>
      <c r="AI49" s="26">
        <v>0</v>
      </c>
      <c r="AJ49" s="26">
        <v>0</v>
      </c>
      <c r="AK49" s="18" t="s">
        <v>172</v>
      </c>
      <c r="AL49" s="18" t="s">
        <v>172</v>
      </c>
      <c r="AM49" s="18" t="s">
        <v>172</v>
      </c>
      <c r="AN49" s="18" t="s">
        <v>172</v>
      </c>
      <c r="AO49" s="18" t="s">
        <v>172</v>
      </c>
      <c r="AP49" s="18" t="s">
        <v>172</v>
      </c>
      <c r="AQ49" s="18" t="s">
        <v>172</v>
      </c>
      <c r="AR49" s="18" t="s">
        <v>172</v>
      </c>
      <c r="AS49">
        <v>478</v>
      </c>
      <c r="AT49">
        <v>24</v>
      </c>
    </row>
    <row r="50" spans="1:46" x14ac:dyDescent="0.25">
      <c r="A50" s="8" t="s">
        <v>123</v>
      </c>
      <c r="B50" s="11">
        <v>49</v>
      </c>
      <c r="C50">
        <v>0</v>
      </c>
      <c r="D50">
        <v>1</v>
      </c>
      <c r="E50" t="s">
        <v>172</v>
      </c>
      <c r="G50" s="19">
        <f>2/20</f>
        <v>0.1</v>
      </c>
      <c r="H50" s="19">
        <f>2/20</f>
        <v>0.1</v>
      </c>
      <c r="I50" s="19">
        <f>6/20</f>
        <v>0.3</v>
      </c>
      <c r="J50" s="19">
        <f>9/20</f>
        <v>0.45</v>
      </c>
      <c r="K50" s="19">
        <f>1/20</f>
        <v>0.05</v>
      </c>
      <c r="L50" s="19">
        <v>0</v>
      </c>
      <c r="M50" s="19">
        <v>0</v>
      </c>
      <c r="N50" s="19">
        <v>0</v>
      </c>
      <c r="O50" s="29">
        <v>0</v>
      </c>
      <c r="P50" s="20">
        <v>40</v>
      </c>
      <c r="Q50" s="20">
        <f>AVERAGE(34,15,38,35.5)</f>
        <v>30.625</v>
      </c>
      <c r="R50" s="20">
        <f>AVERAGE(57,45,58.5,45.5)</f>
        <v>51.5</v>
      </c>
      <c r="S50" s="20">
        <f>AVERAGE(159.5,76,93,50)</f>
        <v>94.625</v>
      </c>
      <c r="T50" s="20">
        <f>AVERAGE(34,57,159.5)</f>
        <v>83.5</v>
      </c>
      <c r="U50" s="20">
        <f>AVERAGE(15,45,76)</f>
        <v>45.333333333333336</v>
      </c>
      <c r="V50" s="20">
        <f>AVERAGE(38,58.5,93)</f>
        <v>63.166666666666664</v>
      </c>
      <c r="W50" s="20">
        <f>AVERAGE(35.5,45.5,50)</f>
        <v>43.666666666666664</v>
      </c>
      <c r="X50" s="20">
        <v>3</v>
      </c>
      <c r="Y50" s="20">
        <f>AVERAGE(5,9,9,6)</f>
        <v>7.25</v>
      </c>
      <c r="Z50" s="20">
        <f>AVERAGE(2,8,2.5,11)</f>
        <v>5.875</v>
      </c>
      <c r="AA50" s="20">
        <f>AVERAGE(4,8,2,5)</f>
        <v>4.75</v>
      </c>
      <c r="AB50" s="20">
        <f>AVERAGE(5,2,4)</f>
        <v>3.6666666666666665</v>
      </c>
      <c r="AC50" s="20">
        <f>AVERAGE(9,8,8)</f>
        <v>8.3333333333333339</v>
      </c>
      <c r="AD50" s="20">
        <f>AVERAGE(9,2.5,2)</f>
        <v>4.5</v>
      </c>
      <c r="AE50" s="20">
        <f>AVERAGE(6,11,5)</f>
        <v>7.333333333333333</v>
      </c>
      <c r="AF50" s="26">
        <v>0</v>
      </c>
      <c r="AG50" s="26">
        <v>0</v>
      </c>
      <c r="AH50" s="26">
        <v>15.68</v>
      </c>
      <c r="AI50" s="26">
        <v>0</v>
      </c>
      <c r="AJ50" s="26">
        <v>0</v>
      </c>
      <c r="AK50" s="18" t="s">
        <v>172</v>
      </c>
      <c r="AL50" s="18" t="s">
        <v>172</v>
      </c>
      <c r="AM50" s="18" t="s">
        <v>172</v>
      </c>
      <c r="AN50" s="18" t="s">
        <v>172</v>
      </c>
      <c r="AO50" s="18" t="s">
        <v>172</v>
      </c>
      <c r="AP50" s="18" t="s">
        <v>172</v>
      </c>
      <c r="AQ50" s="18" t="s">
        <v>172</v>
      </c>
      <c r="AR50" s="18" t="s">
        <v>172</v>
      </c>
      <c r="AS50">
        <v>610</v>
      </c>
      <c r="AT50">
        <v>20</v>
      </c>
    </row>
    <row r="51" spans="1:46" x14ac:dyDescent="0.25">
      <c r="A51" s="8" t="s">
        <v>124</v>
      </c>
      <c r="B51" s="11">
        <v>50</v>
      </c>
      <c r="C51">
        <v>0</v>
      </c>
      <c r="D51">
        <v>1</v>
      </c>
      <c r="E51" t="s">
        <v>172</v>
      </c>
      <c r="G51" s="19">
        <v>0</v>
      </c>
      <c r="H51" s="19">
        <f>3/20</f>
        <v>0.15</v>
      </c>
      <c r="I51" s="19">
        <f>12/20</f>
        <v>0.6</v>
      </c>
      <c r="J51" s="19">
        <f>5/20</f>
        <v>0.25</v>
      </c>
      <c r="K51" s="19">
        <v>0</v>
      </c>
      <c r="L51" s="19">
        <v>0</v>
      </c>
      <c r="M51" s="19">
        <v>0</v>
      </c>
      <c r="N51" s="19">
        <v>0</v>
      </c>
      <c r="O51" s="29">
        <v>0.5</v>
      </c>
      <c r="P51" s="20">
        <f>2.54*84</f>
        <v>213.36</v>
      </c>
      <c r="Q51" s="20">
        <f>2.54*(AVERAGE(58.5,84,78,63.5))</f>
        <v>180.34</v>
      </c>
      <c r="R51" s="20">
        <f>2.54*(AVERAGE(108,84,70.5,47))</f>
        <v>196.5325</v>
      </c>
      <c r="S51" s="20">
        <f>2.54*(AVERAGE(120,61,80,64))</f>
        <v>206.375</v>
      </c>
      <c r="T51" s="20">
        <f>2.54*(AVERAGE(58.5,108,120))</f>
        <v>242.57</v>
      </c>
      <c r="U51" s="20">
        <f>2.54*(AVERAGE(84,84,61))</f>
        <v>193.88666666666666</v>
      </c>
      <c r="V51" s="20">
        <f>2.54*(AVERAGE(78,70.5,80))</f>
        <v>193.46333333333334</v>
      </c>
      <c r="W51" s="20">
        <f>2.54*(AVERAGE(63.5,47,64))</f>
        <v>147.74333333333334</v>
      </c>
      <c r="X51" s="20">
        <f>2.54*1</f>
        <v>2.54</v>
      </c>
      <c r="Y51" s="20">
        <f>2.54*(AVERAGE(0.25,2,2.25,1))</f>
        <v>3.4925000000000002</v>
      </c>
      <c r="Z51" s="20">
        <f>2.54*(AVERAGE(1,1.5,1.5,3))</f>
        <v>4.4450000000000003</v>
      </c>
      <c r="AA51" s="20">
        <f>2.54*(AVERAGE(1,2.25,1.25,6))</f>
        <v>6.6675000000000004</v>
      </c>
      <c r="AB51" s="20">
        <f>2.54*(AVERAGE(0.25,1,1))</f>
        <v>1.905</v>
      </c>
      <c r="AC51" s="20">
        <f>2.54*(AVERAGE(2,1.5,2.25))</f>
        <v>4.8683333333333332</v>
      </c>
      <c r="AD51" s="20">
        <f>2.54*(AVERAGE(2.25,1.5,1.25))</f>
        <v>4.2333333333333334</v>
      </c>
      <c r="AE51" s="20">
        <f>2.54*(AVERAGE(1,3,6))</f>
        <v>8.4666666666666668</v>
      </c>
      <c r="AF51" s="26">
        <v>45.14</v>
      </c>
      <c r="AG51" s="26">
        <v>0</v>
      </c>
      <c r="AH51" s="26">
        <v>62.3</v>
      </c>
      <c r="AI51" s="26">
        <v>51.64</v>
      </c>
      <c r="AJ51" s="26">
        <v>55</v>
      </c>
      <c r="AK51" s="18" t="s">
        <v>172</v>
      </c>
      <c r="AL51" s="18" t="s">
        <v>172</v>
      </c>
      <c r="AM51" s="18" t="s">
        <v>172</v>
      </c>
      <c r="AN51" s="18" t="s">
        <v>172</v>
      </c>
      <c r="AO51" s="18" t="s">
        <v>172</v>
      </c>
      <c r="AP51" s="18" t="s">
        <v>172</v>
      </c>
      <c r="AQ51" s="18" t="s">
        <v>172</v>
      </c>
      <c r="AR51" s="18" t="s">
        <v>172</v>
      </c>
      <c r="AS51">
        <v>476</v>
      </c>
      <c r="AT51">
        <v>131</v>
      </c>
    </row>
    <row r="52" spans="1:46" x14ac:dyDescent="0.25">
      <c r="A52" s="8" t="s">
        <v>125</v>
      </c>
      <c r="B52" s="11">
        <v>51</v>
      </c>
      <c r="C52">
        <v>0</v>
      </c>
      <c r="D52">
        <v>1</v>
      </c>
      <c r="E52" t="s">
        <v>172</v>
      </c>
      <c r="G52" s="19">
        <v>0</v>
      </c>
      <c r="H52" s="19">
        <f>10/20</f>
        <v>0.5</v>
      </c>
      <c r="I52" s="19">
        <f>8/20</f>
        <v>0.4</v>
      </c>
      <c r="J52" s="19">
        <f>2/20</f>
        <v>0.1</v>
      </c>
      <c r="K52" s="19">
        <v>0</v>
      </c>
      <c r="L52" s="19">
        <v>0</v>
      </c>
      <c r="M52" s="19">
        <v>0</v>
      </c>
      <c r="N52" s="19">
        <v>0</v>
      </c>
      <c r="O52" s="19">
        <f>9/20</f>
        <v>0.45</v>
      </c>
      <c r="P52" s="20">
        <f>2.54*31</f>
        <v>78.739999999999995</v>
      </c>
      <c r="Q52" s="20">
        <f>2.54*(AVERAGE(39,48.5,34.5,53.5))</f>
        <v>111.4425</v>
      </c>
      <c r="R52" s="20">
        <f>2.54*(AVERAGE(66.5,63,43,72))</f>
        <v>155.25749999999999</v>
      </c>
      <c r="S52" s="20">
        <f>2.54*(AVERAGE(72.5,77.5,29.75,56))</f>
        <v>149.70125000000002</v>
      </c>
      <c r="T52" s="20">
        <f>2.54*(AVERAGE(39,66.5,72.5))</f>
        <v>150.70666666666668</v>
      </c>
      <c r="U52" s="20">
        <f>2.54*(AVERAGE(48.5,63,77.5))</f>
        <v>160.02000000000001</v>
      </c>
      <c r="V52" s="20">
        <f>2.54*(AVERAGE(34.5,43,29.75))</f>
        <v>90.805000000000007</v>
      </c>
      <c r="W52" s="20">
        <f>2.54*(AVERAGE(53.5,72,56))</f>
        <v>153.67000000000002</v>
      </c>
      <c r="X52" s="20">
        <f>2.54*0.75</f>
        <v>1.905</v>
      </c>
      <c r="Y52" s="20">
        <f>2.54*(AVERAGE(0.75,0.75,0.25,0.25))</f>
        <v>1.27</v>
      </c>
      <c r="Z52" s="20">
        <f>2.54*(AVERAGE(1.25,1.5,1,1.5))</f>
        <v>3.3337500000000002</v>
      </c>
      <c r="AA52" s="20">
        <f>2.54*(AVERAGE(1,1.5,1,1))</f>
        <v>2.8574999999999999</v>
      </c>
      <c r="AB52" s="20">
        <f>2.54*(AVERAGE(0.75,1.25,1))</f>
        <v>2.54</v>
      </c>
      <c r="AC52" s="20">
        <f>2.54*(AVERAGE(0.75,1.5,1.5))</f>
        <v>3.1749999999999998</v>
      </c>
      <c r="AD52" s="20">
        <f>2.54*(AVERAGE(0.25,1,1))</f>
        <v>1.905</v>
      </c>
      <c r="AE52" s="20">
        <f>2.54*(AVERAGE(0.25,1.5,1))</f>
        <v>2.3283333333333331</v>
      </c>
      <c r="AF52" s="26">
        <v>68.02</v>
      </c>
      <c r="AG52" s="26">
        <v>44.62</v>
      </c>
      <c r="AH52" s="26">
        <v>0</v>
      </c>
      <c r="AI52" s="26">
        <v>46.44</v>
      </c>
      <c r="AJ52" s="26">
        <v>5</v>
      </c>
      <c r="AK52" s="18" t="s">
        <v>172</v>
      </c>
      <c r="AL52" s="18" t="s">
        <v>172</v>
      </c>
      <c r="AM52" s="18" t="s">
        <v>172</v>
      </c>
      <c r="AN52" s="18" t="s">
        <v>172</v>
      </c>
      <c r="AO52" s="18" t="s">
        <v>172</v>
      </c>
      <c r="AP52" s="18" t="s">
        <v>172</v>
      </c>
      <c r="AQ52" s="18" t="s">
        <v>172</v>
      </c>
      <c r="AR52" s="18" t="s">
        <v>172</v>
      </c>
      <c r="AS52">
        <v>920</v>
      </c>
      <c r="AT52">
        <v>41</v>
      </c>
    </row>
    <row r="53" spans="1:46" x14ac:dyDescent="0.25">
      <c r="A53" s="8" t="s">
        <v>126</v>
      </c>
      <c r="B53" s="11">
        <v>52</v>
      </c>
      <c r="C53">
        <v>0</v>
      </c>
      <c r="D53">
        <v>1</v>
      </c>
      <c r="E53" t="s">
        <v>172</v>
      </c>
      <c r="G53" s="19">
        <f>1/20</f>
        <v>0.05</v>
      </c>
      <c r="H53" s="19">
        <f>6/20</f>
        <v>0.3</v>
      </c>
      <c r="I53" s="19">
        <f>6/20</f>
        <v>0.3</v>
      </c>
      <c r="J53" s="19">
        <f>7/20</f>
        <v>0.35</v>
      </c>
      <c r="K53" s="19">
        <v>0</v>
      </c>
      <c r="L53" s="19">
        <v>0</v>
      </c>
      <c r="M53" s="19">
        <v>0</v>
      </c>
      <c r="N53" s="19">
        <v>0</v>
      </c>
      <c r="O53" s="19">
        <f>16/20</f>
        <v>0.8</v>
      </c>
      <c r="P53" s="20">
        <f>2.54*38.5</f>
        <v>97.79</v>
      </c>
      <c r="Q53" s="20">
        <f>2.54*(AVERAGE(72,28,45,21.25))</f>
        <v>105.56875000000001</v>
      </c>
      <c r="R53" s="20">
        <f>2.54*(AVERAGE(57.5,96,50,27.75))</f>
        <v>146.84375</v>
      </c>
      <c r="S53" s="20">
        <f>2.54*(AVERAGE(47,86,2.5,36))</f>
        <v>108.9025</v>
      </c>
      <c r="T53" s="20">
        <f>2.54*(AVERAGE(72,57.5,47))</f>
        <v>149.43666666666667</v>
      </c>
      <c r="U53" s="20">
        <f>2.54*(AVERAGE(28,96,86))</f>
        <v>177.8</v>
      </c>
      <c r="V53" s="20">
        <f>2.54*(AVERAGE(45,50,2.5))</f>
        <v>82.55</v>
      </c>
      <c r="W53" s="20">
        <f>2.54*(AVERAGE(21.25,27.75,36))</f>
        <v>71.966666666666669</v>
      </c>
      <c r="X53" s="20">
        <f>2.54*0.5</f>
        <v>1.27</v>
      </c>
      <c r="Y53" s="20">
        <f>2.54*(AVERAGE(1.5,1.5,1,1))</f>
        <v>3.1749999999999998</v>
      </c>
      <c r="Z53" s="20">
        <f>2.54*(AVERAGE(2,0.25,2,1.75))</f>
        <v>3.81</v>
      </c>
      <c r="AA53" s="20">
        <f>2.54*(AVERAGE(0.75,1,1,1.5))</f>
        <v>2.69875</v>
      </c>
      <c r="AB53" s="20">
        <f>2.54*(AVERAGE(1.5,2,0.75))</f>
        <v>3.5983333333333336</v>
      </c>
      <c r="AC53" s="20">
        <f>2.54*(AVERAGE(1.5,0.25,1))</f>
        <v>2.3283333333333331</v>
      </c>
      <c r="AD53" s="20">
        <f>2.54*(AVERAGE(1,2,1))</f>
        <v>3.3866666666666667</v>
      </c>
      <c r="AE53" s="20">
        <f>2.54*(AVERAGE(1,1.75,1.5))</f>
        <v>3.5983333333333336</v>
      </c>
      <c r="AF53" s="26">
        <v>82.32</v>
      </c>
      <c r="AG53" s="26">
        <v>92.46</v>
      </c>
      <c r="AH53" s="26">
        <v>97.25</v>
      </c>
      <c r="AI53" s="26">
        <v>82.32</v>
      </c>
      <c r="AJ53" s="26">
        <v>80</v>
      </c>
      <c r="AK53" s="18" t="s">
        <v>172</v>
      </c>
      <c r="AL53" s="18" t="s">
        <v>172</v>
      </c>
      <c r="AM53" s="18" t="s">
        <v>172</v>
      </c>
      <c r="AN53" s="18" t="s">
        <v>172</v>
      </c>
      <c r="AO53" s="18" t="s">
        <v>172</v>
      </c>
      <c r="AP53" s="18" t="s">
        <v>172</v>
      </c>
      <c r="AQ53" s="18" t="s">
        <v>172</v>
      </c>
      <c r="AR53" s="18" t="s">
        <v>172</v>
      </c>
      <c r="AS53">
        <v>701</v>
      </c>
      <c r="AT53">
        <v>15</v>
      </c>
    </row>
    <row r="54" spans="1:46" x14ac:dyDescent="0.25">
      <c r="A54" s="8" t="s">
        <v>127</v>
      </c>
      <c r="B54" s="11">
        <v>53</v>
      </c>
      <c r="C54">
        <v>0</v>
      </c>
      <c r="D54">
        <v>1</v>
      </c>
      <c r="E54" t="s">
        <v>172</v>
      </c>
      <c r="G54" s="19">
        <f>1/20</f>
        <v>0.05</v>
      </c>
      <c r="H54" s="19">
        <f>3/20</f>
        <v>0.15</v>
      </c>
      <c r="I54" s="19">
        <f>10/20</f>
        <v>0.5</v>
      </c>
      <c r="J54" s="19">
        <f>3/20</f>
        <v>0.15</v>
      </c>
      <c r="K54" s="19">
        <v>0</v>
      </c>
      <c r="L54" s="19">
        <v>0</v>
      </c>
      <c r="M54" s="19">
        <f>2/20</f>
        <v>0.1</v>
      </c>
      <c r="N54" s="19">
        <f>1/20</f>
        <v>0.05</v>
      </c>
      <c r="O54" s="19">
        <f>19/20</f>
        <v>0.95</v>
      </c>
      <c r="P54" s="20">
        <f>2.54*27.75</f>
        <v>70.484999999999999</v>
      </c>
      <c r="Q54" s="20">
        <f>2.54*(AVERAGE(29,28,21.5,20.5))</f>
        <v>62.865000000000002</v>
      </c>
      <c r="R54" s="20">
        <f>2.54*(AVERAGE(111,31.75,100.5,90))</f>
        <v>211.61375000000001</v>
      </c>
      <c r="S54" s="20">
        <f>2.54*(AVERAGE(26.375,30.75,40.5,26))</f>
        <v>78.501874999999998</v>
      </c>
      <c r="T54" s="20">
        <f>2.54*(AVERAGE(29,111,26.375))</f>
        <v>140.86416666666668</v>
      </c>
      <c r="U54" s="20">
        <f>2.54*(AVERAGE(28,31.75,30.75))</f>
        <v>76.623333333333335</v>
      </c>
      <c r="V54" s="20">
        <f>2.54*(AVERAGE(21.5,100.5,40.5))</f>
        <v>137.58333333333334</v>
      </c>
      <c r="W54" s="20">
        <f>2.54*(AVERAGE(20.5,90,26))</f>
        <v>115.57000000000001</v>
      </c>
      <c r="X54" s="20">
        <f>2.54*1.75</f>
        <v>4.4450000000000003</v>
      </c>
      <c r="Y54" s="20">
        <f>2.54*(AVERAGE(2,1.5,1.5,1.5))</f>
        <v>4.1275000000000004</v>
      </c>
      <c r="Z54" s="20">
        <f>2.54*(AVERAGE(2,2,3,1.75))</f>
        <v>5.5562500000000004</v>
      </c>
      <c r="AA54" s="20">
        <f>2.54*(AVERAGE(2,1,1.25,0))</f>
        <v>2.69875</v>
      </c>
      <c r="AB54" s="20">
        <f>2.54*(AVERAGE(2,2,2))</f>
        <v>5.08</v>
      </c>
      <c r="AC54" s="20">
        <f>2.54*(AVERAGE(1.5,2,1))</f>
        <v>3.81</v>
      </c>
      <c r="AD54" s="20">
        <f>2.54*(AVERAGE(1.5,3,1.25))</f>
        <v>4.8683333333333332</v>
      </c>
      <c r="AE54" s="20">
        <f>2.54*(AVERAGE(1.5,1.75,0))</f>
        <v>2.7516666666666665</v>
      </c>
      <c r="AF54" s="26">
        <v>92.46</v>
      </c>
      <c r="AG54" s="26">
        <v>23.82</v>
      </c>
      <c r="AH54" s="26">
        <v>99.74</v>
      </c>
      <c r="AI54" s="26">
        <v>96.36</v>
      </c>
      <c r="AJ54" s="26">
        <v>25</v>
      </c>
      <c r="AK54" s="18" t="s">
        <v>172</v>
      </c>
      <c r="AL54" s="18" t="s">
        <v>172</v>
      </c>
      <c r="AM54" s="18" t="s">
        <v>172</v>
      </c>
      <c r="AN54" s="18" t="s">
        <v>172</v>
      </c>
      <c r="AO54" s="18" t="s">
        <v>172</v>
      </c>
      <c r="AP54" s="18" t="s">
        <v>172</v>
      </c>
      <c r="AQ54" s="18" t="s">
        <v>172</v>
      </c>
      <c r="AR54" s="18" t="s">
        <v>172</v>
      </c>
      <c r="AS54">
        <v>472</v>
      </c>
      <c r="AT54">
        <v>74</v>
      </c>
    </row>
    <row r="55" spans="1:46" x14ac:dyDescent="0.25">
      <c r="A55" s="8" t="s">
        <v>128</v>
      </c>
      <c r="B55" s="11">
        <v>54</v>
      </c>
      <c r="C55">
        <v>0</v>
      </c>
      <c r="D55">
        <v>1</v>
      </c>
      <c r="E55" t="s">
        <v>172</v>
      </c>
      <c r="G55" s="19">
        <f>1/20</f>
        <v>0.05</v>
      </c>
      <c r="H55" s="19">
        <f>9/20</f>
        <v>0.45</v>
      </c>
      <c r="I55" s="19">
        <f>10/20</f>
        <v>0.5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f>5/20</f>
        <v>0.25</v>
      </c>
      <c r="P55" s="20">
        <f>2.54*27.75</f>
        <v>70.484999999999999</v>
      </c>
      <c r="Q55" s="20">
        <f>2.54*(AVERAGE(22.25,50.5,38.5,48))</f>
        <v>101.12375</v>
      </c>
      <c r="R55" s="20">
        <f>2.54*(AVERAGE(38.5,42.25,40.5,24))</f>
        <v>92.233750000000001</v>
      </c>
      <c r="S55" s="20">
        <f>2.54*(AVERAGE(53.5,57.5,54,53))</f>
        <v>138.43</v>
      </c>
      <c r="T55" s="20">
        <f>2.54*(AVERAGE(22.25,38.5,53.5))</f>
        <v>96.731666666666669</v>
      </c>
      <c r="U55" s="20">
        <f>2.54*(AVERAGE(50.5,42.25,57.5))</f>
        <v>127.21166666666667</v>
      </c>
      <c r="V55" s="20">
        <f>2.54*(AVERAGE(38.5,40.5,54))</f>
        <v>112.60666666666667</v>
      </c>
      <c r="W55" s="20">
        <f>2.54*(AVERAGE(48,24,53))</f>
        <v>105.83333333333333</v>
      </c>
      <c r="X55" s="20">
        <v>2.54</v>
      </c>
      <c r="Y55" s="20">
        <f>2.54*(AVERAGE(1.5,1.75,1,2))</f>
        <v>3.96875</v>
      </c>
      <c r="Z55" s="20">
        <f>2.54*(AVERAGE(1.5,1.5,0.75,1.75))</f>
        <v>3.4925000000000002</v>
      </c>
      <c r="AA55" s="20">
        <f>2.54*(AVERAGE(1.25,1.75,2,2))</f>
        <v>4.4450000000000003</v>
      </c>
      <c r="AB55" s="20">
        <f>2.54*(AVERAGE(1.5,1.5,1.25))</f>
        <v>3.5983333333333336</v>
      </c>
      <c r="AC55" s="20">
        <f>2.54*(AVERAGE(1.75,1.5,1.75))</f>
        <v>4.2333333333333334</v>
      </c>
      <c r="AD55" s="20">
        <f>2.54*(AVERAGE(1,0.75,2))</f>
        <v>3.1749999999999998</v>
      </c>
      <c r="AE55" s="20">
        <f>2.54*(AVERAGE(2,1.75,2))</f>
        <v>4.8683333333333332</v>
      </c>
      <c r="AF55" s="26">
        <v>7.44</v>
      </c>
      <c r="AG55" s="26">
        <v>3.28</v>
      </c>
      <c r="AH55" s="26">
        <v>0</v>
      </c>
      <c r="AI55" s="26">
        <v>25.64</v>
      </c>
      <c r="AJ55" s="26">
        <v>0</v>
      </c>
      <c r="AK55" s="18" t="s">
        <v>172</v>
      </c>
      <c r="AL55" s="18" t="s">
        <v>172</v>
      </c>
      <c r="AM55" s="18" t="s">
        <v>172</v>
      </c>
      <c r="AN55" s="18" t="s">
        <v>172</v>
      </c>
      <c r="AO55" s="18" t="s">
        <v>172</v>
      </c>
      <c r="AP55" s="18" t="s">
        <v>172</v>
      </c>
      <c r="AQ55" s="18" t="s">
        <v>172</v>
      </c>
      <c r="AR55" s="18" t="s">
        <v>172</v>
      </c>
      <c r="AS55">
        <v>43</v>
      </c>
      <c r="AT55">
        <v>1211</v>
      </c>
    </row>
    <row r="56" spans="1:46" x14ac:dyDescent="0.25">
      <c r="A56" s="8" t="s">
        <v>129</v>
      </c>
      <c r="B56" s="11">
        <v>55</v>
      </c>
      <c r="C56">
        <v>0</v>
      </c>
      <c r="D56">
        <v>1</v>
      </c>
      <c r="E56" t="s">
        <v>172</v>
      </c>
      <c r="G56" s="19">
        <f>2/20</f>
        <v>0.1</v>
      </c>
      <c r="H56" s="19">
        <f>10/20</f>
        <v>0.5</v>
      </c>
      <c r="I56" s="19">
        <f>5/20</f>
        <v>0.25</v>
      </c>
      <c r="J56" s="19">
        <v>0</v>
      </c>
      <c r="K56" s="19">
        <f>2/20</f>
        <v>0.1</v>
      </c>
      <c r="L56" s="19">
        <v>0</v>
      </c>
      <c r="M56" s="19">
        <v>0</v>
      </c>
      <c r="N56" s="19">
        <f>1/20</f>
        <v>0.05</v>
      </c>
      <c r="O56" s="19">
        <f>1/20</f>
        <v>0.05</v>
      </c>
      <c r="P56" s="20">
        <v>85</v>
      </c>
      <c r="Q56" s="20">
        <f>(AVERAGE(102,90,92,145))</f>
        <v>107.25</v>
      </c>
      <c r="R56" s="20">
        <f>(AVERAGE(94,80.5,108,51))</f>
        <v>83.375</v>
      </c>
      <c r="S56" s="20">
        <f>(AVERAGE(71,154,26.5,76))</f>
        <v>81.875</v>
      </c>
      <c r="T56" s="20">
        <f>(AVERAGE(102,94,71))</f>
        <v>89</v>
      </c>
      <c r="U56" s="20">
        <f>(AVERAGE(90,80.5,154))</f>
        <v>108.16666666666667</v>
      </c>
      <c r="V56" s="20">
        <f>(AVERAGE(92,108,26.5))</f>
        <v>75.5</v>
      </c>
      <c r="W56" s="20">
        <f>(AVERAGE(145,51,76))</f>
        <v>90.666666666666671</v>
      </c>
      <c r="X56" s="20">
        <v>4</v>
      </c>
      <c r="Y56" s="20">
        <f>(AVERAGE(6,2,5,0))</f>
        <v>3.25</v>
      </c>
      <c r="Z56" s="20">
        <f>(AVERAGE(6,4,3,0))</f>
        <v>3.25</v>
      </c>
      <c r="AA56" s="20">
        <f>(AVERAGE(5,15,8,0))</f>
        <v>7</v>
      </c>
      <c r="AB56" s="20">
        <f>(AVERAGE(6,6,5))</f>
        <v>5.666666666666667</v>
      </c>
      <c r="AC56" s="20">
        <f>(AVERAGE(2,4,15))</f>
        <v>7</v>
      </c>
      <c r="AD56" s="20">
        <f>(AVERAGE(5,3,8))</f>
        <v>5.333333333333333</v>
      </c>
      <c r="AE56" s="20">
        <f>(AVERAGE(0,0,0))</f>
        <v>0</v>
      </c>
      <c r="AF56" s="26">
        <v>29.02</v>
      </c>
      <c r="AG56" s="26">
        <v>0</v>
      </c>
      <c r="AH56" s="26">
        <v>0</v>
      </c>
      <c r="AI56" s="26">
        <v>1.46</v>
      </c>
      <c r="AJ56" s="26">
        <v>0</v>
      </c>
      <c r="AK56" s="18" t="s">
        <v>172</v>
      </c>
      <c r="AL56" s="18" t="s">
        <v>172</v>
      </c>
      <c r="AM56" s="18" t="s">
        <v>172</v>
      </c>
      <c r="AN56" s="18" t="s">
        <v>172</v>
      </c>
      <c r="AO56" s="18" t="s">
        <v>172</v>
      </c>
      <c r="AP56" s="18" t="s">
        <v>172</v>
      </c>
      <c r="AQ56" s="18" t="s">
        <v>172</v>
      </c>
      <c r="AR56" s="18" t="s">
        <v>172</v>
      </c>
      <c r="AS56">
        <v>100</v>
      </c>
      <c r="AT56">
        <v>160</v>
      </c>
    </row>
    <row r="57" spans="1:46" x14ac:dyDescent="0.25">
      <c r="A57" s="8" t="s">
        <v>130</v>
      </c>
      <c r="B57" s="11">
        <v>57</v>
      </c>
      <c r="C57">
        <v>0</v>
      </c>
      <c r="D57">
        <v>1</v>
      </c>
      <c r="E57" t="s">
        <v>172</v>
      </c>
      <c r="G57" s="19">
        <v>0</v>
      </c>
      <c r="H57" s="19">
        <f>6/20</f>
        <v>0.3</v>
      </c>
      <c r="I57" s="19">
        <f>13/20</f>
        <v>0.65</v>
      </c>
      <c r="J57" s="19">
        <f>1/20</f>
        <v>0.05</v>
      </c>
      <c r="K57" s="19">
        <v>0</v>
      </c>
      <c r="L57" s="19">
        <v>0</v>
      </c>
      <c r="M57" s="19">
        <v>0</v>
      </c>
      <c r="N57" s="19">
        <v>0</v>
      </c>
      <c r="O57" s="19">
        <f>3/20</f>
        <v>0.15</v>
      </c>
      <c r="P57" s="20">
        <f>2.54*18.25</f>
        <v>46.355000000000004</v>
      </c>
      <c r="Q57" s="20">
        <f>2.54*(AVERAGE(24.75,30,14.5,21.75))</f>
        <v>57.785000000000004</v>
      </c>
      <c r="R57" s="20">
        <f>2.54*(AVERAGE(49.5,43,20,41))</f>
        <v>97.472499999999997</v>
      </c>
      <c r="S57" s="20">
        <f>2.54*(AVERAGE(50,71,49,53.5))</f>
        <v>141.92250000000001</v>
      </c>
      <c r="T57" s="20">
        <f>2.54*(AVERAGE(24.75,49.5,50))</f>
        <v>105.19833333333332</v>
      </c>
      <c r="U57" s="20">
        <f>2.54*(AVERAGE(30,43,71))</f>
        <v>121.92</v>
      </c>
      <c r="V57" s="20">
        <f>2.54*(AVERAGE(14.5,20,49))</f>
        <v>70.696666666666658</v>
      </c>
      <c r="W57" s="20">
        <f>2.54*(AVERAGE(21.75,41,53.5))</f>
        <v>98.424999999999997</v>
      </c>
      <c r="X57" s="20">
        <f>2.54*0.75</f>
        <v>1.905</v>
      </c>
      <c r="Y57" s="20">
        <f>2.54*(AVERAGE(1.5,3,1.75,2.5))</f>
        <v>5.5562500000000004</v>
      </c>
      <c r="Z57" s="20">
        <f>2.54*(AVERAGE(4,2.25,2,1.5))</f>
        <v>6.1912500000000001</v>
      </c>
      <c r="AA57" s="20">
        <f>2.54*(AVERAGE(2,2,1.5,2.75))</f>
        <v>5.2387500000000005</v>
      </c>
      <c r="AB57" s="20">
        <f>2.54*(AVERAGE(1.5,4,2))</f>
        <v>6.35</v>
      </c>
      <c r="AC57" s="20">
        <f>2.54*(AVERAGE(3,2.25,2))</f>
        <v>6.1383333333333328</v>
      </c>
      <c r="AD57" s="20">
        <f>2.54*(AVERAGE(1.75,2,1.5))</f>
        <v>4.4450000000000003</v>
      </c>
      <c r="AE57" s="20">
        <f>2.54*(AVERAGE(2.5,1.5,2.75))</f>
        <v>5.7149999999999999</v>
      </c>
      <c r="AF57" s="26">
        <v>1.98</v>
      </c>
      <c r="AG57" s="26">
        <v>6.66</v>
      </c>
      <c r="AH57" s="26">
        <v>100</v>
      </c>
      <c r="AI57" s="26">
        <v>16.8</v>
      </c>
      <c r="AJ57" s="26">
        <v>0</v>
      </c>
      <c r="AK57" s="18" t="s">
        <v>172</v>
      </c>
      <c r="AL57" s="18" t="s">
        <v>172</v>
      </c>
      <c r="AM57" s="18" t="s">
        <v>172</v>
      </c>
      <c r="AN57" s="18" t="s">
        <v>172</v>
      </c>
      <c r="AO57" s="18" t="s">
        <v>172</v>
      </c>
      <c r="AP57" s="18" t="s">
        <v>172</v>
      </c>
      <c r="AQ57" s="18" t="s">
        <v>172</v>
      </c>
      <c r="AR57" s="18" t="s">
        <v>172</v>
      </c>
      <c r="AS57">
        <v>480</v>
      </c>
      <c r="AT57">
        <v>36</v>
      </c>
    </row>
    <row r="58" spans="1:46" x14ac:dyDescent="0.25">
      <c r="A58" s="8" t="s">
        <v>131</v>
      </c>
      <c r="B58" s="11">
        <v>58</v>
      </c>
      <c r="C58">
        <v>0</v>
      </c>
      <c r="D58">
        <v>1</v>
      </c>
      <c r="E58" t="s">
        <v>172</v>
      </c>
      <c r="G58" s="19">
        <v>0</v>
      </c>
      <c r="H58" s="19">
        <f>10/20</f>
        <v>0.5</v>
      </c>
      <c r="I58" s="19">
        <f>8/10</f>
        <v>0.8</v>
      </c>
      <c r="J58" s="19">
        <f>1/20</f>
        <v>0.05</v>
      </c>
      <c r="K58" s="19">
        <v>0</v>
      </c>
      <c r="L58" s="19">
        <v>0</v>
      </c>
      <c r="M58" s="19">
        <f>1/20</f>
        <v>0.05</v>
      </c>
      <c r="N58" s="19">
        <v>0</v>
      </c>
      <c r="O58" s="19">
        <f>9/20</f>
        <v>0.45</v>
      </c>
      <c r="P58" s="20">
        <f>2.54*35.25</f>
        <v>89.534999999999997</v>
      </c>
      <c r="Q58" s="20">
        <f>2.54*(AVERAGE(34.75,21,13.5,29))</f>
        <v>62.388750000000002</v>
      </c>
      <c r="R58" s="20">
        <f>2.54*(AVERAGE(41.625,33,22,46.5))</f>
        <v>90.884375000000006</v>
      </c>
      <c r="S58" s="20">
        <f>2.54*(AVERAGE(30.75,68,88,48))</f>
        <v>149.06625</v>
      </c>
      <c r="T58" s="20">
        <f>2.54*(AVERAGE(34.75,41.625,30.75))</f>
        <v>90.69916666666667</v>
      </c>
      <c r="U58" s="20">
        <f>2.54*(AVERAGE(21,33,68))</f>
        <v>103.29333333333332</v>
      </c>
      <c r="V58" s="20">
        <f>2.54*(AVERAGE(13.5,22,88))</f>
        <v>104.56333333333333</v>
      </c>
      <c r="W58" s="20">
        <f>2.54*(AVERAGE(29,46.5,48))</f>
        <v>104.56333333333333</v>
      </c>
      <c r="X58" s="20">
        <f>2.54*1.75</f>
        <v>4.4450000000000003</v>
      </c>
      <c r="Y58" s="20">
        <f>2.54*(AVERAGE(2,1.75,1.5,1.75))</f>
        <v>4.4450000000000003</v>
      </c>
      <c r="Z58" s="20">
        <f>2.54*(AVERAGE(1,1.75,1.5,4))</f>
        <v>5.2387500000000005</v>
      </c>
      <c r="AA58" s="20">
        <f>2.54*(AVERAGE(2.5,1,2,1.5))</f>
        <v>4.4450000000000003</v>
      </c>
      <c r="AB58" s="20">
        <f>2.54*(AVERAGE(2,1,2.5))</f>
        <v>4.6566666666666663</v>
      </c>
      <c r="AC58" s="20">
        <f>2.54*(AVERAGE(1.75,1.75,1))</f>
        <v>3.81</v>
      </c>
      <c r="AD58" s="20">
        <f>2.54*(AVERAGE(1.5,1.5,2))</f>
        <v>4.2333333333333334</v>
      </c>
      <c r="AE58" s="20">
        <f>2.54*(AVERAGE(1.75,4,1.5))</f>
        <v>6.1383333333333328</v>
      </c>
      <c r="AF58" s="26">
        <v>0</v>
      </c>
      <c r="AG58" s="26">
        <v>57.1</v>
      </c>
      <c r="AH58" s="26">
        <v>1.2</v>
      </c>
      <c r="AI58" s="26">
        <v>7.44</v>
      </c>
      <c r="AJ58" s="26">
        <v>0</v>
      </c>
      <c r="AK58" s="18" t="s">
        <v>172</v>
      </c>
      <c r="AL58" s="18" t="s">
        <v>172</v>
      </c>
      <c r="AM58" s="18" t="s">
        <v>172</v>
      </c>
      <c r="AN58" s="18" t="s">
        <v>172</v>
      </c>
      <c r="AO58" s="18" t="s">
        <v>172</v>
      </c>
      <c r="AP58" s="18" t="s">
        <v>172</v>
      </c>
      <c r="AQ58" s="18" t="s">
        <v>172</v>
      </c>
      <c r="AR58" s="18" t="s">
        <v>172</v>
      </c>
      <c r="AS58">
        <v>166</v>
      </c>
      <c r="AT58">
        <v>87</v>
      </c>
    </row>
    <row r="59" spans="1:46" x14ac:dyDescent="0.25">
      <c r="A59" s="8" t="s">
        <v>132</v>
      </c>
      <c r="B59" s="11">
        <v>59</v>
      </c>
      <c r="C59">
        <v>0</v>
      </c>
      <c r="D59">
        <v>1</v>
      </c>
      <c r="E59" t="s">
        <v>172</v>
      </c>
      <c r="G59" s="19">
        <f>1/20</f>
        <v>0.05</v>
      </c>
      <c r="H59" s="19">
        <f>8/20</f>
        <v>0.4</v>
      </c>
      <c r="I59" s="19">
        <f>11/20</f>
        <v>0.55000000000000004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f>17/20</f>
        <v>0.85</v>
      </c>
      <c r="P59" s="20">
        <v>140</v>
      </c>
      <c r="Q59" s="20">
        <f>AVERAGE(163,126,111.5,160)</f>
        <v>140.125</v>
      </c>
      <c r="R59" s="20">
        <f>AVERAGE(135.5,548.64,165,191)</f>
        <v>260.03499999999997</v>
      </c>
      <c r="S59" s="20">
        <f>AVERAGE(197,134,157,200)</f>
        <v>172</v>
      </c>
      <c r="T59" s="20">
        <f>AVERAGE(163,135.5,197)</f>
        <v>165.16666666666666</v>
      </c>
      <c r="U59" s="20">
        <f>AVERAGE(126,548.64,134)</f>
        <v>269.54666666666668</v>
      </c>
      <c r="V59" s="20">
        <f>AVERAGE(111.5,165,157)</f>
        <v>144.5</v>
      </c>
      <c r="W59" s="20">
        <f>AVERAGE(160,191,200)</f>
        <v>183.66666666666666</v>
      </c>
      <c r="X59" s="20">
        <v>6</v>
      </c>
      <c r="Y59" s="20">
        <f>AVERAGE(8,4,2,5)</f>
        <v>4.75</v>
      </c>
      <c r="Z59" s="20">
        <f>AVERAGE(23,5,5,8)</f>
        <v>10.25</v>
      </c>
      <c r="AA59" s="20">
        <f>AVERAGE(5,6,3.5,3)</f>
        <v>4.375</v>
      </c>
      <c r="AB59" s="20">
        <f>AVERAGE(8,23,5)</f>
        <v>12</v>
      </c>
      <c r="AC59" s="20">
        <f>AVERAGE(4,5,6)</f>
        <v>5</v>
      </c>
      <c r="AD59" s="20">
        <f>AVERAGE(2,5,3.5)</f>
        <v>3.5</v>
      </c>
      <c r="AE59" s="20">
        <f>AVERAGE(5,8,3)</f>
        <v>5.333333333333333</v>
      </c>
      <c r="AF59" s="26">
        <v>57.62</v>
      </c>
      <c r="AG59" s="26">
        <v>100</v>
      </c>
      <c r="AH59" s="26">
        <v>48.78</v>
      </c>
      <c r="AI59" s="26">
        <v>86.76</v>
      </c>
      <c r="AJ59" s="26">
        <v>21.48</v>
      </c>
      <c r="AK59" s="18" t="s">
        <v>172</v>
      </c>
      <c r="AL59" s="18" t="s">
        <v>172</v>
      </c>
      <c r="AM59" s="18" t="s">
        <v>172</v>
      </c>
      <c r="AN59" s="18" t="s">
        <v>172</v>
      </c>
      <c r="AO59" s="18" t="s">
        <v>172</v>
      </c>
      <c r="AP59" s="18" t="s">
        <v>172</v>
      </c>
      <c r="AQ59" s="18" t="s">
        <v>172</v>
      </c>
      <c r="AR59" s="18" t="s">
        <v>172</v>
      </c>
      <c r="AS59">
        <v>305</v>
      </c>
      <c r="AT59">
        <v>103</v>
      </c>
    </row>
    <row r="60" spans="1:46" x14ac:dyDescent="0.25">
      <c r="A60" s="8" t="s">
        <v>133</v>
      </c>
      <c r="B60" s="11">
        <v>60</v>
      </c>
      <c r="C60">
        <v>0</v>
      </c>
      <c r="D60">
        <v>1</v>
      </c>
      <c r="E60" t="s">
        <v>172</v>
      </c>
      <c r="G60" s="19">
        <f>2/100</f>
        <v>0.02</v>
      </c>
      <c r="H60" s="19">
        <f>3/20</f>
        <v>0.15</v>
      </c>
      <c r="I60" s="19">
        <f>15/20</f>
        <v>0.75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f>8/20</f>
        <v>0.4</v>
      </c>
      <c r="P60" s="20">
        <f>2.54*31</f>
        <v>78.739999999999995</v>
      </c>
      <c r="Q60" s="20">
        <f>2.54*(AVERAGE(56.5,52,66.5,39))</f>
        <v>135.89000000000001</v>
      </c>
      <c r="R60" s="20">
        <f>2.54*(AVERAGE(56,36.25,47,57.75))</f>
        <v>125.095</v>
      </c>
      <c r="S60" s="20">
        <f>2.54*(AVERAGE(49.25,48.5,52.75,40.25))</f>
        <v>121.12625</v>
      </c>
      <c r="T60" s="20">
        <f>2.54*(AVERAGE(56.5,56,49.25))</f>
        <v>136.94833333333332</v>
      </c>
      <c r="U60" s="20">
        <f>2.54*(AVERAGE(52,36.25,48.5))</f>
        <v>115.78166666666668</v>
      </c>
      <c r="V60" s="20">
        <f>2.54*(AVERAGE(66.5,47,52.75))</f>
        <v>140.75833333333333</v>
      </c>
      <c r="W60" s="20">
        <f>2.54*(AVERAGE(39,57.75,40.25))</f>
        <v>115.99333333333333</v>
      </c>
      <c r="X60" s="20">
        <f>2.54*2.25</f>
        <v>5.7149999999999999</v>
      </c>
      <c r="Y60" s="20">
        <f>2.54*(AVERAGE(1.5,1.5,2.25,2))</f>
        <v>4.6037499999999998</v>
      </c>
      <c r="Z60" s="20">
        <f>2.54*(AVERAGE(1.5,1.75,2,1.75))</f>
        <v>4.4450000000000003</v>
      </c>
      <c r="AA60" s="20">
        <f>2.54*(AVERAGE(3.5,2,1.75,1.25))</f>
        <v>5.3975</v>
      </c>
      <c r="AB60" s="20">
        <f>2.54*(AVERAGE(1.5,1.5,3.5))</f>
        <v>5.503333333333333</v>
      </c>
      <c r="AC60" s="20">
        <f>2.54*(AVERAGE(1.5,1.75,2))</f>
        <v>4.4450000000000003</v>
      </c>
      <c r="AD60" s="20">
        <f>2.54*(AVERAGE(2.25,2,1.75))</f>
        <v>5.08</v>
      </c>
      <c r="AE60" s="20">
        <f>2.54*(AVERAGE(2,1.75,1.25))</f>
        <v>4.2333333333333334</v>
      </c>
      <c r="AF60" s="26">
        <v>20.96</v>
      </c>
      <c r="AG60" s="26">
        <v>89.34</v>
      </c>
      <c r="AH60" s="26">
        <v>96.36</v>
      </c>
      <c r="AI60" s="26">
        <v>80.760000000000005</v>
      </c>
      <c r="AJ60" s="26">
        <v>15</v>
      </c>
      <c r="AK60" s="18" t="s">
        <v>172</v>
      </c>
      <c r="AL60" s="18" t="s">
        <v>172</v>
      </c>
      <c r="AM60" s="18" t="s">
        <v>172</v>
      </c>
      <c r="AN60" s="18" t="s">
        <v>172</v>
      </c>
      <c r="AO60" s="18" t="s">
        <v>172</v>
      </c>
      <c r="AP60" s="18" t="s">
        <v>172</v>
      </c>
      <c r="AQ60" s="18" t="s">
        <v>172</v>
      </c>
      <c r="AR60" s="18" t="s">
        <v>172</v>
      </c>
      <c r="AS60">
        <v>802</v>
      </c>
      <c r="AT60">
        <v>65</v>
      </c>
    </row>
    <row r="61" spans="1:46" x14ac:dyDescent="0.25">
      <c r="A61" s="8" t="s">
        <v>134</v>
      </c>
      <c r="B61" s="11">
        <v>61</v>
      </c>
      <c r="C61">
        <v>0</v>
      </c>
      <c r="D61">
        <v>1</v>
      </c>
      <c r="E61" t="s">
        <v>172</v>
      </c>
      <c r="G61" s="19">
        <v>0</v>
      </c>
      <c r="H61" s="19">
        <f>4/20</f>
        <v>0.2</v>
      </c>
      <c r="I61" s="19">
        <f>16/20</f>
        <v>0.8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f>3/20</f>
        <v>0.15</v>
      </c>
      <c r="P61" s="20">
        <v>105</v>
      </c>
      <c r="Q61" s="20">
        <f>(AVERAGE(120,102.5,71.8,89))</f>
        <v>95.825000000000003</v>
      </c>
      <c r="R61" s="20">
        <f>(AVERAGE(160,113,150.5,92.5))</f>
        <v>129</v>
      </c>
      <c r="S61" s="20">
        <f>(AVERAGE(153,134.5,117,143))</f>
        <v>136.875</v>
      </c>
      <c r="T61" s="20">
        <f>(AVERAGE(120,160,153))</f>
        <v>144.33333333333334</v>
      </c>
      <c r="U61" s="20">
        <f>(AVERAGE(102.5,113,134.5))</f>
        <v>116.66666666666667</v>
      </c>
      <c r="V61" s="20">
        <f>(AVERAGE(71.8,150.5,117))</f>
        <v>113.10000000000001</v>
      </c>
      <c r="W61" s="20">
        <f>(AVERAGE(89,92.5,143))</f>
        <v>108.16666666666667</v>
      </c>
      <c r="X61" s="20">
        <v>8</v>
      </c>
      <c r="Y61" s="20">
        <f>(AVERAGE(3,2.5,2,3))</f>
        <v>2.625</v>
      </c>
      <c r="Z61" s="20">
        <f>(AVERAGE(4,2,3,2.5))</f>
        <v>2.875</v>
      </c>
      <c r="AA61" s="20">
        <f>(AVERAGE(4,2,3.5,2.5))</f>
        <v>3</v>
      </c>
      <c r="AB61" s="20">
        <f>(AVERAGE(3,4,4))</f>
        <v>3.6666666666666665</v>
      </c>
      <c r="AC61" s="20">
        <f>(AVERAGE(2.5,2,2))</f>
        <v>2.1666666666666665</v>
      </c>
      <c r="AD61" s="20">
        <f>(AVERAGE(2,3,3.5))</f>
        <v>2.8333333333333335</v>
      </c>
      <c r="AE61" s="20">
        <f>(AVERAGE(3,2.5,2.5))</f>
        <v>2.6666666666666665</v>
      </c>
      <c r="AF61" s="26">
        <v>3.28</v>
      </c>
      <c r="AG61" s="26">
        <v>14.98</v>
      </c>
      <c r="AH61" s="26">
        <v>16.8</v>
      </c>
      <c r="AI61" s="26">
        <v>92.82</v>
      </c>
      <c r="AJ61" s="26">
        <v>14.2</v>
      </c>
      <c r="AK61" s="18" t="s">
        <v>172</v>
      </c>
      <c r="AL61" s="18" t="s">
        <v>172</v>
      </c>
      <c r="AM61" s="18" t="s">
        <v>172</v>
      </c>
      <c r="AN61" s="18" t="s">
        <v>172</v>
      </c>
      <c r="AO61" s="18" t="s">
        <v>172</v>
      </c>
      <c r="AP61" s="18" t="s">
        <v>172</v>
      </c>
      <c r="AQ61" s="18" t="s">
        <v>172</v>
      </c>
      <c r="AR61" s="18" t="s">
        <v>172</v>
      </c>
      <c r="AS61">
        <v>821</v>
      </c>
      <c r="AT61">
        <v>33</v>
      </c>
    </row>
    <row r="62" spans="1:46" x14ac:dyDescent="0.25">
      <c r="A62" s="8" t="s">
        <v>135</v>
      </c>
      <c r="B62" s="11">
        <v>62</v>
      </c>
      <c r="C62">
        <v>0</v>
      </c>
      <c r="D62">
        <v>1</v>
      </c>
      <c r="E62" t="s">
        <v>172</v>
      </c>
      <c r="G62" s="19">
        <v>0</v>
      </c>
      <c r="H62" s="19">
        <f>2/20</f>
        <v>0.1</v>
      </c>
      <c r="I62" s="19">
        <f>16/20</f>
        <v>0.8</v>
      </c>
      <c r="J62" s="19">
        <f>1/20</f>
        <v>0.05</v>
      </c>
      <c r="K62" s="19">
        <f>1/20</f>
        <v>0.05</v>
      </c>
      <c r="L62" s="19">
        <v>0</v>
      </c>
      <c r="M62" s="19">
        <v>0</v>
      </c>
      <c r="N62" s="19">
        <v>0</v>
      </c>
      <c r="O62" s="19">
        <f>3/20</f>
        <v>0.15</v>
      </c>
      <c r="P62" s="20">
        <f>2.54*42.5</f>
        <v>107.95</v>
      </c>
      <c r="Q62" s="20">
        <f>2.54*(AVERAGE(48,38,26.5,46.5))</f>
        <v>100.965</v>
      </c>
      <c r="R62" s="20">
        <f>2.54*(AVERAGE(51,108,91,53))</f>
        <v>192.405</v>
      </c>
      <c r="S62" s="20">
        <f>2.54*(AVERAGE(57.5,58,59,52))</f>
        <v>143.82750000000001</v>
      </c>
      <c r="T62" s="20">
        <f>2.54*(AVERAGE(48,51,57.5))</f>
        <v>132.50333333333333</v>
      </c>
      <c r="U62" s="20">
        <f>2.54*(AVERAGE(38,108,58))</f>
        <v>172.72</v>
      </c>
      <c r="V62" s="20">
        <f>2.54*(AVERAGE(26.5,91,59))</f>
        <v>149.43666666666667</v>
      </c>
      <c r="W62" s="20">
        <f>2.54*(AVERAGE(46.5,53,52))</f>
        <v>128.27000000000001</v>
      </c>
      <c r="X62" s="20">
        <f>2.54*1.75</f>
        <v>4.4450000000000003</v>
      </c>
      <c r="Y62" s="20">
        <f>2.54*(AVERAGE(1.5,4.25,1.5,2))</f>
        <v>5.8737500000000002</v>
      </c>
      <c r="Z62" s="20">
        <f>2.54*(AVERAGE(1.25,1.5,1.5,2))</f>
        <v>3.96875</v>
      </c>
      <c r="AA62" s="20">
        <f>2.54*(AVERAGE(2,1.25,1.75,3))</f>
        <v>5.08</v>
      </c>
      <c r="AB62" s="20">
        <f>2.54*(AVERAGE(1.5,1.25,2))</f>
        <v>4.0216666666666665</v>
      </c>
      <c r="AC62" s="20">
        <f>2.54*(AVERAGE(4.25,1.5,1.25))</f>
        <v>5.9266666666666667</v>
      </c>
      <c r="AD62" s="20">
        <f>2.54*(AVERAGE(1.5,1.5,1.75))</f>
        <v>4.0216666666666665</v>
      </c>
      <c r="AE62" s="20">
        <f>2.54*(AVERAGE(2,2,3))</f>
        <v>5.9266666666666667</v>
      </c>
      <c r="AF62" s="26">
        <v>0</v>
      </c>
      <c r="AG62" s="26">
        <v>0</v>
      </c>
      <c r="AH62" s="26">
        <v>6.66</v>
      </c>
      <c r="AI62" s="26">
        <v>30.06</v>
      </c>
      <c r="AJ62" s="26">
        <v>5</v>
      </c>
      <c r="AK62" s="18" t="s">
        <v>172</v>
      </c>
      <c r="AL62" s="18" t="s">
        <v>172</v>
      </c>
      <c r="AM62" s="18" t="s">
        <v>172</v>
      </c>
      <c r="AN62" s="18" t="s">
        <v>172</v>
      </c>
      <c r="AO62" s="18" t="s">
        <v>172</v>
      </c>
      <c r="AP62" s="18" t="s">
        <v>172</v>
      </c>
      <c r="AQ62" s="18" t="s">
        <v>172</v>
      </c>
      <c r="AR62" s="18" t="s">
        <v>172</v>
      </c>
      <c r="AS62">
        <v>1233</v>
      </c>
      <c r="AT62">
        <v>164</v>
      </c>
    </row>
    <row r="63" spans="1:46" x14ac:dyDescent="0.25">
      <c r="A63" s="8" t="s">
        <v>136</v>
      </c>
      <c r="B63" s="11">
        <v>63</v>
      </c>
      <c r="C63">
        <v>0</v>
      </c>
      <c r="D63">
        <v>1</v>
      </c>
      <c r="E63" t="s">
        <v>172</v>
      </c>
      <c r="G63" s="19">
        <f>1/20</f>
        <v>0.05</v>
      </c>
      <c r="H63" s="19">
        <f>5/20</f>
        <v>0.25</v>
      </c>
      <c r="I63" s="19">
        <f>14/20</f>
        <v>0.7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f>3/20</f>
        <v>0.15</v>
      </c>
      <c r="P63" s="20">
        <v>117</v>
      </c>
      <c r="Q63" s="20">
        <f>AVERAGE(180,130,220,200)</f>
        <v>182.5</v>
      </c>
      <c r="R63" s="20">
        <f>AVERAGE(172,212,203,250)</f>
        <v>209.25</v>
      </c>
      <c r="S63" s="20">
        <f>AVERAGE(150,193,150,190)</f>
        <v>170.75</v>
      </c>
      <c r="T63" s="20">
        <f>AVERAGE(180,172,150)</f>
        <v>167.33333333333334</v>
      </c>
      <c r="U63" s="20">
        <f>AVERAGE(130,212,193)</f>
        <v>178.33333333333334</v>
      </c>
      <c r="V63" s="20">
        <f>AVERAGE(220,203,150)</f>
        <v>191</v>
      </c>
      <c r="W63" s="20">
        <f>AVERAGE(200,250,190)</f>
        <v>213.33333333333334</v>
      </c>
      <c r="X63" s="20">
        <v>7</v>
      </c>
      <c r="Y63" s="20">
        <f>AVERAGE(5,4.5,2.5,5.5)</f>
        <v>4.375</v>
      </c>
      <c r="Z63" s="20">
        <f>AVERAGE(8,6,3,8)</f>
        <v>6.25</v>
      </c>
      <c r="AA63" s="20">
        <f>AVERAGE(2.5,5,4,10)</f>
        <v>5.375</v>
      </c>
      <c r="AB63" s="20">
        <f>AVERAGE(5,8,2.5)</f>
        <v>5.166666666666667</v>
      </c>
      <c r="AC63" s="20">
        <f>AVERAGE(4.5,6,5)</f>
        <v>5.166666666666667</v>
      </c>
      <c r="AD63" s="20">
        <f>AVERAGE(2.5,3,4)</f>
        <v>3.1666666666666665</v>
      </c>
      <c r="AE63" s="20">
        <f>AVERAGE(5.5,8,10)</f>
        <v>7.833333333333333</v>
      </c>
      <c r="AF63" s="26">
        <v>1.98</v>
      </c>
      <c r="AG63" s="26">
        <v>0</v>
      </c>
      <c r="AH63" s="26">
        <v>2.5</v>
      </c>
      <c r="AI63" s="26">
        <v>4.32</v>
      </c>
      <c r="AJ63" s="26">
        <v>1.2</v>
      </c>
      <c r="AK63" s="18" t="s">
        <v>172</v>
      </c>
      <c r="AL63" s="18" t="s">
        <v>172</v>
      </c>
      <c r="AM63" s="18" t="s">
        <v>172</v>
      </c>
      <c r="AN63" s="18" t="s">
        <v>172</v>
      </c>
      <c r="AO63" s="18" t="s">
        <v>172</v>
      </c>
      <c r="AP63" s="18" t="s">
        <v>172</v>
      </c>
      <c r="AQ63" s="18" t="s">
        <v>172</v>
      </c>
      <c r="AR63" s="18" t="s">
        <v>172</v>
      </c>
      <c r="AS63">
        <v>690</v>
      </c>
      <c r="AT63">
        <v>6</v>
      </c>
    </row>
    <row r="64" spans="1:46" x14ac:dyDescent="0.25">
      <c r="A64" s="8" t="s">
        <v>137</v>
      </c>
      <c r="B64" s="11">
        <v>64</v>
      </c>
      <c r="C64">
        <v>0</v>
      </c>
      <c r="D64">
        <v>1</v>
      </c>
      <c r="E64" t="s">
        <v>172</v>
      </c>
      <c r="G64" s="19">
        <v>0</v>
      </c>
      <c r="H64" s="19">
        <f>1/20</f>
        <v>0.05</v>
      </c>
      <c r="I64" s="19">
        <f>14/20</f>
        <v>0.7</v>
      </c>
      <c r="J64" s="19">
        <f>4/20</f>
        <v>0.2</v>
      </c>
      <c r="K64" s="19">
        <f>1/20</f>
        <v>0.05</v>
      </c>
      <c r="L64" s="19">
        <v>0</v>
      </c>
      <c r="M64" s="19">
        <v>0</v>
      </c>
      <c r="N64" s="19">
        <v>0</v>
      </c>
      <c r="O64" s="19">
        <f>16/20</f>
        <v>0.8</v>
      </c>
      <c r="P64" s="20">
        <v>172</v>
      </c>
      <c r="Q64" s="20">
        <f>AVERAGE(134,115,189,94)</f>
        <v>133</v>
      </c>
      <c r="R64" s="20">
        <f>AVERAGE(152,185.5,133,165)</f>
        <v>158.875</v>
      </c>
      <c r="S64" s="20">
        <f>AVERAGE(198,127,158,212)</f>
        <v>173.75</v>
      </c>
      <c r="T64" s="20">
        <f>AVERAGE(134,152,198)</f>
        <v>161.33333333333334</v>
      </c>
      <c r="U64" s="20">
        <f>AVERAGE(115,185.5,127)</f>
        <v>142.5</v>
      </c>
      <c r="V64" s="20">
        <f>AVERAGE(189,133,158)</f>
        <v>160</v>
      </c>
      <c r="W64" s="20">
        <f>AVERAGE(94,165,212)</f>
        <v>157</v>
      </c>
      <c r="X64" s="20">
        <v>1</v>
      </c>
      <c r="Y64" s="20">
        <f>AVERAGE(2,3,2,3)</f>
        <v>2.5</v>
      </c>
      <c r="Z64" s="20">
        <f>AVERAGE(3,4,4,5)</f>
        <v>4</v>
      </c>
      <c r="AA64" s="20">
        <f>AVERAGE(3,2,2,4.5)</f>
        <v>2.875</v>
      </c>
      <c r="AB64" s="20">
        <f>AVERAGE(2,3,3)</f>
        <v>2.6666666666666665</v>
      </c>
      <c r="AC64" s="20">
        <f>AVERAGE(3,4,2)</f>
        <v>3</v>
      </c>
      <c r="AD64" s="20">
        <f>AVERAGE(2,4,2)</f>
        <v>2.6666666666666665</v>
      </c>
      <c r="AE64" s="20">
        <f>AVERAGE(3,5,4.5)</f>
        <v>4.166666666666667</v>
      </c>
      <c r="AF64" s="26">
        <v>99.48</v>
      </c>
      <c r="AG64" s="26">
        <v>96.88</v>
      </c>
      <c r="AH64" s="26">
        <v>25.64</v>
      </c>
      <c r="AI64" s="26">
        <v>97.92</v>
      </c>
      <c r="AJ64" s="26">
        <v>45.14</v>
      </c>
      <c r="AK64" s="18" t="s">
        <v>172</v>
      </c>
      <c r="AL64" s="18" t="s">
        <v>172</v>
      </c>
      <c r="AM64" s="18" t="s">
        <v>172</v>
      </c>
      <c r="AN64" s="18" t="s">
        <v>172</v>
      </c>
      <c r="AO64" s="18" t="s">
        <v>172</v>
      </c>
      <c r="AP64" s="18" t="s">
        <v>172</v>
      </c>
      <c r="AQ64" s="18" t="s">
        <v>172</v>
      </c>
      <c r="AR64" s="18" t="s">
        <v>172</v>
      </c>
      <c r="AS64">
        <v>487</v>
      </c>
      <c r="AT64">
        <v>216</v>
      </c>
    </row>
    <row r="65" spans="1:46" x14ac:dyDescent="0.25">
      <c r="A65" s="8" t="s">
        <v>138</v>
      </c>
      <c r="B65" s="11">
        <v>65</v>
      </c>
      <c r="C65">
        <v>0</v>
      </c>
      <c r="D65">
        <v>1</v>
      </c>
      <c r="E65" t="s">
        <v>172</v>
      </c>
      <c r="G65" s="19">
        <f>2/20</f>
        <v>0.1</v>
      </c>
      <c r="H65" s="19">
        <f>8/20</f>
        <v>0.4</v>
      </c>
      <c r="I65" s="19">
        <f>5/20</f>
        <v>0.25</v>
      </c>
      <c r="J65" s="19">
        <f>3/20</f>
        <v>0.15</v>
      </c>
      <c r="K65" s="19">
        <f>2/20</f>
        <v>0.1</v>
      </c>
      <c r="L65" s="19">
        <v>0</v>
      </c>
      <c r="M65" s="19">
        <v>0</v>
      </c>
      <c r="N65" s="19">
        <v>0</v>
      </c>
      <c r="O65" s="19">
        <f>4/20</f>
        <v>0.2</v>
      </c>
      <c r="P65" s="20">
        <v>177</v>
      </c>
      <c r="Q65" s="20">
        <f>AVERAGE(80,55,63,52)</f>
        <v>62.5</v>
      </c>
      <c r="R65" s="20">
        <f>AVERAGE(105,74,100,136)</f>
        <v>103.75</v>
      </c>
      <c r="S65" s="20">
        <f>AVERAGE(46,33,174,176)</f>
        <v>107.25</v>
      </c>
      <c r="T65" s="20">
        <f>AVERAGE(80,105,46)</f>
        <v>77</v>
      </c>
      <c r="U65" s="20">
        <f>AVERAGE(55,74,33)</f>
        <v>54</v>
      </c>
      <c r="V65" s="20">
        <f>AVERAGE(63,100,174)</f>
        <v>112.33333333333333</v>
      </c>
      <c r="W65" s="20">
        <f>AVERAGE(52,136,176)</f>
        <v>121.33333333333333</v>
      </c>
      <c r="X65" s="20">
        <v>3</v>
      </c>
      <c r="Y65" s="20">
        <f>AVERAGE(2,4,3,2.5)</f>
        <v>2.875</v>
      </c>
      <c r="Z65" s="20">
        <f>AVERAGE(3,0,3,0)</f>
        <v>1.5</v>
      </c>
      <c r="AA65" s="20">
        <f>AVERAGE(0,2.5,4.5,2)</f>
        <v>2.25</v>
      </c>
      <c r="AB65" s="20">
        <f>AVERAGE(2,3,0)</f>
        <v>1.6666666666666667</v>
      </c>
      <c r="AC65" s="20">
        <f>AVERAGE(4,0,2.5)</f>
        <v>2.1666666666666665</v>
      </c>
      <c r="AD65" s="20">
        <f>AVERAGE(3,3,4.5)</f>
        <v>3.5</v>
      </c>
      <c r="AE65" s="20">
        <f>AVERAGE(2.5,0,2)</f>
        <v>1.5</v>
      </c>
      <c r="AF65" s="26">
        <v>7.18</v>
      </c>
      <c r="AG65" s="26">
        <v>1.98</v>
      </c>
      <c r="AH65" s="26">
        <v>43.84</v>
      </c>
      <c r="AI65" s="26">
        <v>98.18</v>
      </c>
      <c r="AJ65" s="26">
        <v>12.12</v>
      </c>
      <c r="AK65" s="18" t="s">
        <v>172</v>
      </c>
      <c r="AL65" s="18" t="s">
        <v>172</v>
      </c>
      <c r="AM65" s="18" t="s">
        <v>172</v>
      </c>
      <c r="AN65" s="18" t="s">
        <v>172</v>
      </c>
      <c r="AO65" s="18" t="s">
        <v>172</v>
      </c>
      <c r="AP65" s="18" t="s">
        <v>172</v>
      </c>
      <c r="AQ65" s="18" t="s">
        <v>172</v>
      </c>
      <c r="AR65" s="18" t="s">
        <v>172</v>
      </c>
      <c r="AS65">
        <v>248</v>
      </c>
      <c r="AT65">
        <v>108</v>
      </c>
    </row>
    <row r="66" spans="1:46" x14ac:dyDescent="0.25">
      <c r="A66" s="8" t="s">
        <v>163</v>
      </c>
      <c r="B66" s="11">
        <v>66</v>
      </c>
      <c r="C66">
        <v>0</v>
      </c>
      <c r="D66">
        <v>1</v>
      </c>
      <c r="E66" t="s">
        <v>172</v>
      </c>
      <c r="G66" s="19">
        <v>0</v>
      </c>
      <c r="H66" s="19">
        <f>2/20</f>
        <v>0.1</v>
      </c>
      <c r="I66" s="19">
        <f>15/20</f>
        <v>0.75</v>
      </c>
      <c r="J66" s="19">
        <f>3/20</f>
        <v>0.15</v>
      </c>
      <c r="K66" s="19">
        <v>0</v>
      </c>
      <c r="L66" s="19">
        <v>0</v>
      </c>
      <c r="M66" s="19">
        <v>0</v>
      </c>
      <c r="N66" s="19">
        <v>0</v>
      </c>
      <c r="O66" s="29">
        <v>0.5</v>
      </c>
      <c r="P66" s="20">
        <v>138</v>
      </c>
      <c r="Q66" s="20">
        <f>AVERAGE(167,183,167,184)</f>
        <v>175.25</v>
      </c>
      <c r="R66" s="20">
        <f>AVERAGE(274.32,181,141,213.36)</f>
        <v>202.42</v>
      </c>
      <c r="S66" s="20">
        <f>AVERAGE(173,396.24,165,187)</f>
        <v>230.31</v>
      </c>
      <c r="T66" s="20">
        <f>AVERAGE(167,274.32,173)</f>
        <v>204.77333333333331</v>
      </c>
      <c r="U66" s="20">
        <f>AVERAGE(183,181,396.24)</f>
        <v>253.41333333333333</v>
      </c>
      <c r="V66" s="20">
        <f>AVERAGE(167,141,165)</f>
        <v>157.66666666666666</v>
      </c>
      <c r="W66" s="20">
        <f>AVERAGE(184,213.36,187)</f>
        <v>194.78666666666666</v>
      </c>
      <c r="X66" s="20">
        <v>5</v>
      </c>
      <c r="Y66" s="20">
        <f>AVERAGE(4,5,3.5,7)</f>
        <v>4.875</v>
      </c>
      <c r="Z66" s="20">
        <f>AVERAGE(5,6,2,5.5)</f>
        <v>4.625</v>
      </c>
      <c r="AA66" s="20">
        <f>AVERAGE(3,2.5,4,3)</f>
        <v>3.125</v>
      </c>
      <c r="AB66" s="20">
        <f>AVERAGE(4,5,3)</f>
        <v>4</v>
      </c>
      <c r="AC66" s="20">
        <f>AVERAGE(5,6,2.5)</f>
        <v>4.5</v>
      </c>
      <c r="AD66" s="20">
        <f>AVERAGE(3.5,2,4)</f>
        <v>3.1666666666666665</v>
      </c>
      <c r="AE66" s="20">
        <f>AVERAGE(7,5.5,3)</f>
        <v>5.166666666666667</v>
      </c>
      <c r="AF66" s="26">
        <v>84.92</v>
      </c>
      <c r="AG66" s="26">
        <v>73.22</v>
      </c>
      <c r="AH66" s="26">
        <v>98.96</v>
      </c>
      <c r="AI66" s="26">
        <v>68.8</v>
      </c>
      <c r="AJ66" s="26">
        <v>18.36</v>
      </c>
      <c r="AK66" s="18" t="s">
        <v>172</v>
      </c>
      <c r="AL66" s="18" t="s">
        <v>172</v>
      </c>
      <c r="AM66" s="18" t="s">
        <v>172</v>
      </c>
      <c r="AN66" s="18" t="s">
        <v>172</v>
      </c>
      <c r="AO66" s="18" t="s">
        <v>172</v>
      </c>
      <c r="AP66" s="18" t="s">
        <v>172</v>
      </c>
      <c r="AQ66" s="18" t="s">
        <v>172</v>
      </c>
      <c r="AR66" s="18" t="s">
        <v>172</v>
      </c>
      <c r="AS66">
        <v>545</v>
      </c>
      <c r="AT66">
        <v>88</v>
      </c>
    </row>
    <row r="67" spans="1:46" x14ac:dyDescent="0.25">
      <c r="A67" s="8" t="s">
        <v>140</v>
      </c>
      <c r="B67" s="11">
        <v>68</v>
      </c>
      <c r="C67">
        <v>0</v>
      </c>
      <c r="D67">
        <v>1</v>
      </c>
      <c r="E67" t="s">
        <v>172</v>
      </c>
      <c r="G67" s="19">
        <v>0</v>
      </c>
      <c r="H67" s="19">
        <f>2/20</f>
        <v>0.1</v>
      </c>
      <c r="I67" s="19">
        <f>10/20</f>
        <v>0.5</v>
      </c>
      <c r="J67" s="19">
        <f>6/20</f>
        <v>0.3</v>
      </c>
      <c r="K67" s="19">
        <v>0</v>
      </c>
      <c r="L67" s="19">
        <v>0</v>
      </c>
      <c r="M67" s="19">
        <f>1/20</f>
        <v>0.05</v>
      </c>
      <c r="N67" s="19">
        <f>1/20</f>
        <v>0.05</v>
      </c>
      <c r="O67" s="19">
        <f>9/20</f>
        <v>0.45</v>
      </c>
      <c r="P67" s="20">
        <f>2.54*48</f>
        <v>121.92</v>
      </c>
      <c r="Q67" s="20">
        <f>2.54*(AVERAGE(52,44,54,57))</f>
        <v>131.44499999999999</v>
      </c>
      <c r="R67" s="20">
        <f>2.54*(AVERAGE(90,40,69,71))</f>
        <v>171.45</v>
      </c>
      <c r="S67" s="20">
        <f>2.54*(AVERAGE(96,43,72,51))</f>
        <v>166.37</v>
      </c>
      <c r="T67" s="20">
        <f>2.54*(AVERAGE(52,90,96))</f>
        <v>201.50666666666666</v>
      </c>
      <c r="U67" s="20">
        <f>2.54*(AVERAGE(44,40,43))</f>
        <v>107.52666666666667</v>
      </c>
      <c r="V67" s="20">
        <f>2.54*(AVERAGE(54,69,72))</f>
        <v>165.1</v>
      </c>
      <c r="W67" s="20">
        <f>2.54*(AVERAGE(57,71,51))</f>
        <v>151.55333333333334</v>
      </c>
      <c r="X67" s="20">
        <v>0</v>
      </c>
      <c r="Y67" s="20">
        <f>2.54*(AVERAGE(0.25,0,0.25,0))</f>
        <v>0.3175</v>
      </c>
      <c r="Z67" s="20">
        <f>2.54*(AVERAGE(1.5,1,3,2))</f>
        <v>4.7625000000000002</v>
      </c>
      <c r="AA67" s="20">
        <f>2.54*(AVERAGE(0.25,1.5,2,0.25))</f>
        <v>2.54</v>
      </c>
      <c r="AB67" s="20">
        <f>2.54*(AVERAGE(0.25,1.5,0.25))</f>
        <v>1.6933333333333334</v>
      </c>
      <c r="AC67" s="20">
        <f>2.54*(AVERAGE(0,1,1.5))</f>
        <v>2.1166666666666667</v>
      </c>
      <c r="AD67" s="20">
        <f>2.54*(AVERAGE(0.25,3,2))</f>
        <v>4.4450000000000003</v>
      </c>
      <c r="AE67" s="20">
        <f>2.54*(AVERAGE(0,2,0.25))</f>
        <v>1.905</v>
      </c>
      <c r="AF67" s="26">
        <v>93.76</v>
      </c>
      <c r="AG67" s="26">
        <v>6.4</v>
      </c>
      <c r="AH67" s="26">
        <v>10.56</v>
      </c>
      <c r="AI67" s="26">
        <v>60.48</v>
      </c>
      <c r="AJ67" s="26">
        <v>0</v>
      </c>
      <c r="AK67" s="18" t="s">
        <v>172</v>
      </c>
      <c r="AL67" s="18" t="s">
        <v>172</v>
      </c>
      <c r="AM67" s="18" t="s">
        <v>172</v>
      </c>
      <c r="AN67" s="18" t="s">
        <v>172</v>
      </c>
      <c r="AO67" s="18" t="s">
        <v>172</v>
      </c>
      <c r="AP67" s="18" t="s">
        <v>172</v>
      </c>
      <c r="AQ67" s="18" t="s">
        <v>172</v>
      </c>
      <c r="AR67" s="18" t="s">
        <v>172</v>
      </c>
      <c r="AS67">
        <v>1215</v>
      </c>
      <c r="AT67">
        <v>80</v>
      </c>
    </row>
    <row r="68" spans="1:46" x14ac:dyDescent="0.25">
      <c r="A68" s="8" t="s">
        <v>141</v>
      </c>
      <c r="B68" s="11">
        <v>69</v>
      </c>
      <c r="C68">
        <v>0</v>
      </c>
      <c r="D68">
        <v>1</v>
      </c>
      <c r="E68" t="s">
        <v>172</v>
      </c>
      <c r="G68" s="19">
        <v>0</v>
      </c>
      <c r="H68" s="19">
        <f>7/20</f>
        <v>0.35</v>
      </c>
      <c r="I68" s="19">
        <f>10/20</f>
        <v>0.5</v>
      </c>
      <c r="J68" s="19">
        <f>2/20</f>
        <v>0.1</v>
      </c>
      <c r="K68" s="19">
        <v>0</v>
      </c>
      <c r="L68" s="19">
        <v>0</v>
      </c>
      <c r="M68" s="19">
        <f>1/20</f>
        <v>0.05</v>
      </c>
      <c r="N68" s="19">
        <v>0</v>
      </c>
      <c r="O68" s="19">
        <f>6/20</f>
        <v>0.3</v>
      </c>
      <c r="P68" s="20">
        <f>2.54*40.25</f>
        <v>102.235</v>
      </c>
      <c r="Q68" s="20">
        <f>2.54*(AVERAGE(48,42,46.5,36))</f>
        <v>109.53750000000001</v>
      </c>
      <c r="R68" s="20">
        <f>2.54*(AVERAGE(106,44,60,50))</f>
        <v>165.1</v>
      </c>
      <c r="S68" s="20">
        <f>2.54*(AVERAGE(68,38.5,63,40))</f>
        <v>133.0325</v>
      </c>
      <c r="T68" s="20">
        <f>2.54*(AVERAGE(48,106,68))</f>
        <v>187.96</v>
      </c>
      <c r="U68" s="20">
        <f>2.54*(AVERAGE(42,44,38.5))</f>
        <v>105.41</v>
      </c>
      <c r="V68" s="20">
        <f>2.54*(AVERAGE(46.5,60,63))</f>
        <v>143.51</v>
      </c>
      <c r="W68" s="20">
        <f>2.54*(AVERAGE(36,50,40))</f>
        <v>106.68</v>
      </c>
      <c r="X68" s="20">
        <f>2.54*1</f>
        <v>2.54</v>
      </c>
      <c r="Y68" s="20">
        <f>2.54*(AVERAGE(2,0,0,1.5))</f>
        <v>2.2225000000000001</v>
      </c>
      <c r="Z68" s="20">
        <f>2.54*(AVERAGE(2,1,1.5,0))</f>
        <v>2.8574999999999999</v>
      </c>
      <c r="AA68" s="20">
        <f>2.54*(AVERAGE(0.5,0,1,3))</f>
        <v>2.8574999999999999</v>
      </c>
      <c r="AB68" s="20">
        <f>2.54*(AVERAGE(2,2,0.5))</f>
        <v>3.81</v>
      </c>
      <c r="AC68" s="20">
        <f>2.54*(AVERAGE(0,1,0))</f>
        <v>0.84666666666666668</v>
      </c>
      <c r="AD68" s="20">
        <f>2.54*(AVERAGE(0,1.5,1))</f>
        <v>2.1166666666666667</v>
      </c>
      <c r="AE68" s="20">
        <f>2.54*(AVERAGE(1.5,0,3))</f>
        <v>3.81</v>
      </c>
      <c r="AF68" s="26">
        <v>7.18</v>
      </c>
      <c r="AG68" s="26">
        <v>37.86</v>
      </c>
      <c r="AH68" s="26">
        <v>89.34</v>
      </c>
      <c r="AI68" s="26">
        <v>2.2400000000000002</v>
      </c>
      <c r="AJ68" s="26">
        <v>0</v>
      </c>
      <c r="AK68" s="18" t="s">
        <v>172</v>
      </c>
      <c r="AL68" s="18" t="s">
        <v>172</v>
      </c>
      <c r="AM68" s="18" t="s">
        <v>172</v>
      </c>
      <c r="AN68" s="18" t="s">
        <v>172</v>
      </c>
      <c r="AO68" s="18" t="s">
        <v>172</v>
      </c>
      <c r="AP68" s="18" t="s">
        <v>172</v>
      </c>
      <c r="AQ68" s="18" t="s">
        <v>172</v>
      </c>
      <c r="AR68" s="18" t="s">
        <v>172</v>
      </c>
      <c r="AS68">
        <v>605</v>
      </c>
      <c r="AT68">
        <v>86</v>
      </c>
    </row>
    <row r="69" spans="1:46" x14ac:dyDescent="0.25">
      <c r="A69" s="8" t="s">
        <v>142</v>
      </c>
      <c r="B69" s="11">
        <v>70</v>
      </c>
      <c r="C69">
        <v>0</v>
      </c>
      <c r="D69">
        <v>1</v>
      </c>
      <c r="E69" t="s">
        <v>172</v>
      </c>
      <c r="G69" s="19">
        <v>0</v>
      </c>
      <c r="H69" s="19">
        <f>1/20</f>
        <v>0.05</v>
      </c>
      <c r="I69" s="19">
        <f>15/20</f>
        <v>0.75</v>
      </c>
      <c r="J69" s="19">
        <f>4/20</f>
        <v>0.2</v>
      </c>
      <c r="K69" s="19">
        <v>0</v>
      </c>
      <c r="L69" s="19">
        <v>0</v>
      </c>
      <c r="M69" s="19">
        <v>0</v>
      </c>
      <c r="N69" s="19">
        <v>0</v>
      </c>
      <c r="O69" s="19">
        <f>8/20</f>
        <v>0.4</v>
      </c>
      <c r="P69" s="20">
        <v>88</v>
      </c>
      <c r="Q69" s="20">
        <f>(AVERAGE(160,122,156,68))</f>
        <v>126.5</v>
      </c>
      <c r="R69" s="20">
        <f>(AVERAGE(167,125,162,165))</f>
        <v>154.75</v>
      </c>
      <c r="S69" s="20">
        <f>(AVERAGE(191,147,158,192))</f>
        <v>172</v>
      </c>
      <c r="T69" s="20">
        <f>(AVERAGE(160,167,191))</f>
        <v>172.66666666666666</v>
      </c>
      <c r="U69" s="20">
        <f>(AVERAGE(122,125,147))</f>
        <v>131.33333333333334</v>
      </c>
      <c r="V69" s="20">
        <f>(AVERAGE(156,162,158))</f>
        <v>158.66666666666666</v>
      </c>
      <c r="W69" s="20">
        <f>(AVERAGE(68,165,192))</f>
        <v>141.66666666666666</v>
      </c>
      <c r="X69" s="20">
        <v>16</v>
      </c>
      <c r="Y69" s="20">
        <f>(AVERAGE(14,4,5,2))</f>
        <v>6.25</v>
      </c>
      <c r="Z69" s="20">
        <f>(AVERAGE(3,12,12,2))</f>
        <v>7.25</v>
      </c>
      <c r="AA69" s="20">
        <f>(AVERAGE(6,6,4,6))</f>
        <v>5.5</v>
      </c>
      <c r="AB69" s="20">
        <f>(AVERAGE(14,3,6))</f>
        <v>7.666666666666667</v>
      </c>
      <c r="AC69" s="20">
        <f>(AVERAGE(4,12,6))</f>
        <v>7.333333333333333</v>
      </c>
      <c r="AD69" s="20">
        <f>(AVERAGE(5,12,4))</f>
        <v>7</v>
      </c>
      <c r="AE69" s="20">
        <f>(AVERAGE(2,2,6))</f>
        <v>3.3333333333333335</v>
      </c>
      <c r="AF69" s="26">
        <v>99.48</v>
      </c>
      <c r="AG69" s="26">
        <v>77.64</v>
      </c>
      <c r="AH69" s="26">
        <v>55.54</v>
      </c>
      <c r="AI69" s="26">
        <v>8.74</v>
      </c>
      <c r="AJ69" s="26">
        <v>61</v>
      </c>
      <c r="AK69" s="18" t="s">
        <v>172</v>
      </c>
      <c r="AL69" s="18" t="s">
        <v>172</v>
      </c>
      <c r="AM69" s="18" t="s">
        <v>172</v>
      </c>
      <c r="AN69" s="18" t="s">
        <v>172</v>
      </c>
      <c r="AO69" s="18" t="s">
        <v>172</v>
      </c>
      <c r="AP69" s="18" t="s">
        <v>172</v>
      </c>
      <c r="AQ69" s="18" t="s">
        <v>172</v>
      </c>
      <c r="AR69" s="18" t="s">
        <v>172</v>
      </c>
      <c r="AS69">
        <v>706</v>
      </c>
      <c r="AT69">
        <v>172</v>
      </c>
    </row>
    <row r="70" spans="1:46" x14ac:dyDescent="0.25">
      <c r="A70" s="8" t="s">
        <v>143</v>
      </c>
      <c r="B70" s="11">
        <v>71</v>
      </c>
      <c r="C70">
        <v>0</v>
      </c>
      <c r="D70">
        <v>1</v>
      </c>
      <c r="E70" t="s">
        <v>172</v>
      </c>
      <c r="G70" s="19">
        <v>0</v>
      </c>
      <c r="H70" s="19">
        <f>2/20</f>
        <v>0.1</v>
      </c>
      <c r="I70" s="19">
        <f>12/20</f>
        <v>0.6</v>
      </c>
      <c r="J70" s="19">
        <f>5/20</f>
        <v>0.25</v>
      </c>
      <c r="K70" s="19">
        <f>1/20</f>
        <v>0.05</v>
      </c>
      <c r="L70" s="19">
        <v>0</v>
      </c>
      <c r="M70" s="19">
        <v>0</v>
      </c>
      <c r="N70" s="19">
        <v>0</v>
      </c>
      <c r="O70" s="19">
        <f>15/20</f>
        <v>0.75</v>
      </c>
      <c r="P70" s="20">
        <v>94</v>
      </c>
      <c r="Q70" s="20">
        <f>(AVERAGE(176,52,170,200))</f>
        <v>149.5</v>
      </c>
      <c r="R70" s="20">
        <f>(AVERAGE(179,180,182,160))</f>
        <v>175.25</v>
      </c>
      <c r="S70" s="20">
        <f>(AVERAGE(193,457.2,195,120))</f>
        <v>241.3</v>
      </c>
      <c r="T70" s="20">
        <f>(AVERAGE(176,179,193))</f>
        <v>182.66666666666666</v>
      </c>
      <c r="U70" s="20">
        <f>(AVERAGE(52,180,457.2))</f>
        <v>229.73333333333335</v>
      </c>
      <c r="V70" s="20">
        <f>(AVERAGE(170,182,195))</f>
        <v>182.33333333333334</v>
      </c>
      <c r="W70" s="20">
        <f>(AVERAGE(200,160,120))</f>
        <v>160</v>
      </c>
      <c r="X70" s="20">
        <v>2</v>
      </c>
      <c r="Y70" s="20">
        <f>(AVERAGE(5,4,6,4.5))</f>
        <v>4.875</v>
      </c>
      <c r="Z70" s="20">
        <f>(AVERAGE(5,3,2,5))</f>
        <v>3.75</v>
      </c>
      <c r="AA70" s="20">
        <f>(AVERAGE(4,5,3,2))</f>
        <v>3.5</v>
      </c>
      <c r="AB70" s="20">
        <f>(AVERAGE(5,5,4))</f>
        <v>4.666666666666667</v>
      </c>
      <c r="AC70" s="20">
        <f>(AVERAGE(4,3,5))</f>
        <v>4</v>
      </c>
      <c r="AD70" s="20">
        <f>(AVERAGE(6,2,3))</f>
        <v>3.6666666666666665</v>
      </c>
      <c r="AE70" s="20">
        <f>(AVERAGE(4.5,5,2))</f>
        <v>3.8333333333333335</v>
      </c>
      <c r="AF70" s="26">
        <v>98.18</v>
      </c>
      <c r="AG70" s="26">
        <v>90.9</v>
      </c>
      <c r="AH70" s="26">
        <v>13.94</v>
      </c>
      <c r="AI70" s="26">
        <v>93.5</v>
      </c>
      <c r="AJ70" s="26">
        <v>21.22</v>
      </c>
      <c r="AK70" s="18" t="s">
        <v>172</v>
      </c>
      <c r="AL70" s="18" t="s">
        <v>172</v>
      </c>
      <c r="AM70" s="18" t="s">
        <v>172</v>
      </c>
      <c r="AN70" s="18" t="s">
        <v>172</v>
      </c>
      <c r="AO70" s="18" t="s">
        <v>172</v>
      </c>
      <c r="AP70" s="18" t="s">
        <v>172</v>
      </c>
      <c r="AQ70" s="18" t="s">
        <v>172</v>
      </c>
      <c r="AR70" s="18" t="s">
        <v>172</v>
      </c>
      <c r="AS70">
        <v>455</v>
      </c>
      <c r="AT70">
        <v>165</v>
      </c>
    </row>
    <row r="71" spans="1:46" x14ac:dyDescent="0.25">
      <c r="A71" s="8" t="s">
        <v>144</v>
      </c>
      <c r="B71" s="11">
        <v>72</v>
      </c>
      <c r="C71">
        <v>0</v>
      </c>
      <c r="D71">
        <v>1</v>
      </c>
      <c r="E71" t="s">
        <v>172</v>
      </c>
      <c r="G71" s="19">
        <v>0</v>
      </c>
      <c r="H71" s="19">
        <f>2/20</f>
        <v>0.1</v>
      </c>
      <c r="I71" s="19">
        <f>15/20</f>
        <v>0.75</v>
      </c>
      <c r="J71" s="19">
        <f>3/20</f>
        <v>0.15</v>
      </c>
      <c r="K71" s="19">
        <v>0</v>
      </c>
      <c r="L71" s="19">
        <v>0</v>
      </c>
      <c r="M71" s="19">
        <v>0</v>
      </c>
      <c r="N71" s="19">
        <v>0</v>
      </c>
      <c r="O71" s="19">
        <f>14/20</f>
        <v>0.7</v>
      </c>
      <c r="P71" s="20">
        <v>164</v>
      </c>
      <c r="Q71" s="20">
        <f>AVERAGE(183,172,762,158)</f>
        <v>318.75</v>
      </c>
      <c r="R71" s="20">
        <f>AVERAGE(155,160,200,731.52)</f>
        <v>311.63</v>
      </c>
      <c r="S71" s="20">
        <f>AVERAGE(161,158,223,170)</f>
        <v>178</v>
      </c>
      <c r="T71" s="20">
        <f>AVERAGE(183,155,161)</f>
        <v>166.33333333333334</v>
      </c>
      <c r="U71" s="20">
        <f>AVERAGE(172,160,158)</f>
        <v>163.33333333333334</v>
      </c>
      <c r="V71" s="20">
        <f>AVERAGE(762,200,223)</f>
        <v>395</v>
      </c>
      <c r="W71" s="20">
        <f>AVERAGE(158,731.52,170)</f>
        <v>353.17333333333335</v>
      </c>
      <c r="X71" s="20">
        <v>10</v>
      </c>
      <c r="Y71" s="20">
        <f>AVERAGE(8,10,17,4.5)</f>
        <v>9.875</v>
      </c>
      <c r="Z71" s="20">
        <f>AVERAGE(5,5.5,10,8)</f>
        <v>7.125</v>
      </c>
      <c r="AA71" s="20">
        <f>AVERAGE(4,2,3.5,9)</f>
        <v>4.625</v>
      </c>
      <c r="AB71" s="20">
        <f>AVERAGE(8,5,4)</f>
        <v>5.666666666666667</v>
      </c>
      <c r="AC71" s="20">
        <f>AVERAGE(10,5.5,2)</f>
        <v>5.833333333333333</v>
      </c>
      <c r="AD71" s="20">
        <f>AVERAGE(17,10,3.5)</f>
        <v>10.166666666666666</v>
      </c>
      <c r="AE71" s="20">
        <f>AVERAGE(4.5,8,9)</f>
        <v>7.166666666666667</v>
      </c>
      <c r="AF71" s="26">
        <v>100</v>
      </c>
      <c r="AG71" s="26">
        <f>100-(((65+75+36+57)/4)*1.04)</f>
        <v>39.419999999999995</v>
      </c>
      <c r="AH71" s="26">
        <v>82.84</v>
      </c>
      <c r="AI71" s="26">
        <v>98.44</v>
      </c>
      <c r="AJ71" s="26">
        <v>38.64</v>
      </c>
      <c r="AK71" s="18" t="s">
        <v>172</v>
      </c>
      <c r="AL71" s="18" t="s">
        <v>172</v>
      </c>
      <c r="AM71" s="18" t="s">
        <v>172</v>
      </c>
      <c r="AN71" s="18" t="s">
        <v>172</v>
      </c>
      <c r="AO71" s="18" t="s">
        <v>172</v>
      </c>
      <c r="AP71" s="18" t="s">
        <v>172</v>
      </c>
      <c r="AQ71" s="18" t="s">
        <v>172</v>
      </c>
      <c r="AR71" s="18" t="s">
        <v>172</v>
      </c>
      <c r="AS71">
        <v>310</v>
      </c>
      <c r="AT71">
        <v>97</v>
      </c>
    </row>
    <row r="72" spans="1:46" x14ac:dyDescent="0.25">
      <c r="A72" s="8" t="s">
        <v>145</v>
      </c>
      <c r="B72" s="11">
        <v>73</v>
      </c>
      <c r="C72">
        <v>0</v>
      </c>
      <c r="D72">
        <v>1</v>
      </c>
      <c r="E72" t="s">
        <v>172</v>
      </c>
      <c r="G72" s="19">
        <v>0</v>
      </c>
      <c r="H72" s="19">
        <f>5/20</f>
        <v>0.25</v>
      </c>
      <c r="I72" s="19">
        <f>9/20</f>
        <v>0.45</v>
      </c>
      <c r="J72" s="19">
        <f>5/20</f>
        <v>0.25</v>
      </c>
      <c r="K72" s="19">
        <v>0</v>
      </c>
      <c r="L72" s="19">
        <v>0</v>
      </c>
      <c r="M72" s="19">
        <f>1/20</f>
        <v>0.05</v>
      </c>
      <c r="N72" s="19">
        <v>0</v>
      </c>
      <c r="O72" s="19">
        <f>14/20</f>
        <v>0.7</v>
      </c>
      <c r="P72" s="20">
        <v>130</v>
      </c>
      <c r="Q72" s="20">
        <f>AVERAGE(243.84,118,228.6,243.84)</f>
        <v>208.57000000000002</v>
      </c>
      <c r="R72" s="20">
        <f>AVERAGE(180,170,259.08,243.84)</f>
        <v>213.23</v>
      </c>
      <c r="S72" s="20">
        <f>AVERAGE(200,210,228.6,243.84)</f>
        <v>220.61</v>
      </c>
      <c r="T72" s="20">
        <f>AVERAGE(243.84,180,200)</f>
        <v>207.94666666666669</v>
      </c>
      <c r="U72" s="20">
        <f>AVERAGE(118,170,210)</f>
        <v>166</v>
      </c>
      <c r="V72" s="20">
        <f>AVERAGE(228.6,259.08,228.6)</f>
        <v>238.76</v>
      </c>
      <c r="W72" s="20">
        <v>243.84</v>
      </c>
      <c r="X72" s="20">
        <v>3</v>
      </c>
      <c r="Y72" s="20">
        <f>AVERAGE(3,5,5,1.5)</f>
        <v>3.625</v>
      </c>
      <c r="Z72" s="20">
        <f>AVERAGE(2.5,3,6,3)</f>
        <v>3.625</v>
      </c>
      <c r="AA72" s="20">
        <f>AVERAGE(4,4,2.5,2)</f>
        <v>3.125</v>
      </c>
      <c r="AB72" s="20">
        <f>AVERAGE(3,2.5,4)</f>
        <v>3.1666666666666665</v>
      </c>
      <c r="AC72" s="20">
        <f>AVERAGE(5,3,4)</f>
        <v>4</v>
      </c>
      <c r="AD72" s="20">
        <f>AVERAGE(5,6,2.5)</f>
        <v>4.5</v>
      </c>
      <c r="AE72" s="20">
        <f>AVERAGE(1.5,3,2)</f>
        <v>2.1666666666666665</v>
      </c>
      <c r="AF72" s="26">
        <v>60.48</v>
      </c>
      <c r="AG72" s="26">
        <v>95.06</v>
      </c>
      <c r="AH72" s="26">
        <v>97.4</v>
      </c>
      <c r="AI72" s="26">
        <v>96.1</v>
      </c>
      <c r="AJ72" s="26">
        <v>0</v>
      </c>
      <c r="AK72" s="18" t="s">
        <v>172</v>
      </c>
      <c r="AL72" s="18" t="s">
        <v>172</v>
      </c>
      <c r="AM72" s="18" t="s">
        <v>172</v>
      </c>
      <c r="AN72" s="18" t="s">
        <v>172</v>
      </c>
      <c r="AO72" s="18" t="s">
        <v>172</v>
      </c>
      <c r="AP72" s="18" t="s">
        <v>172</v>
      </c>
      <c r="AQ72" s="18" t="s">
        <v>172</v>
      </c>
      <c r="AR72" s="18" t="s">
        <v>172</v>
      </c>
      <c r="AS72">
        <v>621</v>
      </c>
      <c r="AT72">
        <v>10</v>
      </c>
    </row>
    <row r="73" spans="1:46" x14ac:dyDescent="0.25">
      <c r="A73" s="9" t="s">
        <v>146</v>
      </c>
      <c r="B73" s="11">
        <v>74</v>
      </c>
      <c r="C73">
        <v>0</v>
      </c>
      <c r="D73">
        <v>1</v>
      </c>
      <c r="E73" t="s">
        <v>172</v>
      </c>
      <c r="G73" s="19">
        <v>0</v>
      </c>
      <c r="H73" s="19">
        <f>5/20</f>
        <v>0.25</v>
      </c>
      <c r="I73" s="19">
        <f>9/20</f>
        <v>0.45</v>
      </c>
      <c r="J73" s="19">
        <f>3/20</f>
        <v>0.15</v>
      </c>
      <c r="K73" s="19">
        <f>2/20</f>
        <v>0.1</v>
      </c>
      <c r="L73" s="19">
        <v>0</v>
      </c>
      <c r="M73" s="19">
        <f>1/20</f>
        <v>0.05</v>
      </c>
      <c r="N73" s="19">
        <v>0</v>
      </c>
      <c r="O73" s="19">
        <f>10/20</f>
        <v>0.5</v>
      </c>
      <c r="P73" s="20">
        <v>93</v>
      </c>
      <c r="Q73" s="20">
        <f>(AVERAGE(65.5,96,86,79))</f>
        <v>81.625</v>
      </c>
      <c r="R73" s="20">
        <f>(AVERAGE(84,92.5,92.5,84))</f>
        <v>88.25</v>
      </c>
      <c r="S73" s="20">
        <f>(AVERAGE(92,163,89.5,144))</f>
        <v>122.125</v>
      </c>
      <c r="T73" s="20">
        <f>(AVERAGE(65.5,84,92))</f>
        <v>80.5</v>
      </c>
      <c r="U73" s="20">
        <f>(AVERAGE(96,92.5,163))</f>
        <v>117.16666666666667</v>
      </c>
      <c r="V73" s="20">
        <f>(AVERAGE(86,92.5,89.5))</f>
        <v>89.333333333333329</v>
      </c>
      <c r="W73" s="20">
        <f>(AVERAGE(79,84,144))</f>
        <v>102.33333333333333</v>
      </c>
      <c r="X73" s="20">
        <v>4</v>
      </c>
      <c r="Y73" s="20">
        <f>(AVERAGE(3,1,4.5,2.5))</f>
        <v>2.75</v>
      </c>
      <c r="Z73" s="20">
        <f>(AVERAGE(3,6,3.5,3))</f>
        <v>3.875</v>
      </c>
      <c r="AA73" s="20">
        <f>(AVERAGE(3.5,5,28,5))</f>
        <v>10.375</v>
      </c>
      <c r="AB73" s="20">
        <f>(AVERAGE(3,3,3.5))</f>
        <v>3.1666666666666665</v>
      </c>
      <c r="AC73" s="20">
        <f>(AVERAGE(1,6,5))</f>
        <v>4</v>
      </c>
      <c r="AD73" s="20">
        <f>(AVERAGE(4.5,3.5,28))</f>
        <v>12</v>
      </c>
      <c r="AE73" s="20">
        <f>(AVERAGE(2.5,3,5))</f>
        <v>3.5</v>
      </c>
      <c r="AF73" s="26">
        <v>0.68</v>
      </c>
      <c r="AG73" s="26">
        <v>100</v>
      </c>
      <c r="AH73" s="26">
        <v>7.18</v>
      </c>
      <c r="AI73" s="26">
        <v>98.18</v>
      </c>
      <c r="AJ73" s="26">
        <v>13.68</v>
      </c>
      <c r="AK73" s="18" t="s">
        <v>172</v>
      </c>
      <c r="AL73" s="18" t="s">
        <v>172</v>
      </c>
      <c r="AM73" s="18" t="s">
        <v>172</v>
      </c>
      <c r="AN73" s="18" t="s">
        <v>172</v>
      </c>
      <c r="AO73" s="18" t="s">
        <v>172</v>
      </c>
      <c r="AP73" s="18" t="s">
        <v>172</v>
      </c>
      <c r="AQ73" s="18" t="s">
        <v>172</v>
      </c>
      <c r="AR73" s="18" t="s">
        <v>172</v>
      </c>
      <c r="AS73">
        <v>620</v>
      </c>
      <c r="AT73">
        <v>110</v>
      </c>
    </row>
    <row r="74" spans="1:46" x14ac:dyDescent="0.25">
      <c r="A74" s="9" t="s">
        <v>147</v>
      </c>
      <c r="B74" s="11">
        <v>75</v>
      </c>
      <c r="C74">
        <v>0</v>
      </c>
      <c r="D74">
        <v>1</v>
      </c>
      <c r="E74" t="s">
        <v>172</v>
      </c>
      <c r="G74" s="19">
        <v>0</v>
      </c>
      <c r="H74" s="19">
        <f>1/20</f>
        <v>0.05</v>
      </c>
      <c r="I74" s="19">
        <f>13/20</f>
        <v>0.65</v>
      </c>
      <c r="J74" s="19">
        <f>4/20</f>
        <v>0.2</v>
      </c>
      <c r="K74" s="19">
        <v>0</v>
      </c>
      <c r="L74" s="19">
        <v>0</v>
      </c>
      <c r="M74" s="19">
        <f>2/20</f>
        <v>0.1</v>
      </c>
      <c r="N74" s="19">
        <v>0</v>
      </c>
      <c r="O74" s="19">
        <f>12/20</f>
        <v>0.6</v>
      </c>
      <c r="P74" s="20">
        <f>2.54*30</f>
        <v>76.2</v>
      </c>
      <c r="Q74" s="20">
        <f>2.54*(AVERAGE(54.75,30.5,25.5,77.5))</f>
        <v>119.53875000000001</v>
      </c>
      <c r="R74" s="20">
        <f>2.54*(AVERAGE(144,24,25.5,77.5))</f>
        <v>172.08500000000001</v>
      </c>
      <c r="S74" s="20">
        <f>2.54*(AVERAGE(58,29,72,58))</f>
        <v>137.79500000000002</v>
      </c>
      <c r="T74" s="20">
        <f>2.54*(AVERAGE(54.75,144,58))</f>
        <v>217.38166666666666</v>
      </c>
      <c r="U74" s="20">
        <f>2.54*(AVERAGE(30.5,24,29))</f>
        <v>70.696666666666658</v>
      </c>
      <c r="V74" s="20">
        <f>2.54*(AVERAGE(25.5,68,72))</f>
        <v>140.12333333333333</v>
      </c>
      <c r="W74" s="20">
        <f>2.54*(AVERAGE(77.5,86,58))</f>
        <v>187.53666666666666</v>
      </c>
      <c r="X74" s="20">
        <f>2.54*1.5</f>
        <v>3.81</v>
      </c>
      <c r="Y74" s="20">
        <f>(AVERAGE(3,2.5,2,3))</f>
        <v>2.625</v>
      </c>
      <c r="Z74" s="20">
        <f>2.54*(AVERAGE(3,0.75,2,1.75))</f>
        <v>4.7625000000000002</v>
      </c>
      <c r="AA74" s="20">
        <f>2.54*(AVERAGE(2.25,1.5,2.5,1.5))</f>
        <v>4.9212499999999997</v>
      </c>
      <c r="AB74" s="20">
        <f>2.54*(AVERAGE(3,3,2.25))</f>
        <v>6.9850000000000003</v>
      </c>
      <c r="AC74" s="20">
        <f>2.54*(AVERAGE(1,0.75,1.5))</f>
        <v>2.7516666666666665</v>
      </c>
      <c r="AD74" s="20">
        <f>2.54*(AVERAGE(1,2,2.5))</f>
        <v>4.6566666666666663</v>
      </c>
      <c r="AE74" s="20">
        <f>2.54*(AVERAGE(2.25,1.75,1.5))</f>
        <v>4.6566666666666663</v>
      </c>
      <c r="AF74" s="26">
        <v>31.36</v>
      </c>
      <c r="AG74" s="26">
        <v>4.58</v>
      </c>
      <c r="AH74" s="26">
        <v>59.44</v>
      </c>
      <c r="AI74" s="26">
        <v>76.34</v>
      </c>
      <c r="AJ74" s="26">
        <v>4.84</v>
      </c>
      <c r="AK74" s="18" t="s">
        <v>172</v>
      </c>
      <c r="AL74" s="18" t="s">
        <v>172</v>
      </c>
      <c r="AM74" s="18" t="s">
        <v>172</v>
      </c>
      <c r="AN74" s="18" t="s">
        <v>172</v>
      </c>
      <c r="AO74" s="18" t="s">
        <v>172</v>
      </c>
      <c r="AP74" s="18" t="s">
        <v>172</v>
      </c>
      <c r="AQ74" s="18" t="s">
        <v>172</v>
      </c>
      <c r="AR74" s="18" t="s">
        <v>172</v>
      </c>
      <c r="AS74">
        <v>1039</v>
      </c>
      <c r="AT74">
        <v>182</v>
      </c>
    </row>
    <row r="75" spans="1:46" x14ac:dyDescent="0.25">
      <c r="A75" s="9" t="s">
        <v>148</v>
      </c>
      <c r="B75" s="11">
        <v>76</v>
      </c>
      <c r="C75">
        <v>0</v>
      </c>
      <c r="D75">
        <v>1</v>
      </c>
      <c r="E75" t="s">
        <v>172</v>
      </c>
      <c r="G75" s="19">
        <v>0</v>
      </c>
      <c r="H75" s="19">
        <f>2/100</f>
        <v>0.02</v>
      </c>
      <c r="I75" s="19">
        <f>16/20</f>
        <v>0.8</v>
      </c>
      <c r="J75" s="23">
        <f>1/20</f>
        <v>0.05</v>
      </c>
      <c r="K75" s="19">
        <v>0</v>
      </c>
      <c r="L75" s="19">
        <v>0</v>
      </c>
      <c r="M75" s="19">
        <f>1/20</f>
        <v>0.05</v>
      </c>
      <c r="N75" s="19">
        <v>0</v>
      </c>
      <c r="O75" s="19">
        <f>6/20</f>
        <v>0.3</v>
      </c>
      <c r="P75" s="20">
        <f>2.54*40.5</f>
        <v>102.87</v>
      </c>
      <c r="Q75" s="20">
        <f>2.54*(AVERAGE(41,45.5,56,64))</f>
        <v>131.1275</v>
      </c>
      <c r="R75" s="20">
        <f>2.54*(AVERAGE(45.5,46,60,52))</f>
        <v>129.2225</v>
      </c>
      <c r="S75" s="20">
        <f>2.54*(AVERAGE(86,44.5,59,56))</f>
        <v>155.89250000000001</v>
      </c>
      <c r="T75" s="20">
        <f>2.54*(AVERAGE(41,45.5,86))</f>
        <v>146.05000000000001</v>
      </c>
      <c r="U75" s="20">
        <f>2.54*(AVERAGE(45.5,46,44.5))</f>
        <v>115.14666666666668</v>
      </c>
      <c r="V75" s="20">
        <f>2.54*(AVERAGE(56,60,59))</f>
        <v>148.16666666666669</v>
      </c>
      <c r="W75" s="20">
        <f>2.54*(AVERAGE(64,52,56))</f>
        <v>145.62666666666667</v>
      </c>
      <c r="X75" s="20">
        <v>0</v>
      </c>
      <c r="Y75" s="20">
        <f>2.54*(AVERAGE(2.5,6,2,0))</f>
        <v>6.6675000000000004</v>
      </c>
      <c r="Z75" s="20">
        <f>2.54*(AVERAGE(1,3,1.5,0))</f>
        <v>3.4925000000000002</v>
      </c>
      <c r="AA75" s="20">
        <f>2.54*(AVERAGE(1.5,2.5,2,0))</f>
        <v>3.81</v>
      </c>
      <c r="AB75" s="20">
        <f>2.54*(AVERAGE(2.5,1,1.5))</f>
        <v>4.2333333333333334</v>
      </c>
      <c r="AC75" s="20">
        <f>2.54*(AVERAGE(6,3,2.5))</f>
        <v>9.7366666666666664</v>
      </c>
      <c r="AD75" s="20">
        <f>2.54*(AVERAGE(2,1.5,2))</f>
        <v>4.6566666666666663</v>
      </c>
      <c r="AE75" s="20">
        <v>0</v>
      </c>
      <c r="AF75" s="26">
        <v>48</v>
      </c>
      <c r="AG75" s="26">
        <v>0</v>
      </c>
      <c r="AH75" s="26">
        <v>40.46</v>
      </c>
      <c r="AI75" s="26">
        <v>33.700000000000003</v>
      </c>
      <c r="AJ75" s="26">
        <v>0</v>
      </c>
      <c r="AK75" s="18" t="s">
        <v>172</v>
      </c>
      <c r="AL75" s="18" t="s">
        <v>172</v>
      </c>
      <c r="AM75" s="18" t="s">
        <v>172</v>
      </c>
      <c r="AN75" s="18" t="s">
        <v>172</v>
      </c>
      <c r="AO75" s="18" t="s">
        <v>172</v>
      </c>
      <c r="AP75" s="18" t="s">
        <v>172</v>
      </c>
      <c r="AQ75" s="18" t="s">
        <v>172</v>
      </c>
      <c r="AR75" s="18" t="s">
        <v>172</v>
      </c>
      <c r="AS75">
        <v>1320</v>
      </c>
      <c r="AT75">
        <v>154</v>
      </c>
    </row>
    <row r="76" spans="1:46" x14ac:dyDescent="0.25">
      <c r="A76" s="9" t="s">
        <v>149</v>
      </c>
      <c r="B76" s="11">
        <v>77</v>
      </c>
      <c r="C76">
        <v>0</v>
      </c>
      <c r="D76">
        <v>1</v>
      </c>
      <c r="E76" t="s">
        <v>172</v>
      </c>
      <c r="G76" s="19">
        <v>0</v>
      </c>
      <c r="H76" s="19">
        <f>4/20</f>
        <v>0.2</v>
      </c>
      <c r="I76" s="19">
        <f>11/20</f>
        <v>0.55000000000000004</v>
      </c>
      <c r="J76" s="19">
        <f>3/20</f>
        <v>0.15</v>
      </c>
      <c r="K76" s="19">
        <v>0</v>
      </c>
      <c r="L76" s="19">
        <v>0</v>
      </c>
      <c r="M76" s="19">
        <f>1/20</f>
        <v>0.05</v>
      </c>
      <c r="N76" s="19">
        <v>0</v>
      </c>
      <c r="O76" s="19">
        <f>12/20</f>
        <v>0.6</v>
      </c>
      <c r="P76" s="20">
        <f>2.54*25</f>
        <v>63.5</v>
      </c>
      <c r="Q76" s="20">
        <f>2.54*(AVERAGE(0,30,22,37))</f>
        <v>56.515000000000001</v>
      </c>
      <c r="R76" s="20">
        <f>2.54*(AVERAGE(21.625,26.75,34.25,71))</f>
        <v>97.551874999999995</v>
      </c>
      <c r="S76" s="20">
        <f>2.54*(AVERAGE(58.125,56.5,42,92))</f>
        <v>157.87687500000001</v>
      </c>
      <c r="T76" s="20">
        <f>2.54*(AVERAGE(0,21.625,58.125))</f>
        <v>67.521666666666661</v>
      </c>
      <c r="U76" s="20">
        <f>2.54*(AVERAGE(30,26.75,56.5))</f>
        <v>95.885000000000005</v>
      </c>
      <c r="V76" s="20">
        <f>2.54*(AVERAGE(22,34.25,42))</f>
        <v>83.185000000000002</v>
      </c>
      <c r="W76" s="20">
        <f>2.54*(AVERAGE(37,71,92))</f>
        <v>169.33333333333334</v>
      </c>
      <c r="X76" s="20">
        <f>2.54*1.5</f>
        <v>3.81</v>
      </c>
      <c r="Y76" s="20">
        <f>2.54*(AVERAGE(1,3.25,1.25,0.25))</f>
        <v>3.6512500000000001</v>
      </c>
      <c r="Z76" s="20">
        <f>2.54*(AVERAGE(1.5,1.75,2,1))</f>
        <v>3.96875</v>
      </c>
      <c r="AA76" s="20">
        <f>2.54*(AVERAGE(0.25,2.25,0.75,1.5))</f>
        <v>3.0162499999999999</v>
      </c>
      <c r="AB76" s="20">
        <f>2.54*(AVERAGE(1,1.5,0.25))</f>
        <v>2.3283333333333331</v>
      </c>
      <c r="AC76" s="20">
        <f>2.54*(AVERAGE(3.25,1.75,2.25))</f>
        <v>6.1383333333333328</v>
      </c>
      <c r="AD76" s="20">
        <f>2.54*(AVERAGE(1.25,2,0.75))</f>
        <v>3.3866666666666667</v>
      </c>
      <c r="AE76" s="20">
        <f>2.54*(AVERAGE(0.25,1,1.5))</f>
        <v>2.3283333333333331</v>
      </c>
      <c r="AF76" s="26">
        <v>28.24</v>
      </c>
      <c r="AG76" s="26">
        <v>88.82</v>
      </c>
      <c r="AH76" s="26">
        <v>31.88</v>
      </c>
      <c r="AI76" s="26">
        <v>93.25</v>
      </c>
      <c r="AJ76" s="26">
        <v>76.599999999999994</v>
      </c>
      <c r="AK76" s="18" t="s">
        <v>172</v>
      </c>
      <c r="AL76" s="18" t="s">
        <v>172</v>
      </c>
      <c r="AM76" s="18" t="s">
        <v>172</v>
      </c>
      <c r="AN76" s="18" t="s">
        <v>172</v>
      </c>
      <c r="AO76" s="18" t="s">
        <v>172</v>
      </c>
      <c r="AP76" s="18" t="s">
        <v>172</v>
      </c>
      <c r="AQ76" s="18" t="s">
        <v>172</v>
      </c>
      <c r="AR76" s="18" t="s">
        <v>172</v>
      </c>
      <c r="AS76">
        <v>559</v>
      </c>
      <c r="AT76">
        <v>227</v>
      </c>
    </row>
    <row r="77" spans="1:46" x14ac:dyDescent="0.25">
      <c r="A77" s="9" t="s">
        <v>150</v>
      </c>
      <c r="B77" s="11">
        <v>78</v>
      </c>
      <c r="C77">
        <v>0</v>
      </c>
      <c r="D77">
        <v>1</v>
      </c>
      <c r="E77" t="s">
        <v>172</v>
      </c>
      <c r="G77" s="19">
        <v>0</v>
      </c>
      <c r="H77" s="19">
        <f>7/20</f>
        <v>0.35</v>
      </c>
      <c r="I77" s="19">
        <f>9/20</f>
        <v>0.45</v>
      </c>
      <c r="J77" s="19">
        <f>2/20</f>
        <v>0.1</v>
      </c>
      <c r="K77" s="19">
        <v>0</v>
      </c>
      <c r="L77" s="19">
        <f>2/20</f>
        <v>0.1</v>
      </c>
      <c r="M77" s="19">
        <v>0</v>
      </c>
      <c r="N77" s="19">
        <v>0</v>
      </c>
      <c r="O77" s="29">
        <v>0.5</v>
      </c>
      <c r="P77" s="20">
        <v>120</v>
      </c>
      <c r="Q77" s="20">
        <f>(AVERAGE(113,63,128,116))</f>
        <v>105</v>
      </c>
      <c r="R77" s="20">
        <f>(AVERAGE(165,70,59,131.2))</f>
        <v>106.3</v>
      </c>
      <c r="S77" s="20">
        <f>(AVERAGE(117,74,63,146))</f>
        <v>100</v>
      </c>
      <c r="T77" s="20">
        <f>(AVERAGE(113,165,117))</f>
        <v>131.66666666666666</v>
      </c>
      <c r="U77" s="20">
        <f>(AVERAGE(63,70,74))</f>
        <v>69</v>
      </c>
      <c r="V77" s="20">
        <f>(AVERAGE(128,59,63))</f>
        <v>83.333333333333329</v>
      </c>
      <c r="W77" s="20">
        <f>(AVERAGE(116,131.2,146))</f>
        <v>131.06666666666666</v>
      </c>
      <c r="X77" s="20">
        <v>1</v>
      </c>
      <c r="Y77" s="20">
        <f>(AVERAGE(6,0,0,30.5))</f>
        <v>9.125</v>
      </c>
      <c r="Z77" s="20">
        <f>(AVERAGE(4,9,1,5.5))</f>
        <v>4.875</v>
      </c>
      <c r="AA77" s="20">
        <f>(AVERAGE(2,5,0,6))</f>
        <v>3.25</v>
      </c>
      <c r="AB77" s="20">
        <f>(AVERAGE(0,9,5))</f>
        <v>4.666666666666667</v>
      </c>
      <c r="AC77" s="20">
        <f>(AVERAGE(5,4,2))</f>
        <v>3.6666666666666665</v>
      </c>
      <c r="AD77" s="20">
        <f>(AVERAGE(0,1,0))</f>
        <v>0.33333333333333331</v>
      </c>
      <c r="AE77" s="20">
        <f>(AVERAGE(30.5,5.5,6))</f>
        <v>14</v>
      </c>
      <c r="AF77" s="26">
        <v>28.5</v>
      </c>
      <c r="AG77" s="26">
        <v>4.32</v>
      </c>
      <c r="AH77" s="26">
        <v>84.14</v>
      </c>
      <c r="AI77" s="26">
        <v>95.84</v>
      </c>
      <c r="AJ77" s="26">
        <v>16.02</v>
      </c>
      <c r="AK77" s="18" t="s">
        <v>172</v>
      </c>
      <c r="AL77" s="18" t="s">
        <v>172</v>
      </c>
      <c r="AM77" s="18" t="s">
        <v>172</v>
      </c>
      <c r="AN77" s="18" t="s">
        <v>172</v>
      </c>
      <c r="AO77" s="18" t="s">
        <v>172</v>
      </c>
      <c r="AP77" s="18" t="s">
        <v>172</v>
      </c>
      <c r="AQ77" s="18" t="s">
        <v>172</v>
      </c>
      <c r="AR77" s="18" t="s">
        <v>172</v>
      </c>
      <c r="AS77">
        <v>535</v>
      </c>
      <c r="AT77">
        <v>132</v>
      </c>
    </row>
    <row r="78" spans="1:46" x14ac:dyDescent="0.25">
      <c r="A78" s="9" t="s">
        <v>151</v>
      </c>
      <c r="B78" s="11">
        <v>79</v>
      </c>
      <c r="C78">
        <v>0</v>
      </c>
      <c r="D78">
        <v>1</v>
      </c>
      <c r="E78" t="s">
        <v>172</v>
      </c>
      <c r="G78" s="19">
        <v>0</v>
      </c>
      <c r="H78" s="19">
        <f>6/20</f>
        <v>0.3</v>
      </c>
      <c r="I78" s="19">
        <f>10/20</f>
        <v>0.5</v>
      </c>
      <c r="J78" s="19">
        <f>3/20</f>
        <v>0.15</v>
      </c>
      <c r="K78" s="23">
        <v>0.05</v>
      </c>
      <c r="L78" s="19">
        <v>0</v>
      </c>
      <c r="M78" s="19">
        <v>0</v>
      </c>
      <c r="N78" s="19">
        <v>0</v>
      </c>
      <c r="O78" s="19">
        <f>8/20</f>
        <v>0.4</v>
      </c>
      <c r="P78" s="20">
        <v>84</v>
      </c>
      <c r="Q78" s="20">
        <f>(AVERAGE(94,135,0,76))</f>
        <v>76.25</v>
      </c>
      <c r="R78" s="20">
        <f>(AVERAGE(86,145,120,81))</f>
        <v>108</v>
      </c>
      <c r="S78" s="20">
        <f>(AVERAGE(74,181,76,100))</f>
        <v>107.75</v>
      </c>
      <c r="T78" s="20">
        <f>(AVERAGE(113,,74))</f>
        <v>62.333333333333336</v>
      </c>
      <c r="U78" s="20">
        <f>(AVERAGE(135,145,181))</f>
        <v>153.66666666666666</v>
      </c>
      <c r="V78" s="20">
        <f>(AVERAGE(0,120,76))</f>
        <v>65.333333333333329</v>
      </c>
      <c r="W78" s="20">
        <f>(AVERAGE(76,81,100))</f>
        <v>85.666666666666671</v>
      </c>
      <c r="X78" s="20">
        <v>0</v>
      </c>
      <c r="Y78" s="20">
        <f>(AVERAGE(2,5,0,5))</f>
        <v>3</v>
      </c>
      <c r="Z78" s="20">
        <f>(AVERAGE(7,4,4,1))</f>
        <v>4</v>
      </c>
      <c r="AA78" s="20">
        <f>(AVERAGE(3,3,16,3))</f>
        <v>6.25</v>
      </c>
      <c r="AB78" s="20">
        <f>(AVERAGE(2,7,3))</f>
        <v>4</v>
      </c>
      <c r="AC78" s="20">
        <f>(AVERAGE(5,4,3))</f>
        <v>4</v>
      </c>
      <c r="AD78" s="20">
        <f>(AVERAGE(0,4,16))</f>
        <v>6.666666666666667</v>
      </c>
      <c r="AE78" s="20">
        <f>(AVERAGE(5,1,3))</f>
        <v>3</v>
      </c>
      <c r="AF78" s="26">
        <v>0.42</v>
      </c>
      <c r="AG78" s="26">
        <v>93.5</v>
      </c>
      <c r="AH78" s="26">
        <v>3.02</v>
      </c>
      <c r="AI78" s="26">
        <v>94.8</v>
      </c>
      <c r="AJ78" s="26">
        <v>0</v>
      </c>
      <c r="AK78" s="18" t="s">
        <v>172</v>
      </c>
      <c r="AL78" s="18" t="s">
        <v>172</v>
      </c>
      <c r="AM78" s="18" t="s">
        <v>172</v>
      </c>
      <c r="AN78" s="18" t="s">
        <v>172</v>
      </c>
      <c r="AO78" s="18" t="s">
        <v>172</v>
      </c>
      <c r="AP78" s="18" t="s">
        <v>172</v>
      </c>
      <c r="AQ78" s="18" t="s">
        <v>172</v>
      </c>
      <c r="AR78" s="18" t="s">
        <v>172</v>
      </c>
      <c r="AS78">
        <v>460</v>
      </c>
      <c r="AT78">
        <v>139</v>
      </c>
    </row>
    <row r="79" spans="1:46" x14ac:dyDescent="0.25">
      <c r="A79" s="7"/>
      <c r="B79" s="11"/>
    </row>
    <row r="80" spans="1:46" x14ac:dyDescent="0.25">
      <c r="A80" s="7"/>
      <c r="B80" s="11"/>
    </row>
    <row r="81" spans="1:2" x14ac:dyDescent="0.25">
      <c r="A81" s="7"/>
      <c r="B81" s="11"/>
    </row>
    <row r="82" spans="1:2" x14ac:dyDescent="0.25">
      <c r="A82" s="7"/>
      <c r="B82" s="11"/>
    </row>
    <row r="83" spans="1:2" x14ac:dyDescent="0.25">
      <c r="A83" s="7"/>
      <c r="B83" s="11"/>
    </row>
    <row r="84" spans="1:2" x14ac:dyDescent="0.25">
      <c r="A84" s="7"/>
      <c r="B84" s="11"/>
    </row>
    <row r="85" spans="1:2" x14ac:dyDescent="0.25">
      <c r="A85" s="7"/>
      <c r="B85" s="11"/>
    </row>
    <row r="86" spans="1:2" x14ac:dyDescent="0.25">
      <c r="A86" s="7"/>
      <c r="B86" s="11"/>
    </row>
    <row r="87" spans="1:2" x14ac:dyDescent="0.25">
      <c r="A87" s="7"/>
      <c r="B87" s="11"/>
    </row>
    <row r="88" spans="1:2" x14ac:dyDescent="0.25">
      <c r="A88" s="7"/>
      <c r="B88" s="11"/>
    </row>
    <row r="89" spans="1:2" x14ac:dyDescent="0.25">
      <c r="A89" s="7"/>
      <c r="B89" s="11"/>
    </row>
    <row r="90" spans="1:2" x14ac:dyDescent="0.25">
      <c r="A90" s="7"/>
      <c r="B90" s="11"/>
    </row>
    <row r="91" spans="1:2" x14ac:dyDescent="0.25">
      <c r="A91" s="7"/>
      <c r="B91" s="11"/>
    </row>
    <row r="92" spans="1:2" x14ac:dyDescent="0.25">
      <c r="A92" s="7"/>
      <c r="B92" s="11"/>
    </row>
    <row r="93" spans="1:2" x14ac:dyDescent="0.25">
      <c r="A93" s="7"/>
      <c r="B93" s="11"/>
    </row>
    <row r="94" spans="1:2" x14ac:dyDescent="0.25">
      <c r="A94" s="7"/>
      <c r="B94" s="11"/>
    </row>
    <row r="95" spans="1:2" x14ac:dyDescent="0.25">
      <c r="A95" s="7"/>
      <c r="B95" s="11"/>
    </row>
    <row r="96" spans="1:2" x14ac:dyDescent="0.25">
      <c r="A96" s="7"/>
      <c r="B96" s="11"/>
    </row>
    <row r="97" spans="1:2" x14ac:dyDescent="0.25">
      <c r="A97" s="7"/>
      <c r="B97" s="11"/>
    </row>
    <row r="98" spans="1:2" x14ac:dyDescent="0.25">
      <c r="A98" s="7"/>
      <c r="B98" s="11"/>
    </row>
    <row r="99" spans="1:2" x14ac:dyDescent="0.25">
      <c r="A99" s="7"/>
      <c r="B99" s="11"/>
    </row>
    <row r="100" spans="1:2" x14ac:dyDescent="0.25">
      <c r="A100" s="7"/>
      <c r="B100" s="11"/>
    </row>
    <row r="101" spans="1:2" x14ac:dyDescent="0.25">
      <c r="A101" s="7"/>
      <c r="B101" s="11"/>
    </row>
    <row r="102" spans="1:2" x14ac:dyDescent="0.25">
      <c r="A102" s="7"/>
      <c r="B102" s="11"/>
    </row>
    <row r="103" spans="1:2" x14ac:dyDescent="0.25">
      <c r="A103" s="7"/>
      <c r="B103" s="11"/>
    </row>
    <row r="104" spans="1:2" x14ac:dyDescent="0.25">
      <c r="A104" s="7"/>
      <c r="B104" s="11"/>
    </row>
    <row r="105" spans="1:2" x14ac:dyDescent="0.25">
      <c r="A105" s="7"/>
      <c r="B105" s="11"/>
    </row>
    <row r="106" spans="1:2" x14ac:dyDescent="0.25">
      <c r="A106" s="7"/>
      <c r="B106" s="11"/>
    </row>
    <row r="107" spans="1:2" x14ac:dyDescent="0.25">
      <c r="A107" s="7"/>
      <c r="B107" s="11"/>
    </row>
    <row r="108" spans="1:2" x14ac:dyDescent="0.25">
      <c r="A108" s="7"/>
      <c r="B108" s="11"/>
    </row>
    <row r="109" spans="1:2" x14ac:dyDescent="0.25">
      <c r="A109" s="7"/>
      <c r="B109" s="11"/>
    </row>
    <row r="110" spans="1:2" x14ac:dyDescent="0.25">
      <c r="A110" s="7"/>
      <c r="B110" s="11"/>
    </row>
    <row r="111" spans="1:2" x14ac:dyDescent="0.25">
      <c r="A111" s="7"/>
      <c r="B111" s="11"/>
    </row>
    <row r="112" spans="1:2" x14ac:dyDescent="0.25">
      <c r="A112" s="7"/>
      <c r="B112" s="11"/>
    </row>
    <row r="113" spans="1:2" x14ac:dyDescent="0.25">
      <c r="A113" s="7"/>
      <c r="B113" s="11"/>
    </row>
    <row r="114" spans="1:2" x14ac:dyDescent="0.25">
      <c r="A114" s="7"/>
      <c r="B114" s="11"/>
    </row>
    <row r="115" spans="1:2" x14ac:dyDescent="0.25">
      <c r="A115" s="7"/>
      <c r="B115" s="11"/>
    </row>
    <row r="116" spans="1:2" x14ac:dyDescent="0.25">
      <c r="A116" s="7"/>
      <c r="B116" s="11"/>
    </row>
    <row r="117" spans="1:2" x14ac:dyDescent="0.25">
      <c r="A117" s="7"/>
      <c r="B117" s="11"/>
    </row>
    <row r="118" spans="1:2" x14ac:dyDescent="0.25">
      <c r="A118" s="7"/>
      <c r="B118" s="11"/>
    </row>
    <row r="119" spans="1:2" x14ac:dyDescent="0.25">
      <c r="A119" s="7"/>
      <c r="B119" s="11"/>
    </row>
    <row r="120" spans="1:2" x14ac:dyDescent="0.25">
      <c r="A120" s="8"/>
      <c r="B120" s="11"/>
    </row>
    <row r="121" spans="1:2" x14ac:dyDescent="0.25">
      <c r="A121" s="8"/>
      <c r="B121" s="11"/>
    </row>
    <row r="122" spans="1:2" x14ac:dyDescent="0.25">
      <c r="A122" s="8"/>
      <c r="B122" s="11"/>
    </row>
    <row r="123" spans="1:2" x14ac:dyDescent="0.25">
      <c r="A123" s="8"/>
      <c r="B123" s="11"/>
    </row>
    <row r="124" spans="1:2" x14ac:dyDescent="0.25">
      <c r="A124" s="8"/>
      <c r="B124" s="11"/>
    </row>
    <row r="125" spans="1:2" x14ac:dyDescent="0.25">
      <c r="A125" s="8"/>
      <c r="B125" s="11"/>
    </row>
    <row r="126" spans="1:2" x14ac:dyDescent="0.25">
      <c r="A126" s="8"/>
      <c r="B126" s="11"/>
    </row>
    <row r="127" spans="1:2" x14ac:dyDescent="0.25">
      <c r="A127" s="8"/>
      <c r="B127" s="11"/>
    </row>
    <row r="128" spans="1:2" x14ac:dyDescent="0.25">
      <c r="A128" s="8"/>
      <c r="B128" s="11"/>
    </row>
    <row r="129" spans="1:2" x14ac:dyDescent="0.25">
      <c r="A129" s="8"/>
      <c r="B129" s="11"/>
    </row>
    <row r="130" spans="1:2" x14ac:dyDescent="0.25">
      <c r="A130" s="8"/>
      <c r="B130" s="11"/>
    </row>
    <row r="131" spans="1:2" x14ac:dyDescent="0.25">
      <c r="A131" s="8"/>
      <c r="B131" s="11"/>
    </row>
    <row r="132" spans="1:2" x14ac:dyDescent="0.25">
      <c r="A132" s="8"/>
      <c r="B132" s="11"/>
    </row>
    <row r="133" spans="1:2" x14ac:dyDescent="0.25">
      <c r="A133" s="8"/>
      <c r="B133" s="11"/>
    </row>
    <row r="134" spans="1:2" x14ac:dyDescent="0.25">
      <c r="A134" s="8"/>
      <c r="B134" s="11"/>
    </row>
    <row r="135" spans="1:2" x14ac:dyDescent="0.25">
      <c r="A135" s="8"/>
      <c r="B135" s="11"/>
    </row>
    <row r="136" spans="1:2" x14ac:dyDescent="0.25">
      <c r="A136" s="8"/>
      <c r="B136" s="11"/>
    </row>
    <row r="137" spans="1:2" x14ac:dyDescent="0.25">
      <c r="A137" s="8"/>
      <c r="B137" s="11"/>
    </row>
    <row r="138" spans="1:2" x14ac:dyDescent="0.25">
      <c r="A138" s="8"/>
      <c r="B138" s="11"/>
    </row>
    <row r="139" spans="1:2" x14ac:dyDescent="0.25">
      <c r="A139" s="8"/>
      <c r="B139" s="11"/>
    </row>
    <row r="140" spans="1:2" x14ac:dyDescent="0.25">
      <c r="A140" s="8"/>
      <c r="B140" s="11"/>
    </row>
    <row r="141" spans="1:2" x14ac:dyDescent="0.25">
      <c r="A141" s="8"/>
      <c r="B141" s="11"/>
    </row>
    <row r="142" spans="1:2" x14ac:dyDescent="0.25">
      <c r="A142" s="8"/>
      <c r="B142" s="11"/>
    </row>
    <row r="143" spans="1:2" x14ac:dyDescent="0.25">
      <c r="A143" s="8"/>
      <c r="B143" s="11"/>
    </row>
    <row r="144" spans="1:2" x14ac:dyDescent="0.25">
      <c r="A144" s="8"/>
      <c r="B144" s="11"/>
    </row>
    <row r="145" spans="1:2" x14ac:dyDescent="0.25">
      <c r="A145" s="8"/>
      <c r="B145" s="11"/>
    </row>
    <row r="146" spans="1:2" x14ac:dyDescent="0.25">
      <c r="A146" s="8"/>
      <c r="B146" s="11"/>
    </row>
    <row r="147" spans="1:2" x14ac:dyDescent="0.25">
      <c r="A147" s="8"/>
      <c r="B147" s="11"/>
    </row>
    <row r="148" spans="1:2" x14ac:dyDescent="0.25">
      <c r="A148" s="8"/>
      <c r="B148" s="11"/>
    </row>
    <row r="149" spans="1:2" x14ac:dyDescent="0.25">
      <c r="A149" s="8"/>
      <c r="B149" s="11"/>
    </row>
    <row r="150" spans="1:2" x14ac:dyDescent="0.25">
      <c r="A150" s="9"/>
      <c r="B150" s="11"/>
    </row>
    <row r="151" spans="1:2" x14ac:dyDescent="0.25">
      <c r="A151" s="9"/>
      <c r="B151" s="11"/>
    </row>
    <row r="152" spans="1:2" x14ac:dyDescent="0.25">
      <c r="A152" s="9"/>
      <c r="B152" s="11"/>
    </row>
    <row r="153" spans="1:2" x14ac:dyDescent="0.25">
      <c r="A153" s="9"/>
      <c r="B153" s="11"/>
    </row>
    <row r="154" spans="1:2" x14ac:dyDescent="0.25">
      <c r="A154" s="9"/>
      <c r="B154" s="11"/>
    </row>
    <row r="155" spans="1:2" x14ac:dyDescent="0.25">
      <c r="A155" s="9"/>
      <c r="B155" s="1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6" max="6" width="10.375" bestFit="1" customWidth="1"/>
    <col min="7" max="7" width="11.875" bestFit="1" customWidth="1"/>
    <col min="8" max="8" width="11" bestFit="1" customWidth="1"/>
    <col min="9" max="9" width="16.25" bestFit="1" customWidth="1"/>
    <col min="10" max="10" width="11.75" bestFit="1" customWidth="1"/>
    <col min="11" max="11" width="12.375" bestFit="1" customWidth="1"/>
    <col min="12" max="12" width="15.25" bestFit="1" customWidth="1"/>
    <col min="13" max="13" width="11.75" bestFit="1" customWidth="1"/>
    <col min="14" max="14" width="12.625" bestFit="1" customWidth="1"/>
    <col min="15" max="15" width="14.75" bestFit="1" customWidth="1"/>
    <col min="16" max="16" width="14.625" bestFit="1" customWidth="1"/>
    <col min="17" max="19" width="11.125" bestFit="1" customWidth="1"/>
    <col min="20" max="20" width="13.75" bestFit="1" customWidth="1"/>
    <col min="21" max="21" width="12" bestFit="1" customWidth="1"/>
    <col min="22" max="22" width="13.75" bestFit="1" customWidth="1"/>
    <col min="23" max="23" width="13.25" bestFit="1" customWidth="1"/>
    <col min="24" max="24" width="10.625" bestFit="1" customWidth="1"/>
    <col min="36" max="36" width="13.25" bestFit="1" customWidth="1"/>
    <col min="45" max="45" width="13.75" bestFit="1" customWidth="1"/>
    <col min="46" max="46" width="12.625" bestFit="1" customWidth="1"/>
  </cols>
  <sheetData>
    <row r="1" spans="1:46" s="10" customFormat="1" x14ac:dyDescent="0.25">
      <c r="A1" s="10" t="s">
        <v>0</v>
      </c>
      <c r="B1" s="10" t="s">
        <v>1</v>
      </c>
      <c r="C1" s="10" t="s">
        <v>3</v>
      </c>
      <c r="D1" s="10" t="s">
        <v>4</v>
      </c>
      <c r="E1" s="10" t="s">
        <v>171</v>
      </c>
      <c r="F1" s="10" t="s">
        <v>174</v>
      </c>
      <c r="G1" s="27" t="s">
        <v>178</v>
      </c>
      <c r="H1" s="27" t="s">
        <v>179</v>
      </c>
      <c r="I1" s="27" t="s">
        <v>180</v>
      </c>
      <c r="J1" s="27" t="s">
        <v>181</v>
      </c>
      <c r="K1" s="27" t="s">
        <v>182</v>
      </c>
      <c r="L1" s="27" t="s">
        <v>183</v>
      </c>
      <c r="M1" s="27" t="s">
        <v>184</v>
      </c>
      <c r="N1" s="27" t="s">
        <v>185</v>
      </c>
      <c r="O1" s="27" t="s">
        <v>217</v>
      </c>
      <c r="P1" s="27" t="s">
        <v>186</v>
      </c>
      <c r="Q1" s="27" t="s">
        <v>187</v>
      </c>
      <c r="R1" s="27" t="s">
        <v>188</v>
      </c>
      <c r="S1" s="27" t="s">
        <v>189</v>
      </c>
      <c r="T1" s="27" t="s">
        <v>190</v>
      </c>
      <c r="U1" s="27" t="s">
        <v>191</v>
      </c>
      <c r="V1" s="27" t="s">
        <v>192</v>
      </c>
      <c r="W1" s="27" t="s">
        <v>193</v>
      </c>
      <c r="X1" s="27" t="s">
        <v>194</v>
      </c>
      <c r="Y1" s="27" t="s">
        <v>195</v>
      </c>
      <c r="Z1" s="27" t="s">
        <v>196</v>
      </c>
      <c r="AA1" s="27" t="s">
        <v>197</v>
      </c>
      <c r="AB1" s="27" t="s">
        <v>198</v>
      </c>
      <c r="AC1" s="27" t="s">
        <v>199</v>
      </c>
      <c r="AD1" s="27" t="s">
        <v>200</v>
      </c>
      <c r="AE1" s="27" t="s">
        <v>201</v>
      </c>
      <c r="AF1" s="27" t="s">
        <v>202</v>
      </c>
      <c r="AG1" s="27" t="s">
        <v>203</v>
      </c>
      <c r="AH1" s="27" t="s">
        <v>204</v>
      </c>
      <c r="AI1" s="27" t="s">
        <v>205</v>
      </c>
      <c r="AJ1" s="27" t="s">
        <v>206</v>
      </c>
      <c r="AK1" s="27" t="s">
        <v>207</v>
      </c>
      <c r="AL1" s="27" t="s">
        <v>208</v>
      </c>
      <c r="AM1" s="27" t="s">
        <v>209</v>
      </c>
      <c r="AN1" s="27" t="s">
        <v>210</v>
      </c>
      <c r="AO1" s="27" t="s">
        <v>211</v>
      </c>
      <c r="AP1" s="27" t="s">
        <v>212</v>
      </c>
      <c r="AQ1" s="27" t="s">
        <v>213</v>
      </c>
      <c r="AR1" s="27" t="s">
        <v>214</v>
      </c>
      <c r="AS1" s="10" t="s">
        <v>215</v>
      </c>
      <c r="AT1" s="10" t="s">
        <v>216</v>
      </c>
    </row>
    <row r="2" spans="1:46" x14ac:dyDescent="0.25">
      <c r="A2" s="7" t="s">
        <v>75</v>
      </c>
      <c r="B2" s="11">
        <v>1</v>
      </c>
      <c r="C2">
        <v>1</v>
      </c>
      <c r="D2">
        <v>0</v>
      </c>
      <c r="E2">
        <v>4</v>
      </c>
      <c r="F2">
        <v>4</v>
      </c>
      <c r="G2">
        <v>0</v>
      </c>
      <c r="H2">
        <f>6/20</f>
        <v>0.3</v>
      </c>
      <c r="I2">
        <f>11/20</f>
        <v>0.55000000000000004</v>
      </c>
      <c r="J2">
        <f>1/20</f>
        <v>0.05</v>
      </c>
      <c r="K2">
        <v>0</v>
      </c>
      <c r="L2">
        <v>0</v>
      </c>
      <c r="M2">
        <f>2/20</f>
        <v>0.1</v>
      </c>
      <c r="N2">
        <v>0</v>
      </c>
      <c r="O2">
        <v>0</v>
      </c>
      <c r="P2" s="28">
        <v>73.5</v>
      </c>
      <c r="Q2" s="28">
        <f>AVERAGE(123,122.5,118,86)</f>
        <v>112.375</v>
      </c>
      <c r="R2" s="28">
        <f>AVERAGE(87,116,93.5,112.5)</f>
        <v>102.25</v>
      </c>
      <c r="S2" s="28">
        <f>AVERAGE(87,107,67.5,99.5)</f>
        <v>90.25</v>
      </c>
      <c r="T2" s="28">
        <f>AVERAGE(123,87,87)</f>
        <v>99</v>
      </c>
      <c r="U2" s="28">
        <f>AVERAGE(122.5,116,107)</f>
        <v>115.16666666666667</v>
      </c>
      <c r="V2" s="28">
        <f>AVERAGE(118,93.5,67.5)</f>
        <v>93</v>
      </c>
      <c r="W2" s="28">
        <f>AVERAGE(86,112.5,99.5)</f>
        <v>99.333333333333329</v>
      </c>
      <c r="X2" s="28">
        <v>0</v>
      </c>
      <c r="Y2" s="28">
        <v>0</v>
      </c>
      <c r="Z2" s="28">
        <f>AVERAGE(1,0.5,0.5,0)</f>
        <v>0.5</v>
      </c>
      <c r="AA2" s="28">
        <f>AVERAGE(0.5,1.5,1,0)</f>
        <v>0.75</v>
      </c>
      <c r="AB2" s="28">
        <f>AVERAGE(0,1,0.5)</f>
        <v>0.5</v>
      </c>
      <c r="AC2" s="28">
        <f>AVERAGE(0,0.5,1.5)</f>
        <v>0.66666666666666663</v>
      </c>
      <c r="AD2" s="28">
        <f>AVERAGE(0,0.5,1)</f>
        <v>0.5</v>
      </c>
      <c r="AE2" s="28">
        <v>0</v>
      </c>
      <c r="AF2" s="31">
        <v>0</v>
      </c>
      <c r="AG2" s="31">
        <v>0</v>
      </c>
      <c r="AH2" s="31">
        <v>0</v>
      </c>
      <c r="AI2" s="31">
        <v>0</v>
      </c>
      <c r="AJ2" s="31">
        <v>0</v>
      </c>
      <c r="AK2" s="31">
        <f>AVERAGE(10,10,10,8)</f>
        <v>9.5</v>
      </c>
      <c r="AL2" s="31">
        <f>AVERAGE(10,8,10,9)</f>
        <v>9.25</v>
      </c>
      <c r="AM2" s="31">
        <f>AVERAGE(10,9,9,9)</f>
        <v>9.25</v>
      </c>
      <c r="AN2" s="31">
        <f>AVERAGE(10,6,10,6)</f>
        <v>8</v>
      </c>
      <c r="AO2" s="31">
        <v>10</v>
      </c>
      <c r="AP2" s="31">
        <f>AVERAGE(10,8,9,6)</f>
        <v>8.25</v>
      </c>
      <c r="AQ2" s="31">
        <f>AVERAGE(10,10,9,10)</f>
        <v>9.75</v>
      </c>
      <c r="AR2" s="31">
        <f>AVERAGE(8,9,9,6)</f>
        <v>8</v>
      </c>
      <c r="AS2" s="31">
        <v>790</v>
      </c>
      <c r="AT2" s="31">
        <v>27</v>
      </c>
    </row>
    <row r="3" spans="1:46" x14ac:dyDescent="0.25">
      <c r="A3" s="7" t="s">
        <v>76</v>
      </c>
      <c r="B3" s="11">
        <v>2</v>
      </c>
      <c r="C3">
        <v>1</v>
      </c>
      <c r="D3">
        <v>0</v>
      </c>
      <c r="E3">
        <v>1</v>
      </c>
      <c r="F3">
        <v>1</v>
      </c>
      <c r="G3">
        <f>1/20</f>
        <v>0.05</v>
      </c>
      <c r="H3">
        <f>14/20</f>
        <v>0.7</v>
      </c>
      <c r="I3">
        <f>3/20</f>
        <v>0.15</v>
      </c>
      <c r="J3">
        <f>1/20</f>
        <v>0.05</v>
      </c>
      <c r="K3">
        <v>0</v>
      </c>
      <c r="L3">
        <v>0</v>
      </c>
      <c r="M3">
        <f>1/20</f>
        <v>0.05</v>
      </c>
      <c r="N3">
        <v>0</v>
      </c>
      <c r="O3">
        <v>0</v>
      </c>
      <c r="P3" s="28">
        <v>64</v>
      </c>
      <c r="Q3" s="28">
        <f>AVERAGE(90.5,86.5,62,59)</f>
        <v>74.5</v>
      </c>
      <c r="R3" s="28">
        <f>AVERAGE(86,75,55.5,80)</f>
        <v>74.125</v>
      </c>
      <c r="S3" s="28">
        <f>AVERAGE(62,90.5,46,110)</f>
        <v>77.125</v>
      </c>
      <c r="T3" s="28">
        <f>AVERAGE(90.5,86,62)</f>
        <v>79.5</v>
      </c>
      <c r="U3" s="28">
        <f>AVERAGE(86.5,75,90.5)</f>
        <v>84</v>
      </c>
      <c r="V3" s="28">
        <f>AVERAGE(62,55.5,46)</f>
        <v>54.5</v>
      </c>
      <c r="W3" s="28">
        <f>AVERAGE(59,80,110)</f>
        <v>83</v>
      </c>
      <c r="X3" s="28">
        <v>0.5</v>
      </c>
      <c r="Y3" s="28">
        <f>AVERAGE(1,1,2,2)</f>
        <v>1.5</v>
      </c>
      <c r="Z3" s="28">
        <f>AVERAGE(1,1,1,3)</f>
        <v>1.5</v>
      </c>
      <c r="AA3" s="28">
        <f>AVERAGE(0.5,0.5,0.5,1)</f>
        <v>0.625</v>
      </c>
      <c r="AB3" s="28">
        <f>AVERAGE(1,1,0.5)</f>
        <v>0.83333333333333337</v>
      </c>
      <c r="AC3" s="28">
        <v>0.8</v>
      </c>
      <c r="AD3" s="28">
        <f>AVERAGE(2,1,0.5)</f>
        <v>1.1666666666666667</v>
      </c>
      <c r="AE3" s="28">
        <f>AVERAGE(2,3,1)</f>
        <v>2</v>
      </c>
      <c r="AF3" s="31">
        <v>0</v>
      </c>
      <c r="AG3" s="31">
        <v>0</v>
      </c>
      <c r="AH3" s="31">
        <v>0</v>
      </c>
      <c r="AI3" s="31">
        <v>0</v>
      </c>
      <c r="AJ3" s="31">
        <v>0</v>
      </c>
      <c r="AK3" s="31">
        <f>AVERAGE(8,5,7,9)</f>
        <v>7.25</v>
      </c>
      <c r="AL3" s="31">
        <f>AVERAGE(8,7,9,6)</f>
        <v>7.5</v>
      </c>
      <c r="AM3" s="31">
        <f>AVERAGE(9,6,7,10)</f>
        <v>8</v>
      </c>
      <c r="AN3" s="31">
        <f>AVERAGE(9,7,7,9)</f>
        <v>8</v>
      </c>
      <c r="AO3" s="31">
        <f>AVERAGE(8,8,9,9)</f>
        <v>8.5</v>
      </c>
      <c r="AP3" s="31">
        <f>AVERAGE(5,7,6,7)</f>
        <v>6.25</v>
      </c>
      <c r="AQ3" s="31">
        <f>AVERAGE(7,9,7,7)</f>
        <v>7.5</v>
      </c>
      <c r="AR3" s="31">
        <f>AVERAGE(9,6,10,9)</f>
        <v>8.5</v>
      </c>
      <c r="AS3" s="31">
        <v>520</v>
      </c>
      <c r="AT3" s="31">
        <v>62</v>
      </c>
    </row>
    <row r="4" spans="1:46" x14ac:dyDescent="0.25">
      <c r="A4" s="7" t="s">
        <v>77</v>
      </c>
      <c r="B4" s="11">
        <v>3</v>
      </c>
      <c r="C4">
        <v>1</v>
      </c>
      <c r="D4">
        <v>0</v>
      </c>
      <c r="E4">
        <v>2</v>
      </c>
      <c r="F4">
        <v>1</v>
      </c>
      <c r="G4">
        <f>6/20</f>
        <v>0.3</v>
      </c>
      <c r="H4">
        <f>4/20</f>
        <v>0.2</v>
      </c>
      <c r="I4">
        <f>8/20</f>
        <v>0.4</v>
      </c>
      <c r="J4">
        <f>1/20</f>
        <v>0.05</v>
      </c>
      <c r="K4">
        <v>0</v>
      </c>
      <c r="L4">
        <v>0</v>
      </c>
      <c r="M4">
        <v>0</v>
      </c>
      <c r="N4">
        <f>1/20</f>
        <v>0.05</v>
      </c>
      <c r="O4">
        <v>0</v>
      </c>
      <c r="P4" s="28">
        <v>71</v>
      </c>
      <c r="Q4" s="28">
        <f>AVERAGE(58,66,61,62)</f>
        <v>61.75</v>
      </c>
      <c r="R4" s="28">
        <f>AVERAGE(58,64,70,70)</f>
        <v>65.5</v>
      </c>
      <c r="S4" s="28">
        <f>AVERAGE(46,54,70,74)</f>
        <v>61</v>
      </c>
      <c r="T4" s="28">
        <f>AVERAGE(58,58,46)</f>
        <v>54</v>
      </c>
      <c r="U4" s="28">
        <f>AVERAGE(66,64,54)</f>
        <v>61.333333333333336</v>
      </c>
      <c r="V4" s="28">
        <f>AVERAGE(61,70,70)</f>
        <v>67</v>
      </c>
      <c r="W4" s="28">
        <f>AVERAGE(62,70,74)</f>
        <v>68.666666666666671</v>
      </c>
      <c r="X4" s="28">
        <v>4</v>
      </c>
      <c r="Y4" s="28">
        <f>AVERAGE(2,0.5,2,6)</f>
        <v>2.625</v>
      </c>
      <c r="Z4" s="28">
        <f>AVERAGE(2.5,1.5,2,4)</f>
        <v>2.5</v>
      </c>
      <c r="AA4" s="28">
        <f>AVERAGE(1.5,2,1,1.5)</f>
        <v>1.5</v>
      </c>
      <c r="AB4" s="28">
        <f>AVERAGE(2,2.5,1.5)</f>
        <v>2</v>
      </c>
      <c r="AC4" s="28">
        <f>AVERAGE(0.5,1.5,2)</f>
        <v>1.3333333333333333</v>
      </c>
      <c r="AD4" s="28">
        <f>AVERAGE(2,2,1)</f>
        <v>1.6666666666666667</v>
      </c>
      <c r="AE4" s="28">
        <f>AVERAGE(6,4,1.5)</f>
        <v>3.8333333333333335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  <c r="AK4" s="31">
        <f>AVERAGE(6,7,8,7)</f>
        <v>7</v>
      </c>
      <c r="AL4" s="31">
        <v>7</v>
      </c>
      <c r="AM4" s="31">
        <f>AVERAGE(7,5,8,7)</f>
        <v>6.75</v>
      </c>
      <c r="AN4" s="31">
        <f>AVERAGE(8,7,9,9)</f>
        <v>8.25</v>
      </c>
      <c r="AO4" s="31">
        <f>AVERAGE(6,6,7,8)</f>
        <v>6.75</v>
      </c>
      <c r="AP4" s="31">
        <f>AVERAGE(7,7,5,7)</f>
        <v>6.5</v>
      </c>
      <c r="AQ4" s="31">
        <f>AVERAGE(8,8,8,9)</f>
        <v>8.25</v>
      </c>
      <c r="AR4" s="31">
        <f>AVERAGE(7,7,7,9)</f>
        <v>7.5</v>
      </c>
      <c r="AS4" s="31">
        <v>471</v>
      </c>
      <c r="AT4" s="31">
        <v>0</v>
      </c>
    </row>
    <row r="5" spans="1:46" x14ac:dyDescent="0.25">
      <c r="A5" s="7" t="s">
        <v>78</v>
      </c>
      <c r="B5" s="11">
        <v>4</v>
      </c>
      <c r="C5">
        <v>1</v>
      </c>
      <c r="D5">
        <v>0</v>
      </c>
      <c r="E5">
        <v>2</v>
      </c>
      <c r="F5">
        <v>1</v>
      </c>
      <c r="G5">
        <f>7/20</f>
        <v>0.35</v>
      </c>
      <c r="H5">
        <f>6/20</f>
        <v>0.3</v>
      </c>
      <c r="I5">
        <f>5/20</f>
        <v>0.25</v>
      </c>
      <c r="J5">
        <f>2/20</f>
        <v>0.1</v>
      </c>
      <c r="K5">
        <v>0</v>
      </c>
      <c r="L5">
        <v>0</v>
      </c>
      <c r="M5">
        <v>0</v>
      </c>
      <c r="N5">
        <v>0</v>
      </c>
      <c r="O5">
        <v>0</v>
      </c>
      <c r="P5" s="28">
        <v>40</v>
      </c>
      <c r="Q5" s="28">
        <f>AVERAGE(120,96,96,36)</f>
        <v>87</v>
      </c>
      <c r="R5" s="28">
        <f>AVERAGE(44,106,34,47)</f>
        <v>57.75</v>
      </c>
      <c r="S5" s="28">
        <f>AVERAGE(99,46,44,34)</f>
        <v>55.75</v>
      </c>
      <c r="T5" s="28">
        <f>AVERAGE(120,44,99)</f>
        <v>87.666666666666671</v>
      </c>
      <c r="U5" s="28">
        <f>AVERAGE(96,106,46)</f>
        <v>82.666666666666671</v>
      </c>
      <c r="V5" s="28">
        <f>AVERAGE(96,34,44)</f>
        <v>58</v>
      </c>
      <c r="W5" s="28">
        <f>AVERAGE(36,47,34)</f>
        <v>39</v>
      </c>
      <c r="X5" s="28">
        <v>0.5</v>
      </c>
      <c r="Y5" s="28">
        <f>AVERAGE(1,1,0.5,2)</f>
        <v>1.125</v>
      </c>
      <c r="Z5" s="28">
        <f>AVERAGE(2,0.5,3,1)</f>
        <v>1.625</v>
      </c>
      <c r="AA5" s="28">
        <f>AVERAGE(0.5,2,2,2)</f>
        <v>1.625</v>
      </c>
      <c r="AB5" s="28">
        <f>AVERAGE(1,2,0.5)</f>
        <v>1.1666666666666667</v>
      </c>
      <c r="AC5" s="28">
        <f>AVERAGE(1,0.5,2)</f>
        <v>1.1666666666666667</v>
      </c>
      <c r="AD5" s="28">
        <f>AVERAGE(0.5,3,2)</f>
        <v>1.8333333333333333</v>
      </c>
      <c r="AE5" s="28">
        <f>AVERAGE(2,1,2)</f>
        <v>1.6666666666666667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  <c r="AK5" s="31">
        <f>AVERAGE(9,10,5,8)</f>
        <v>8</v>
      </c>
      <c r="AL5" s="31">
        <f>AVERAGE(3,10,6,10)</f>
        <v>7.25</v>
      </c>
      <c r="AM5" s="31">
        <f>AVERAGE(5,10,7,10)</f>
        <v>8</v>
      </c>
      <c r="AN5" s="31">
        <f>AVERAGE(4,5,5,10)</f>
        <v>6</v>
      </c>
      <c r="AO5" s="31">
        <f>AVERAGE(9,3,5,4)</f>
        <v>5.25</v>
      </c>
      <c r="AP5" s="31">
        <f>AVERAGE(10,10,10,5)</f>
        <v>8.75</v>
      </c>
      <c r="AQ5" s="31">
        <f>AVERAGE(5,6,7,5)</f>
        <v>5.75</v>
      </c>
      <c r="AR5" s="31">
        <f>AVERAGE(8,10,10,10)</f>
        <v>9.5</v>
      </c>
      <c r="AS5" s="31">
        <v>538</v>
      </c>
      <c r="AT5" s="31">
        <v>95</v>
      </c>
    </row>
    <row r="6" spans="1:46" x14ac:dyDescent="0.25">
      <c r="A6" s="7" t="s">
        <v>79</v>
      </c>
      <c r="B6" s="11">
        <v>5</v>
      </c>
      <c r="C6">
        <v>1</v>
      </c>
      <c r="D6">
        <v>0</v>
      </c>
      <c r="E6">
        <v>2</v>
      </c>
      <c r="F6">
        <v>1</v>
      </c>
      <c r="G6">
        <f>2/20</f>
        <v>0.1</v>
      </c>
      <c r="H6">
        <f>10/20</f>
        <v>0.5</v>
      </c>
      <c r="I6">
        <f>7/20</f>
        <v>0.35</v>
      </c>
      <c r="J6">
        <v>0</v>
      </c>
      <c r="K6">
        <v>0</v>
      </c>
      <c r="L6">
        <v>0</v>
      </c>
      <c r="M6">
        <f>1/20</f>
        <v>0.05</v>
      </c>
      <c r="N6">
        <v>0</v>
      </c>
      <c r="O6">
        <v>0</v>
      </c>
      <c r="P6" s="28">
        <v>43</v>
      </c>
      <c r="Q6" s="28">
        <f>AVERAGE(82,50,77,46)</f>
        <v>63.75</v>
      </c>
      <c r="R6" s="28">
        <f>AVERAGE(60,79,57,61)</f>
        <v>64.25</v>
      </c>
      <c r="S6" s="28">
        <f>AVERAGE(40,58,45,53)</f>
        <v>49</v>
      </c>
      <c r="T6" s="28">
        <f>AVERAGE(82,60,40)</f>
        <v>60.666666666666664</v>
      </c>
      <c r="U6" s="28">
        <f>AVERAGE(50,79,58)</f>
        <v>62.333333333333336</v>
      </c>
      <c r="V6" s="28">
        <f>AVERAGE(77,57,45)</f>
        <v>59.666666666666664</v>
      </c>
      <c r="W6" s="28">
        <f>AVERAGE(46,61,53)</f>
        <v>53.333333333333336</v>
      </c>
      <c r="X6" s="28">
        <v>1</v>
      </c>
      <c r="Y6" s="28">
        <f>AVERAGE(0.5,1.5,0,2)</f>
        <v>1</v>
      </c>
      <c r="Z6" s="28">
        <f>AVERAGE(2,0,1,0.5)</f>
        <v>0.875</v>
      </c>
      <c r="AA6" s="28">
        <f>AVERAGE(1,0,1.5,3)</f>
        <v>1.375</v>
      </c>
      <c r="AB6" s="28">
        <f>AVERAGE(0.5,2,1)</f>
        <v>1.1666666666666667</v>
      </c>
      <c r="AC6" s="28">
        <f>AVERAGE(1.5,0,0)</f>
        <v>0.5</v>
      </c>
      <c r="AD6" s="28">
        <f>AVERAGE(0,1,1.5)</f>
        <v>0.83333333333333337</v>
      </c>
      <c r="AE6" s="28">
        <f>AVERAGE(2,0.5,3)</f>
        <v>1.8333333333333333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  <c r="AK6" s="31">
        <f>AVERAGE(10,7,7,6)</f>
        <v>7.5</v>
      </c>
      <c r="AL6" s="31">
        <f>AVERAGE(6,9,8,7)</f>
        <v>7.5</v>
      </c>
      <c r="AM6" s="31">
        <f>AVERAGE(7,9,7,8)</f>
        <v>7.75</v>
      </c>
      <c r="AN6" s="31">
        <f>AVERAGE(7,6,9,10)</f>
        <v>8</v>
      </c>
      <c r="AO6" s="31">
        <f>AVERAGE(10,6,7,7)</f>
        <v>7.5</v>
      </c>
      <c r="AP6" s="31">
        <f>AVERAGE(7,9,9,6)</f>
        <v>7.75</v>
      </c>
      <c r="AQ6" s="31">
        <f>AVERAGE(7,8,7,9)</f>
        <v>7.75</v>
      </c>
      <c r="AR6" s="31">
        <f>AVERAGE(6,7,8,10)</f>
        <v>7.75</v>
      </c>
      <c r="AS6" s="31">
        <v>334</v>
      </c>
      <c r="AT6" s="31">
        <v>94</v>
      </c>
    </row>
    <row r="7" spans="1:46" x14ac:dyDescent="0.25">
      <c r="A7" s="7" t="s">
        <v>80</v>
      </c>
      <c r="B7" s="11">
        <v>6</v>
      </c>
      <c r="C7">
        <v>1</v>
      </c>
      <c r="D7">
        <v>0</v>
      </c>
      <c r="E7">
        <v>2</v>
      </c>
      <c r="F7">
        <v>2</v>
      </c>
      <c r="G7">
        <v>0</v>
      </c>
      <c r="H7">
        <f>10/20</f>
        <v>0.5</v>
      </c>
      <c r="I7">
        <f>9/20</f>
        <v>0.45</v>
      </c>
      <c r="J7">
        <f>1/20</f>
        <v>0.05</v>
      </c>
      <c r="K7">
        <v>0</v>
      </c>
      <c r="L7">
        <v>0</v>
      </c>
      <c r="M7">
        <v>0</v>
      </c>
      <c r="N7">
        <v>0</v>
      </c>
      <c r="O7">
        <v>0</v>
      </c>
      <c r="P7" s="28">
        <v>24</v>
      </c>
      <c r="Q7" s="28">
        <f>AVERAGE(102,44,46,70)</f>
        <v>65.5</v>
      </c>
      <c r="R7" s="28">
        <f>AVERAGE(43,95,39,85)</f>
        <v>65.5</v>
      </c>
      <c r="S7" s="28">
        <f>AVERAGE(61,89,109,122)</f>
        <v>95.25</v>
      </c>
      <c r="T7" s="28">
        <f>AVERAGE(102,43,61)</f>
        <v>68.666666666666671</v>
      </c>
      <c r="U7" s="28">
        <f>AVERAGE(44,95,89)</f>
        <v>76</v>
      </c>
      <c r="V7" s="28">
        <f>AVERAGE(46,39,109)</f>
        <v>64.666666666666671</v>
      </c>
      <c r="W7" s="28">
        <f>AVERAGE(70,85,122)</f>
        <v>92.333333333333329</v>
      </c>
      <c r="X7" s="28">
        <v>1</v>
      </c>
      <c r="Y7" s="28">
        <f>AVERAGE(2,1,1,0.5)</f>
        <v>1.125</v>
      </c>
      <c r="Z7" s="28">
        <f>AVERAGE(1.5,1,0.5,1.5)</f>
        <v>1.125</v>
      </c>
      <c r="AA7" s="28">
        <f>AVERAGE(1,2,1,1)</f>
        <v>1.25</v>
      </c>
      <c r="AB7" s="28">
        <f>AVERAGE(2,1.5,1)</f>
        <v>1.5</v>
      </c>
      <c r="AC7" s="28">
        <f>AVERAGE(1,1,2)</f>
        <v>1.3333333333333333</v>
      </c>
      <c r="AD7" s="28">
        <f>AVERAGE(1,0.5,1)</f>
        <v>0.83333333333333337</v>
      </c>
      <c r="AE7" s="28">
        <f>AVERAGE(0.5,1.5,1)</f>
        <v>1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f>AVERAGE(10,10,3,10)</f>
        <v>8.25</v>
      </c>
      <c r="AL7" s="31">
        <f>AVERAGE(10,10,7,10)</f>
        <v>9.25</v>
      </c>
      <c r="AM7" s="31">
        <f>AVERAGE(4,10,7,10)</f>
        <v>7.75</v>
      </c>
      <c r="AN7" s="31">
        <f>AVERAGE(10,10,3,10)</f>
        <v>8.25</v>
      </c>
      <c r="AO7" s="31">
        <f>AVERAGE(10,10,10,4)</f>
        <v>8.5</v>
      </c>
      <c r="AP7" s="31">
        <v>10</v>
      </c>
      <c r="AQ7" s="31">
        <f>AVERAGE(3,7,7,3)</f>
        <v>5</v>
      </c>
      <c r="AR7" s="31">
        <v>10</v>
      </c>
      <c r="AS7" s="31">
        <v>925</v>
      </c>
      <c r="AT7" s="31">
        <v>121</v>
      </c>
    </row>
    <row r="8" spans="1:46" x14ac:dyDescent="0.25">
      <c r="A8" s="7" t="s">
        <v>81</v>
      </c>
      <c r="B8" s="11">
        <v>7</v>
      </c>
      <c r="C8">
        <v>1</v>
      </c>
      <c r="D8">
        <v>0</v>
      </c>
      <c r="E8">
        <v>2</v>
      </c>
      <c r="F8">
        <v>2</v>
      </c>
      <c r="G8">
        <v>0</v>
      </c>
      <c r="H8">
        <f>9/20</f>
        <v>0.45</v>
      </c>
      <c r="I8">
        <f>11/20</f>
        <v>0.55000000000000004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8">
        <v>123</v>
      </c>
      <c r="Q8" s="28">
        <f>AVERAGE(86,113,97,142)</f>
        <v>109.5</v>
      </c>
      <c r="R8" s="28">
        <f>AVERAGE(79,59,118,82)</f>
        <v>84.5</v>
      </c>
      <c r="S8" s="28">
        <f>AVERAGE(121,150.5,102,97)</f>
        <v>117.625</v>
      </c>
      <c r="T8" s="28">
        <f>AVERAGE(86,79,121)</f>
        <v>95.333333333333329</v>
      </c>
      <c r="U8" s="28">
        <f>AVERAGE(113,59,150.5)</f>
        <v>107.5</v>
      </c>
      <c r="V8" s="28">
        <f>AVERAGE(97,118,102)</f>
        <v>105.66666666666667</v>
      </c>
      <c r="W8" s="28">
        <f>AVERAGE(142,82,97)</f>
        <v>107</v>
      </c>
      <c r="X8" s="28">
        <v>3</v>
      </c>
      <c r="Y8" s="28">
        <f>AVERAGE(2.5,1.5,3,1.5)</f>
        <v>2.125</v>
      </c>
      <c r="Z8" s="28">
        <f>AVERAGE(2,1,4,2)</f>
        <v>2.25</v>
      </c>
      <c r="AA8" s="28">
        <f>AVERAGE(2,2,2,1.5)</f>
        <v>1.875</v>
      </c>
      <c r="AB8" s="28">
        <f>AVERAGE(2.5,2,2)</f>
        <v>2.1666666666666665</v>
      </c>
      <c r="AC8" s="28">
        <f>AVERAGE(1.5,1,2)</f>
        <v>1.5</v>
      </c>
      <c r="AD8" s="28">
        <f>AVERAGE(3,4,2)</f>
        <v>3</v>
      </c>
      <c r="AE8" s="28">
        <f>AVERAGE(1.5,2,1.5)</f>
        <v>1.6666666666666667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  <c r="AK8" s="31">
        <f>AVERAGE(10,10,9,10)</f>
        <v>9.75</v>
      </c>
      <c r="AL8" s="31">
        <f>AVERAGE(10,9,9,10)</f>
        <v>9.5</v>
      </c>
      <c r="AM8" s="31">
        <f>AVERAGE(9,7,8,9)</f>
        <v>8.25</v>
      </c>
      <c r="AN8" s="31">
        <f>AVERAGE(7,6,8,10)</f>
        <v>7.75</v>
      </c>
      <c r="AO8" s="31">
        <f>AVERAGE(10,10,9,7)</f>
        <v>9</v>
      </c>
      <c r="AP8" s="31">
        <f>AVERAGE(10,9,7,6)</f>
        <v>8</v>
      </c>
      <c r="AQ8" s="31">
        <f>AVERAGE(9,9,8,8)</f>
        <v>8.5</v>
      </c>
      <c r="AR8" s="31">
        <f>AVERAGE(10,10,9,10)</f>
        <v>9.75</v>
      </c>
      <c r="AS8" s="31">
        <v>880</v>
      </c>
      <c r="AT8" s="31">
        <v>25</v>
      </c>
    </row>
    <row r="9" spans="1:46" x14ac:dyDescent="0.25">
      <c r="A9" s="7" t="s">
        <v>82</v>
      </c>
      <c r="B9" s="11">
        <v>8</v>
      </c>
      <c r="C9">
        <v>1</v>
      </c>
      <c r="D9">
        <v>0</v>
      </c>
      <c r="E9">
        <v>1</v>
      </c>
      <c r="F9">
        <v>1</v>
      </c>
      <c r="G9">
        <v>0</v>
      </c>
      <c r="H9">
        <f>12/20</f>
        <v>0.6</v>
      </c>
      <c r="I9">
        <f>6/20</f>
        <v>0.3</v>
      </c>
      <c r="J9">
        <f>2/20</f>
        <v>0.1</v>
      </c>
      <c r="K9">
        <v>0</v>
      </c>
      <c r="L9">
        <v>0</v>
      </c>
      <c r="M9">
        <v>0</v>
      </c>
      <c r="N9">
        <v>0</v>
      </c>
      <c r="O9">
        <v>0</v>
      </c>
      <c r="P9" s="28">
        <v>71</v>
      </c>
      <c r="Q9" s="28">
        <f>AVERAGE(50,87,35,75.5)</f>
        <v>61.875</v>
      </c>
      <c r="R9" s="28">
        <f>AVERAGE(68.5,66,51,63.5)</f>
        <v>62.25</v>
      </c>
      <c r="S9" s="28">
        <f>AVERAGE(70,57,91.5,52)</f>
        <v>67.625</v>
      </c>
      <c r="T9" s="28">
        <f>AVERAGE(50,68.5,70)</f>
        <v>62.833333333333336</v>
      </c>
      <c r="U9" s="28">
        <f>AVERAGE(87,66,57)</f>
        <v>70</v>
      </c>
      <c r="V9" s="28">
        <f>AVERAGE(35,51,91.5)</f>
        <v>59.166666666666664</v>
      </c>
      <c r="W9" s="28">
        <f>AVERAGE(75.5,63.5,52)</f>
        <v>63.666666666666664</v>
      </c>
      <c r="X9" s="28">
        <v>3.5</v>
      </c>
      <c r="Y9" s="28">
        <f>AVERAGE(2,0.5,0.5,1.5)</f>
        <v>1.125</v>
      </c>
      <c r="Z9" s="28">
        <v>1</v>
      </c>
      <c r="AA9" s="28">
        <f>AVERAGE(1.5,1,1,2)</f>
        <v>1.375</v>
      </c>
      <c r="AB9" s="28">
        <f>AVERAGE(2,1,1.5)</f>
        <v>1.5</v>
      </c>
      <c r="AC9" s="28">
        <f>AVERAGE(0.5,1,1)</f>
        <v>0.83333333333333337</v>
      </c>
      <c r="AD9" s="28">
        <f>AVERAGE(0.5,1,1)</f>
        <v>0.83333333333333337</v>
      </c>
      <c r="AE9" s="28">
        <f>AVERAGE(1.5,1,2)</f>
        <v>1.5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f>AVERAGE(6,6,4,5)</f>
        <v>5.25</v>
      </c>
      <c r="AL9" s="31">
        <f>AVERAGE(6,4,5,4)</f>
        <v>4.75</v>
      </c>
      <c r="AM9" s="31">
        <f>AVERAGE(7,5,4,6)</f>
        <v>5.5</v>
      </c>
      <c r="AN9" s="31">
        <f>AVERAGE(3,5,6,5)</f>
        <v>4.75</v>
      </c>
      <c r="AO9" s="31">
        <f>AVERAGE(6,6,7,3)</f>
        <v>5.5</v>
      </c>
      <c r="AP9" s="31">
        <f>AVERAGE(6,4,5,5)</f>
        <v>5</v>
      </c>
      <c r="AQ9" s="31">
        <f>AVERAGE(4,5,4,6)</f>
        <v>4.75</v>
      </c>
      <c r="AR9" s="31">
        <f>AVERAGE(5,4,6,5)</f>
        <v>5</v>
      </c>
      <c r="AS9" s="31">
        <v>877</v>
      </c>
      <c r="AT9" s="31">
        <v>29</v>
      </c>
    </row>
    <row r="10" spans="1:46" x14ac:dyDescent="0.25">
      <c r="A10" s="7" t="s">
        <v>83</v>
      </c>
      <c r="B10" s="11">
        <v>9</v>
      </c>
      <c r="C10">
        <v>1</v>
      </c>
      <c r="D10">
        <v>0</v>
      </c>
      <c r="E10">
        <v>2</v>
      </c>
      <c r="F10">
        <v>1</v>
      </c>
      <c r="G10">
        <v>0</v>
      </c>
      <c r="H10">
        <f>6/20</f>
        <v>0.3</v>
      </c>
      <c r="I10">
        <f>9/20</f>
        <v>0.45</v>
      </c>
      <c r="J10">
        <f>5/20</f>
        <v>0.25</v>
      </c>
      <c r="K10">
        <v>0</v>
      </c>
      <c r="L10">
        <v>0</v>
      </c>
      <c r="M10">
        <v>0</v>
      </c>
      <c r="N10">
        <v>0</v>
      </c>
      <c r="O10">
        <v>0</v>
      </c>
      <c r="P10" s="28">
        <v>44</v>
      </c>
      <c r="Q10" s="28">
        <f>AVERAGE(55,56,54.5,63.5)</f>
        <v>57.25</v>
      </c>
      <c r="R10" s="28">
        <f>AVERAGE(74,56.5,51,49)</f>
        <v>57.625</v>
      </c>
      <c r="S10" s="28">
        <f>AVERAGE(89,49,47,48.5)</f>
        <v>58.375</v>
      </c>
      <c r="T10" s="28">
        <f>AVERAGE(55,74,89)</f>
        <v>72.666666666666671</v>
      </c>
      <c r="U10" s="28">
        <f>AVERAGE(56,56.5,49)</f>
        <v>53.833333333333336</v>
      </c>
      <c r="V10" s="28">
        <f>AVERAGE(54.5,51,47)</f>
        <v>50.833333333333336</v>
      </c>
      <c r="W10" s="28">
        <f>AVERAGE(63.5,49,48.5)</f>
        <v>53.666666666666664</v>
      </c>
      <c r="X10" s="28">
        <v>1.5</v>
      </c>
      <c r="Y10" s="28">
        <f>AVERAGE(1.5,2,3,2)</f>
        <v>2.125</v>
      </c>
      <c r="Z10" s="28">
        <f>AVERAGE(1.5,2,1.5,2.5)</f>
        <v>1.875</v>
      </c>
      <c r="AA10" s="28">
        <f>AVERAGE(1,2,3,0.5)</f>
        <v>1.625</v>
      </c>
      <c r="AB10" s="28">
        <f>AVERAGE(1.5,1.5,1)</f>
        <v>1.3333333333333333</v>
      </c>
      <c r="AC10" s="28">
        <v>2</v>
      </c>
      <c r="AD10" s="28">
        <f>AVERAGE(3,1.5,3)</f>
        <v>2.5</v>
      </c>
      <c r="AE10" s="28">
        <f>AVERAGE(2,2.5,0.5)</f>
        <v>1.6666666666666667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f>AVERAGE(7,8,6,5)</f>
        <v>6.5</v>
      </c>
      <c r="AL10" s="31">
        <f>AVERAGE(6,8,9,8)</f>
        <v>7.75</v>
      </c>
      <c r="AM10" s="31">
        <f>AVERAGE(5,5,6,6)</f>
        <v>5.5</v>
      </c>
      <c r="AN10" s="31">
        <f>AVERAGE(5,8,6,7)</f>
        <v>6.5</v>
      </c>
      <c r="AO10" s="31">
        <f>AVERAGE(7,6,5,5)</f>
        <v>5.75</v>
      </c>
      <c r="AP10" s="31">
        <f>AVERAGE(8,8,5,8)</f>
        <v>7.25</v>
      </c>
      <c r="AQ10" s="31">
        <f>AVERAGE(6,9,6,6)</f>
        <v>6.75</v>
      </c>
      <c r="AR10" s="31">
        <f>AVERAGE(5,8,6,7)</f>
        <v>6.5</v>
      </c>
      <c r="AS10" s="31">
        <v>815</v>
      </c>
      <c r="AT10" s="31">
        <v>112</v>
      </c>
    </row>
    <row r="11" spans="1:46" x14ac:dyDescent="0.25">
      <c r="A11" s="7" t="s">
        <v>84</v>
      </c>
      <c r="B11" s="11">
        <v>10</v>
      </c>
      <c r="C11">
        <v>1</v>
      </c>
      <c r="D11">
        <v>0</v>
      </c>
      <c r="E11">
        <v>2</v>
      </c>
      <c r="F11">
        <v>2</v>
      </c>
      <c r="G11">
        <f>1/20</f>
        <v>0.05</v>
      </c>
      <c r="H11">
        <f>1/20</f>
        <v>0.05</v>
      </c>
      <c r="I11">
        <f>15/20</f>
        <v>0.75</v>
      </c>
      <c r="J11">
        <f>2/20</f>
        <v>0.1</v>
      </c>
      <c r="K11">
        <v>0</v>
      </c>
      <c r="L11">
        <v>0</v>
      </c>
      <c r="M11">
        <f>1/20</f>
        <v>0.05</v>
      </c>
      <c r="N11">
        <v>0</v>
      </c>
      <c r="O11">
        <v>0</v>
      </c>
      <c r="P11" s="28">
        <v>46.5</v>
      </c>
      <c r="Q11" s="28">
        <f>AVERAGE(42,70,57.5,44)</f>
        <v>53.375</v>
      </c>
      <c r="R11" s="28">
        <f>AVERAGE(73,66,60.5,1-9.5)</f>
        <v>47.75</v>
      </c>
      <c r="S11" s="28">
        <f>AVERAGE(69,59.5,61,72)</f>
        <v>65.375</v>
      </c>
      <c r="T11" s="28">
        <f>AVERAGE(42,73,69)</f>
        <v>61.333333333333336</v>
      </c>
      <c r="U11" s="28">
        <f>AVERAGE(70,66,59.5)</f>
        <v>65.166666666666671</v>
      </c>
      <c r="V11" s="28">
        <f>AVERAGE(57.5,60.5,61)</f>
        <v>59.666666666666664</v>
      </c>
      <c r="W11" s="28">
        <f>AVERAGE(44,109.5,72)</f>
        <v>75.166666666666671</v>
      </c>
      <c r="X11" s="28">
        <v>4</v>
      </c>
      <c r="Y11" s="28">
        <f>AVERAGE(0,1,2,3)</f>
        <v>1.5</v>
      </c>
      <c r="Z11" s="28">
        <f>AVERAGE(3,1.5,1,3.5)</f>
        <v>2.25</v>
      </c>
      <c r="AA11" s="28">
        <f>AVERAGE(3,1,0.5,0)</f>
        <v>1.125</v>
      </c>
      <c r="AB11" s="28">
        <f>AVERAGE(0,3,3)</f>
        <v>2</v>
      </c>
      <c r="AC11" s="28">
        <f>AVERAGE(1,1.5,1)</f>
        <v>1.1666666666666667</v>
      </c>
      <c r="AD11" s="28">
        <f>AVERAGE(2,1,0.5)</f>
        <v>1.1666666666666667</v>
      </c>
      <c r="AE11" s="28">
        <f>AVERAGE(3,3.5,0)</f>
        <v>2.1666666666666665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f>AVERAGE(10,4,5,10)</f>
        <v>7.25</v>
      </c>
      <c r="AL11" s="31">
        <f>AVERAGE(10,9,7,10)</f>
        <v>9</v>
      </c>
      <c r="AM11" s="31">
        <f>AVERAGE(10,10,7,10)</f>
        <v>9.25</v>
      </c>
      <c r="AN11" s="31">
        <f>AVERAGE(9,9,5,9)</f>
        <v>8</v>
      </c>
      <c r="AO11" s="31">
        <f>AVERAGE(10,10,10,9)</f>
        <v>9.75</v>
      </c>
      <c r="AP11" s="31">
        <f>AVERAGE(4,9,10,9)</f>
        <v>8</v>
      </c>
      <c r="AQ11" s="31">
        <f>AVERAGE(5,7,7,5)</f>
        <v>6</v>
      </c>
      <c r="AR11" s="31">
        <f>AVERAGE(10,10,10,9)</f>
        <v>9.75</v>
      </c>
      <c r="AS11" s="31">
        <v>842</v>
      </c>
      <c r="AT11" s="31">
        <v>193</v>
      </c>
    </row>
    <row r="12" spans="1:46" x14ac:dyDescent="0.25">
      <c r="A12" s="7" t="s">
        <v>85</v>
      </c>
      <c r="B12" s="11">
        <v>11</v>
      </c>
      <c r="C12">
        <v>1</v>
      </c>
      <c r="D12">
        <v>0</v>
      </c>
      <c r="E12">
        <v>2</v>
      </c>
      <c r="F12">
        <v>2</v>
      </c>
      <c r="G12">
        <f>2/20</f>
        <v>0.1</v>
      </c>
      <c r="H12">
        <f>5/20</f>
        <v>0.25</v>
      </c>
      <c r="I12">
        <f>11/20</f>
        <v>0.55000000000000004</v>
      </c>
      <c r="J12">
        <f>2/20</f>
        <v>0.1</v>
      </c>
      <c r="K12">
        <v>0</v>
      </c>
      <c r="L12">
        <v>0</v>
      </c>
      <c r="M12">
        <f>1/20</f>
        <v>0.05</v>
      </c>
      <c r="N12">
        <v>0</v>
      </c>
      <c r="O12">
        <v>0</v>
      </c>
      <c r="P12" s="28">
        <v>42</v>
      </c>
      <c r="Q12" s="28">
        <f>AVERAGE(56,38,59,73.5)</f>
        <v>56.625</v>
      </c>
      <c r="R12" s="28">
        <f>AVERAGE(64.5,48,137,62)</f>
        <v>77.875</v>
      </c>
      <c r="S12" s="28">
        <f>AVERAGE(41,189.5,36.5,47.5)</f>
        <v>78.625</v>
      </c>
      <c r="T12" s="28">
        <f>AVERAGE(56,64.5,41)</f>
        <v>53.833333333333336</v>
      </c>
      <c r="U12" s="28">
        <f>AVERAGE(38,48,189.5)</f>
        <v>91.833333333333329</v>
      </c>
      <c r="V12" s="28">
        <f>AVERAGE(59,137,36.5)</f>
        <v>77.5</v>
      </c>
      <c r="W12" s="28">
        <f>AVERAGE(73.5,62,47.5)</f>
        <v>61</v>
      </c>
      <c r="X12" s="28">
        <v>2</v>
      </c>
      <c r="Y12" s="28">
        <f>AVERAGE(1,2.5,4,4)</f>
        <v>2.875</v>
      </c>
      <c r="Z12" s="28">
        <f>AVERAGE(3.5,2,2.5,2)</f>
        <v>2.5</v>
      </c>
      <c r="AA12" s="28">
        <f>AVERAGE(3,4.5,1,0)</f>
        <v>2.125</v>
      </c>
      <c r="AB12" s="28">
        <f>AVERAGE(1,3.5,3)</f>
        <v>2.5</v>
      </c>
      <c r="AC12" s="28">
        <f>AVERAGE(2.5,2,4.5)</f>
        <v>3</v>
      </c>
      <c r="AD12" s="28">
        <f>AVERAGE(4,2.5,1)</f>
        <v>2.5</v>
      </c>
      <c r="AE12" s="28">
        <f>AVERAGE(4,2,0)</f>
        <v>2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  <c r="AK12" s="31">
        <f>AVERAGE(9,4,7,10)</f>
        <v>7.5</v>
      </c>
      <c r="AL12" s="31">
        <f>AVERAGE(10,6,8,10)</f>
        <v>8.5</v>
      </c>
      <c r="AM12" s="31">
        <f>AVERAGE(5,9,10,7)</f>
        <v>7.75</v>
      </c>
      <c r="AN12" s="31">
        <f>AVERAGE(8,10,5,10)</f>
        <v>8.25</v>
      </c>
      <c r="AO12" s="31">
        <f>AVERAGE(9,10,5,8)</f>
        <v>8</v>
      </c>
      <c r="AP12" s="31">
        <f>AVERAGE(4,6,9,10)</f>
        <v>7.25</v>
      </c>
      <c r="AQ12" s="31">
        <f>AVERAGE(7,8,10,5)</f>
        <v>7.5</v>
      </c>
      <c r="AR12" s="31">
        <f>AVERAGE(10,10,7,10)</f>
        <v>9.25</v>
      </c>
      <c r="AS12" s="31">
        <v>810</v>
      </c>
      <c r="AT12" s="31">
        <v>110</v>
      </c>
    </row>
    <row r="13" spans="1:46" x14ac:dyDescent="0.25">
      <c r="A13" s="7" t="s">
        <v>86</v>
      </c>
      <c r="B13" s="11">
        <v>12</v>
      </c>
      <c r="C13">
        <v>1</v>
      </c>
      <c r="D13">
        <v>0</v>
      </c>
      <c r="E13">
        <v>2</v>
      </c>
      <c r="F13">
        <v>2</v>
      </c>
      <c r="G13">
        <v>0</v>
      </c>
      <c r="H13">
        <f>4/20</f>
        <v>0.2</v>
      </c>
      <c r="I13">
        <f>14/20</f>
        <v>0.7</v>
      </c>
      <c r="J13">
        <f>1/20</f>
        <v>0.05</v>
      </c>
      <c r="K13">
        <v>0</v>
      </c>
      <c r="L13">
        <v>0</v>
      </c>
      <c r="M13">
        <f>1/20</f>
        <v>0.05</v>
      </c>
      <c r="N13">
        <v>0</v>
      </c>
      <c r="O13">
        <v>0</v>
      </c>
      <c r="P13" s="28">
        <v>63</v>
      </c>
      <c r="Q13" s="28">
        <f>AVERAGE(99,72,77,59)</f>
        <v>76.75</v>
      </c>
      <c r="R13" s="28">
        <f>AVERAGE(96.5,77,86,73.5)</f>
        <v>83.25</v>
      </c>
      <c r="S13" s="28">
        <f>AVERAGE(82,61,102.5,83.5)</f>
        <v>82.25</v>
      </c>
      <c r="T13" s="28">
        <f>AVERAGE(99,96.5,82)</f>
        <v>92.5</v>
      </c>
      <c r="U13" s="28">
        <f>AVERAGE(72,77,61)</f>
        <v>70</v>
      </c>
      <c r="V13" s="28">
        <f>AVERAGE(77,86,102.5)</f>
        <v>88.5</v>
      </c>
      <c r="W13" s="28">
        <f>AVERAGE(59,73.5,83.5)</f>
        <v>72</v>
      </c>
      <c r="X13" s="28">
        <v>0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D13" s="28">
        <v>0</v>
      </c>
      <c r="AE13" s="28">
        <v>0</v>
      </c>
      <c r="AF13" s="31">
        <v>0</v>
      </c>
      <c r="AG13" s="31">
        <v>0</v>
      </c>
      <c r="AH13" s="31">
        <v>0</v>
      </c>
      <c r="AI13" s="31">
        <v>0</v>
      </c>
      <c r="AJ13" s="31">
        <v>0</v>
      </c>
      <c r="AK13" s="31">
        <f>AVERAGE(9,10,10,7)</f>
        <v>9</v>
      </c>
      <c r="AL13" s="31">
        <f>AVERAGE(9,10,10,6)</f>
        <v>8.75</v>
      </c>
      <c r="AM13" s="31">
        <f>AVERAGE(8,9,10,6)</f>
        <v>8.25</v>
      </c>
      <c r="AN13" s="31">
        <f>AVERAGE(8,7,8,7)</f>
        <v>7.5</v>
      </c>
      <c r="AO13" s="31">
        <f>AVERAGE(9,9,8,8)</f>
        <v>8.5</v>
      </c>
      <c r="AP13" s="31">
        <f>AVERAGE(10,10,9,7)</f>
        <v>9</v>
      </c>
      <c r="AQ13" s="31">
        <f>AVERAGE(10,10,10,8)</f>
        <v>9.5</v>
      </c>
      <c r="AR13" s="31">
        <f>AVERAGE(7,6,6,7)</f>
        <v>6.5</v>
      </c>
      <c r="AS13" s="31">
        <v>1230</v>
      </c>
      <c r="AT13" s="31">
        <v>36</v>
      </c>
    </row>
    <row r="14" spans="1:46" x14ac:dyDescent="0.25">
      <c r="A14" s="7" t="s">
        <v>87</v>
      </c>
      <c r="B14" s="11">
        <v>13</v>
      </c>
      <c r="C14">
        <v>1</v>
      </c>
      <c r="D14">
        <v>0</v>
      </c>
      <c r="E14">
        <v>2</v>
      </c>
      <c r="F14">
        <v>1</v>
      </c>
      <c r="G14">
        <f>6/20</f>
        <v>0.3</v>
      </c>
      <c r="H14">
        <f>3/20</f>
        <v>0.15</v>
      </c>
      <c r="I14">
        <f>9/20</f>
        <v>0.45</v>
      </c>
      <c r="J14">
        <f>1/20</f>
        <v>0.05</v>
      </c>
      <c r="K14">
        <v>0</v>
      </c>
      <c r="L14">
        <v>0</v>
      </c>
      <c r="M14">
        <f>1/20</f>
        <v>0.05</v>
      </c>
      <c r="N14">
        <v>0</v>
      </c>
      <c r="O14">
        <v>0</v>
      </c>
      <c r="P14" s="28">
        <v>72</v>
      </c>
      <c r="Q14" s="28">
        <f>AVERAGE(57,67,62,55)</f>
        <v>60.25</v>
      </c>
      <c r="R14" s="28">
        <f>AVERAGE(41,72,33,48)</f>
        <v>48.5</v>
      </c>
      <c r="S14" s="28">
        <f>AVERAGE(35,35,23,57)</f>
        <v>37.5</v>
      </c>
      <c r="T14" s="28">
        <f>AVERAGE(57,41,35)</f>
        <v>44.333333333333336</v>
      </c>
      <c r="U14" s="28">
        <f>AVERAGE(67,72,35)</f>
        <v>58</v>
      </c>
      <c r="V14" s="28">
        <f>AVERAGE(62,33,23)</f>
        <v>39.333333333333336</v>
      </c>
      <c r="W14" s="28">
        <f>AVERAGE(55,48,57)</f>
        <v>53.333333333333336</v>
      </c>
      <c r="X14" s="28">
        <v>2</v>
      </c>
      <c r="Y14" s="28">
        <f>AVERAGE(1,3,2,2)</f>
        <v>2</v>
      </c>
      <c r="Z14" s="28">
        <f>AVERAGE(2.5,2,2.5,3.5)</f>
        <v>2.625</v>
      </c>
      <c r="AA14" s="28">
        <f>AVERAGE(1,3,1,4)</f>
        <v>2.25</v>
      </c>
      <c r="AB14" s="28">
        <f>AVERAGE(1,2.5,1)</f>
        <v>1.5</v>
      </c>
      <c r="AC14" s="28">
        <f>AVERAGE(3,2,3)</f>
        <v>2.6666666666666665</v>
      </c>
      <c r="AD14" s="28">
        <f>AVERAGE(2,2.5,1)</f>
        <v>1.8333333333333333</v>
      </c>
      <c r="AE14" s="28">
        <f>AVERAGE(2,3.5,4)</f>
        <v>3.1666666666666665</v>
      </c>
      <c r="AF14" s="31">
        <v>0</v>
      </c>
      <c r="AG14" s="31">
        <v>0</v>
      </c>
      <c r="AH14" s="31">
        <v>0</v>
      </c>
      <c r="AI14" s="31">
        <v>0</v>
      </c>
      <c r="AJ14" s="31">
        <v>0</v>
      </c>
      <c r="AK14" s="31">
        <f>AVERAGE(7,8,6,6)</f>
        <v>6.75</v>
      </c>
      <c r="AL14" s="31">
        <f>AVERAGE(4,7,6,6)</f>
        <v>5.75</v>
      </c>
      <c r="AM14" s="31">
        <f>AVERAGE(5,7,4,6)</f>
        <v>5.5</v>
      </c>
      <c r="AN14" s="31">
        <f>AVERAGE(6,4,6,8)</f>
        <v>6</v>
      </c>
      <c r="AO14" s="31">
        <f>AVERAGE(7,4,5,6)</f>
        <v>5.5</v>
      </c>
      <c r="AP14" s="31">
        <f>AVERAGE(8,7,7,4)</f>
        <v>6.5</v>
      </c>
      <c r="AQ14" s="31">
        <f>AVERAGE(6,6,4,6)</f>
        <v>5.5</v>
      </c>
      <c r="AR14" s="31">
        <f>AVERAGE(6,6,6,8)</f>
        <v>6.5</v>
      </c>
      <c r="AS14" s="31">
        <v>610</v>
      </c>
      <c r="AT14" s="31">
        <v>431</v>
      </c>
    </row>
    <row r="15" spans="1:46" x14ac:dyDescent="0.25">
      <c r="A15" s="7" t="s">
        <v>88</v>
      </c>
      <c r="B15" s="11">
        <v>14</v>
      </c>
      <c r="C15">
        <v>1</v>
      </c>
      <c r="D15">
        <v>0</v>
      </c>
      <c r="E15">
        <v>4</v>
      </c>
      <c r="F15">
        <v>3</v>
      </c>
      <c r="G15">
        <v>0</v>
      </c>
      <c r="H15">
        <f>6/20</f>
        <v>0.3</v>
      </c>
      <c r="I15">
        <f>14/20</f>
        <v>0.7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28">
        <v>14</v>
      </c>
      <c r="Q15" s="28">
        <f>AVERAGE(87.5,57,38,96.5)</f>
        <v>69.75</v>
      </c>
      <c r="R15" s="28">
        <f>AVERAGE(68.5,117,115.5,149)</f>
        <v>112.5</v>
      </c>
      <c r="S15" s="28">
        <f>AVERAGE(82.5,133,84,100)</f>
        <v>99.875</v>
      </c>
      <c r="T15" s="28">
        <f>AVERAGE(87.5,68.5,82.5)</f>
        <v>79.5</v>
      </c>
      <c r="U15" s="28">
        <f>AVERAGE(57,117,133)</f>
        <v>102.33333333333333</v>
      </c>
      <c r="V15" s="28">
        <f>AVERAGE(38,115.5,84)</f>
        <v>79.166666666666671</v>
      </c>
      <c r="W15" s="28">
        <f>AVERAGE(96.5,149,100)</f>
        <v>115.16666666666667</v>
      </c>
      <c r="X15" s="28">
        <v>0.5</v>
      </c>
      <c r="Y15" s="28">
        <v>0.5</v>
      </c>
      <c r="Z15" s="28">
        <f>AVERAGE(0.5,0,0,0)</f>
        <v>0.125</v>
      </c>
      <c r="AA15" s="28">
        <f>AVERAGE(1.5,2,0.5,0)</f>
        <v>1</v>
      </c>
      <c r="AB15" s="28">
        <f>AVERAGE(0.5,0.5,1.5)</f>
        <v>0.83333333333333337</v>
      </c>
      <c r="AC15" s="28">
        <f>AVERAGE(0.5,0,2)</f>
        <v>0.83333333333333337</v>
      </c>
      <c r="AD15" s="28">
        <f>AVERAGE(0.5,0,0.5)</f>
        <v>0.33333333333333331</v>
      </c>
      <c r="AE15" s="28">
        <f>AVERAGE(0.5,0,0)</f>
        <v>0.16666666666666666</v>
      </c>
      <c r="AF15" s="31">
        <v>0</v>
      </c>
      <c r="AG15" s="31">
        <v>0</v>
      </c>
      <c r="AH15" s="31">
        <v>0</v>
      </c>
      <c r="AI15" s="31">
        <v>0</v>
      </c>
      <c r="AJ15" s="31">
        <v>0</v>
      </c>
      <c r="AK15" s="31">
        <f>AVERAGE(6,10,10,4)</f>
        <v>7.5</v>
      </c>
      <c r="AL15" s="31">
        <f>AVERAGE(6,10,10,6)</f>
        <v>8</v>
      </c>
      <c r="AM15" s="31">
        <f>AVERAGE(10,10,10,6)</f>
        <v>9</v>
      </c>
      <c r="AN15" s="31">
        <v>10</v>
      </c>
      <c r="AO15" s="31">
        <f>AVERAGE(6,6,10,10)</f>
        <v>8</v>
      </c>
      <c r="AP15" s="31">
        <v>10</v>
      </c>
      <c r="AQ15" s="31">
        <v>10</v>
      </c>
      <c r="AR15" s="31">
        <f>AVERAGE(4,6,6,10)</f>
        <v>6.5</v>
      </c>
      <c r="AS15" s="31">
        <v>573</v>
      </c>
      <c r="AT15" s="31">
        <v>145</v>
      </c>
    </row>
    <row r="16" spans="1:46" x14ac:dyDescent="0.25">
      <c r="A16" s="7" t="s">
        <v>89</v>
      </c>
      <c r="B16" s="11">
        <v>15</v>
      </c>
      <c r="C16">
        <v>1</v>
      </c>
      <c r="D16">
        <v>0</v>
      </c>
      <c r="E16">
        <v>4</v>
      </c>
      <c r="F16">
        <v>3</v>
      </c>
      <c r="G16">
        <v>0</v>
      </c>
      <c r="H16">
        <f>10/20</f>
        <v>0.5</v>
      </c>
      <c r="I16">
        <f>6/20</f>
        <v>0.3</v>
      </c>
      <c r="J16">
        <f>4/20</f>
        <v>0.2</v>
      </c>
      <c r="K16">
        <v>0</v>
      </c>
      <c r="L16">
        <v>0</v>
      </c>
      <c r="M16">
        <v>0</v>
      </c>
      <c r="N16">
        <v>0</v>
      </c>
      <c r="O16">
        <v>0</v>
      </c>
      <c r="P16" s="28">
        <v>70</v>
      </c>
      <c r="Q16" s="28">
        <f>AVERAGE(63,57,77,75)</f>
        <v>68</v>
      </c>
      <c r="R16" s="28">
        <f>AVERAGE(67,61,73.5,99)</f>
        <v>75.125</v>
      </c>
      <c r="S16" s="28">
        <f>AVERAGE(49,55,47.5,76)</f>
        <v>56.875</v>
      </c>
      <c r="T16" s="28">
        <f>AVERAGE(63,67,49)</f>
        <v>59.666666666666664</v>
      </c>
      <c r="U16" s="28">
        <f>AVERAGE(57,61,5)</f>
        <v>41</v>
      </c>
      <c r="V16" s="28">
        <f>AVERAGE(77,73.5,47.5)</f>
        <v>66</v>
      </c>
      <c r="W16" s="28">
        <f>AVERAGE(75,99,76)</f>
        <v>83.333333333333329</v>
      </c>
      <c r="X16" s="28">
        <v>0.5</v>
      </c>
      <c r="Y16" s="28">
        <f>AVERAGE(1,3,0.5,0.5)</f>
        <v>1.25</v>
      </c>
      <c r="Z16" s="28">
        <f>AVERAGE(1.5,2,0,0)</f>
        <v>0.875</v>
      </c>
      <c r="AA16" s="28">
        <f>AVERAGE(2,0,0,1)</f>
        <v>0.75</v>
      </c>
      <c r="AB16" s="28">
        <f>AVERAGE(1,1.5,2)</f>
        <v>1.5</v>
      </c>
      <c r="AC16" s="28">
        <f>AVERAGE(3,2,0)</f>
        <v>1.6666666666666667</v>
      </c>
      <c r="AD16" s="28">
        <f>AVERAGE(0.5,0,0)</f>
        <v>0.16666666666666666</v>
      </c>
      <c r="AE16" s="28">
        <f>AVERAGE(0.5,0,1)</f>
        <v>0.5</v>
      </c>
      <c r="AF16" s="31">
        <v>0</v>
      </c>
      <c r="AG16" s="31">
        <v>0</v>
      </c>
      <c r="AH16" s="31">
        <v>0</v>
      </c>
      <c r="AI16" s="31">
        <v>0</v>
      </c>
      <c r="AJ16" s="31">
        <v>0</v>
      </c>
      <c r="AK16" s="31">
        <f>AVERAGE(6,10,8,8)</f>
        <v>8</v>
      </c>
      <c r="AL16" s="31">
        <f>AVERAGE(6,9,6,6)</f>
        <v>6.75</v>
      </c>
      <c r="AM16" s="31">
        <f>AVERAGE(8,6,8,6)</f>
        <v>7</v>
      </c>
      <c r="AN16" s="31">
        <f>AVERAGE(5,7,5,6)</f>
        <v>5.75</v>
      </c>
      <c r="AO16" s="31">
        <f>AVERAGE(6,6,8,5)</f>
        <v>6.25</v>
      </c>
      <c r="AP16" s="31">
        <f>AVERAGE(10,9,6,7)</f>
        <v>8</v>
      </c>
      <c r="AQ16" s="31">
        <f>AVERAGE(8,6,8,5)</f>
        <v>6.75</v>
      </c>
      <c r="AR16" s="31">
        <f>AVERAGE(8,6,6,6)</f>
        <v>6.5</v>
      </c>
      <c r="AS16" s="31">
        <v>421</v>
      </c>
      <c r="AT16" s="31">
        <v>33</v>
      </c>
    </row>
    <row r="17" spans="1:46" x14ac:dyDescent="0.25">
      <c r="A17" s="7" t="s">
        <v>90</v>
      </c>
      <c r="B17" s="11">
        <v>16</v>
      </c>
      <c r="C17">
        <v>1</v>
      </c>
      <c r="D17">
        <v>0</v>
      </c>
      <c r="E17">
        <v>4</v>
      </c>
      <c r="F17">
        <v>3</v>
      </c>
      <c r="G17">
        <v>0</v>
      </c>
      <c r="H17">
        <f>9/20</f>
        <v>0.45</v>
      </c>
      <c r="I17">
        <f>8/20</f>
        <v>0.4</v>
      </c>
      <c r="J17">
        <f>3/20</f>
        <v>0.15</v>
      </c>
      <c r="K17">
        <v>0</v>
      </c>
      <c r="L17">
        <v>0</v>
      </c>
      <c r="M17">
        <v>0</v>
      </c>
      <c r="N17">
        <v>0</v>
      </c>
      <c r="O17">
        <v>0</v>
      </c>
      <c r="P17" s="28">
        <v>38</v>
      </c>
      <c r="Q17" s="28">
        <f>AVERAGE(61,56,64,84)</f>
        <v>66.25</v>
      </c>
      <c r="R17" s="28">
        <f>AVERAGE(66,82,51,63)</f>
        <v>65.5</v>
      </c>
      <c r="S17" s="28">
        <f>AVERAGE(76,79,46,64)</f>
        <v>66.25</v>
      </c>
      <c r="T17" s="28">
        <f>AVERAGE(61,66,76)</f>
        <v>67.666666666666671</v>
      </c>
      <c r="U17" s="28">
        <f>AVERAGE(56,82,79)</f>
        <v>72.333333333333329</v>
      </c>
      <c r="V17" s="28">
        <f>AVERAGE(64,51,46)</f>
        <v>53.666666666666664</v>
      </c>
      <c r="W17" s="28">
        <f>AVERAGE(84,63,64)</f>
        <v>70.333333333333329</v>
      </c>
      <c r="X17" s="28">
        <v>0.5</v>
      </c>
      <c r="Y17" s="28">
        <f>AVERAGE(2,3,5,1)</f>
        <v>2.75</v>
      </c>
      <c r="Z17" s="28">
        <f>AVERAGE(1.5,0.5,4,0)</f>
        <v>1.5</v>
      </c>
      <c r="AA17" s="28">
        <f>AVERAGE(0.5,0,1,0.05)</f>
        <v>0.38750000000000001</v>
      </c>
      <c r="AB17" s="28">
        <f>AVERAGE(2,1.5,0.5)</f>
        <v>1.3333333333333333</v>
      </c>
      <c r="AC17" s="28">
        <f>AVERAGE(3,0.5,0)</f>
        <v>1.1666666666666667</v>
      </c>
      <c r="AD17" s="28">
        <f>AVERAGE(5,4,1)</f>
        <v>3.3333333333333335</v>
      </c>
      <c r="AE17" s="28">
        <f>AVERAGE(1,0,0.5)</f>
        <v>0.5</v>
      </c>
      <c r="AF17" s="31">
        <v>0</v>
      </c>
      <c r="AG17" s="31">
        <v>0</v>
      </c>
      <c r="AH17" s="31">
        <v>0</v>
      </c>
      <c r="AI17" s="31">
        <v>0</v>
      </c>
      <c r="AJ17" s="31">
        <v>0</v>
      </c>
      <c r="AK17" s="31">
        <f>AVERAGE(5,5,6,5)</f>
        <v>5.25</v>
      </c>
      <c r="AL17" s="31">
        <f>AVERAGE(4,7,5,5)</f>
        <v>5.25</v>
      </c>
      <c r="AM17" s="31">
        <f>AVERAGE(6,7,4,6)</f>
        <v>5.75</v>
      </c>
      <c r="AN17" s="31">
        <f>AVERAGE(5,8,6,4)</f>
        <v>5.75</v>
      </c>
      <c r="AO17" s="31">
        <f>AVERAGE(5,4,6,5)</f>
        <v>5</v>
      </c>
      <c r="AP17" s="31">
        <f>AVERAGE(5,7,7,8)</f>
        <v>6.75</v>
      </c>
      <c r="AQ17" s="31">
        <f>AVERAGE(6,5,4,6)</f>
        <v>5.25</v>
      </c>
      <c r="AR17" s="31">
        <f>AVERAGE(5,5,6,4)</f>
        <v>5</v>
      </c>
      <c r="AS17" s="31">
        <v>204</v>
      </c>
      <c r="AT17" s="31">
        <v>10</v>
      </c>
    </row>
    <row r="18" spans="1:46" x14ac:dyDescent="0.25">
      <c r="A18" s="7" t="s">
        <v>91</v>
      </c>
      <c r="B18" s="11">
        <v>17</v>
      </c>
      <c r="C18">
        <v>1</v>
      </c>
      <c r="D18">
        <v>0</v>
      </c>
      <c r="E18">
        <v>2</v>
      </c>
      <c r="F18">
        <v>2</v>
      </c>
      <c r="G18">
        <f>1/20</f>
        <v>0.05</v>
      </c>
      <c r="H18">
        <f>1/20</f>
        <v>0.05</v>
      </c>
      <c r="I18">
        <f>10/20</f>
        <v>0.5</v>
      </c>
      <c r="J18">
        <f>6/20</f>
        <v>0.3</v>
      </c>
      <c r="K18">
        <v>0</v>
      </c>
      <c r="L18">
        <v>0</v>
      </c>
      <c r="M18">
        <f>2/20</f>
        <v>0.1</v>
      </c>
      <c r="N18">
        <v>0</v>
      </c>
      <c r="O18">
        <v>0</v>
      </c>
      <c r="P18" s="28">
        <v>28.5</v>
      </c>
      <c r="Q18" s="28">
        <f>AVERAGE(36,120,28,69)</f>
        <v>63.25</v>
      </c>
      <c r="R18" s="28">
        <f>AVERAGE(80,30,152,80)</f>
        <v>85.5</v>
      </c>
      <c r="S18" s="28">
        <f>AVERAGE(94,87,46,78)</f>
        <v>76.25</v>
      </c>
      <c r="T18" s="28">
        <f>AVERAGE(36,80,94)</f>
        <v>70</v>
      </c>
      <c r="U18" s="28">
        <f>AVERAGE(120,30,87)</f>
        <v>79</v>
      </c>
      <c r="V18" s="28">
        <f>AVERAGE(28,152,46)</f>
        <v>75.333333333333329</v>
      </c>
      <c r="W18" s="28">
        <f>AVERAGE(69,80,78)</f>
        <v>75.666666666666671</v>
      </c>
      <c r="X18" s="28">
        <v>4</v>
      </c>
      <c r="Y18" s="28">
        <f>AVERAGE(6,6.5,5,5)</f>
        <v>5.625</v>
      </c>
      <c r="Z18" s="28">
        <f>AVERAGE(4.5,4.5,9.5,3.5)</f>
        <v>5.5</v>
      </c>
      <c r="AA18" s="28">
        <f>AVERAGE(4,6.5,5,4.5)</f>
        <v>5</v>
      </c>
      <c r="AB18" s="28">
        <f>AVERAGE(6,4.5,4)</f>
        <v>4.833333333333333</v>
      </c>
      <c r="AC18" s="28">
        <f>AVERAGE(6.5,4.5,6.5)</f>
        <v>5.833333333333333</v>
      </c>
      <c r="AD18" s="28">
        <f>AVERAGE(5,9.5,5)</f>
        <v>6.5</v>
      </c>
      <c r="AE18" s="28">
        <f>AVERAGE(5,3.5,4.5)</f>
        <v>4.333333333333333</v>
      </c>
      <c r="AF18" s="31">
        <v>0</v>
      </c>
      <c r="AG18" s="31">
        <v>0</v>
      </c>
      <c r="AH18" s="31">
        <v>0</v>
      </c>
      <c r="AI18" s="31">
        <v>0</v>
      </c>
      <c r="AJ18" s="31">
        <v>0</v>
      </c>
      <c r="AK18" s="31">
        <f>AVERAGE(10,9,10,9)</f>
        <v>9.5</v>
      </c>
      <c r="AL18" s="31">
        <f>AVERAGE(10,10,9,2)</f>
        <v>7.75</v>
      </c>
      <c r="AM18" s="31">
        <f>AVERAGE(10,10,10,8)</f>
        <v>9.5</v>
      </c>
      <c r="AN18" s="31">
        <f>AVERAGE(10,10,10,8)</f>
        <v>9.5</v>
      </c>
      <c r="AO18" s="31">
        <v>10</v>
      </c>
      <c r="AP18" s="31">
        <f>AVERAGE(9,10,10,10)</f>
        <v>9.75</v>
      </c>
      <c r="AQ18" s="31">
        <v>9.75</v>
      </c>
      <c r="AR18" s="31">
        <f>AVERAGE(9,2,8,8)</f>
        <v>6.75</v>
      </c>
      <c r="AS18" s="31">
        <v>590</v>
      </c>
      <c r="AT18" s="31">
        <v>549</v>
      </c>
    </row>
    <row r="19" spans="1:46" x14ac:dyDescent="0.25">
      <c r="A19" s="7" t="s">
        <v>92</v>
      </c>
      <c r="B19" s="11">
        <v>18</v>
      </c>
      <c r="C19">
        <v>1</v>
      </c>
      <c r="D19">
        <v>0</v>
      </c>
      <c r="E19">
        <v>4</v>
      </c>
      <c r="F19">
        <v>2</v>
      </c>
      <c r="G19">
        <v>0</v>
      </c>
      <c r="H19">
        <f>7/20</f>
        <v>0.35</v>
      </c>
      <c r="I19">
        <f>11/20</f>
        <v>0.55000000000000004</v>
      </c>
      <c r="J19">
        <f>2/20</f>
        <v>0.1</v>
      </c>
      <c r="K19">
        <v>0</v>
      </c>
      <c r="L19">
        <v>0</v>
      </c>
      <c r="M19">
        <v>0</v>
      </c>
      <c r="N19">
        <v>0</v>
      </c>
      <c r="O19">
        <v>0</v>
      </c>
      <c r="P19" s="28">
        <v>23.5</v>
      </c>
      <c r="Q19" s="28">
        <f>AVERAGE(18.5,24,20.5,46.5)</f>
        <v>27.375</v>
      </c>
      <c r="R19" s="28">
        <f>AVERAGE(27,19,19,23)</f>
        <v>22</v>
      </c>
      <c r="S19" s="28">
        <f>AVERAGE(29,17,27,18.5)</f>
        <v>22.875</v>
      </c>
      <c r="T19" s="28">
        <f>AVERAGE(18.5,27,29)</f>
        <v>24.833333333333332</v>
      </c>
      <c r="U19" s="28">
        <f>AVERAGE(24,19,17)</f>
        <v>20</v>
      </c>
      <c r="V19" s="28">
        <f>AVERAGE(20.5,19,27)</f>
        <v>22.166666666666668</v>
      </c>
      <c r="W19" s="28">
        <f>AVERAGE(46.5,23,18.5)</f>
        <v>29.333333333333332</v>
      </c>
      <c r="X19" s="28">
        <v>0.5</v>
      </c>
      <c r="Y19" s="28">
        <v>0.5</v>
      </c>
      <c r="Z19" s="28">
        <v>0.5</v>
      </c>
      <c r="AA19" s="28">
        <v>0.5</v>
      </c>
      <c r="AB19" s="28">
        <v>0.5</v>
      </c>
      <c r="AC19" s="28">
        <v>0.5</v>
      </c>
      <c r="AD19" s="28">
        <v>0.5</v>
      </c>
      <c r="AE19" s="28">
        <v>0.5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f>AVERAGE(7,6,6,10)</f>
        <v>7.25</v>
      </c>
      <c r="AL19" s="31">
        <f>AVERAGE(6,5,5,10)</f>
        <v>6.5</v>
      </c>
      <c r="AM19" s="31">
        <f>AVERAGE(7,5,10,8)</f>
        <v>7.5</v>
      </c>
      <c r="AN19" s="31">
        <f>AVERAGE(6,5,6,8)</f>
        <v>6.25</v>
      </c>
      <c r="AO19" s="31">
        <f>AVERAGE(7,6,7,6)</f>
        <v>6.5</v>
      </c>
      <c r="AP19" s="31">
        <f>AVERAGE(6,5,5,5)</f>
        <v>5.25</v>
      </c>
      <c r="AQ19" s="31">
        <f>AVERAGE(6,5,10,6)</f>
        <v>6.75</v>
      </c>
      <c r="AR19" s="31">
        <f>AVERAGE(10,10,8,8)</f>
        <v>9</v>
      </c>
      <c r="AS19" s="31">
        <v>883</v>
      </c>
      <c r="AT19" s="31">
        <v>21</v>
      </c>
    </row>
    <row r="20" spans="1:46" x14ac:dyDescent="0.25">
      <c r="A20" s="7" t="s">
        <v>93</v>
      </c>
      <c r="B20" s="11">
        <v>19</v>
      </c>
      <c r="C20">
        <v>1</v>
      </c>
      <c r="D20">
        <v>0</v>
      </c>
      <c r="E20">
        <v>4</v>
      </c>
      <c r="F20">
        <v>3</v>
      </c>
      <c r="G20">
        <f>11/20</f>
        <v>0.55000000000000004</v>
      </c>
      <c r="H20">
        <f>4/20</f>
        <v>0.2</v>
      </c>
      <c r="I20">
        <f>2/20</f>
        <v>0.1</v>
      </c>
      <c r="J20">
        <f>3/20</f>
        <v>0.15</v>
      </c>
      <c r="K20">
        <v>0</v>
      </c>
      <c r="L20">
        <v>0</v>
      </c>
      <c r="M20">
        <v>0</v>
      </c>
      <c r="N20">
        <v>0</v>
      </c>
      <c r="O20">
        <v>0</v>
      </c>
      <c r="P20" s="28">
        <v>87</v>
      </c>
      <c r="Q20" s="28">
        <f>AVERAGE(174,82,93,93)</f>
        <v>110.5</v>
      </c>
      <c r="R20" s="28">
        <f>AVERAGE(166,193,97,153)</f>
        <v>152.25</v>
      </c>
      <c r="S20" s="28">
        <f>AVERAGE(112,183,97,203)</f>
        <v>148.75</v>
      </c>
      <c r="T20" s="28">
        <f>AVERAGE(174,166,112)</f>
        <v>150.66666666666666</v>
      </c>
      <c r="U20" s="28">
        <f>AVERAGE(82,193,183)</f>
        <v>152.66666666666666</v>
      </c>
      <c r="V20" s="28">
        <f>AVERAGE(93,97,97)</f>
        <v>95.666666666666671</v>
      </c>
      <c r="W20" s="28">
        <f>AVERAGE(93,153,203)</f>
        <v>149.66666666666666</v>
      </c>
      <c r="X20" s="28">
        <v>3</v>
      </c>
      <c r="Y20" s="28">
        <f>AVERAGE(5,10,4,3.5)</f>
        <v>5.625</v>
      </c>
      <c r="Z20" s="28">
        <f>AVERAGE(7,7,5,3)</f>
        <v>5.5</v>
      </c>
      <c r="AA20" s="28">
        <f>AVERAGE(3,4,3,5)</f>
        <v>3.75</v>
      </c>
      <c r="AB20" s="28">
        <f>AVERAGE(5,7,3)</f>
        <v>5</v>
      </c>
      <c r="AC20" s="28">
        <f>AVERAGE(10,7,4)</f>
        <v>7</v>
      </c>
      <c r="AD20" s="28">
        <f>AVERAGE(4,5,3)</f>
        <v>4</v>
      </c>
      <c r="AE20" s="28">
        <f>AVERAGE(3.5,3,5)</f>
        <v>3.8333333333333335</v>
      </c>
      <c r="AF20" s="31">
        <v>0</v>
      </c>
      <c r="AG20" s="31">
        <v>0</v>
      </c>
      <c r="AH20" s="31">
        <v>0</v>
      </c>
      <c r="AI20" s="31">
        <v>0</v>
      </c>
      <c r="AJ20" s="31">
        <v>0</v>
      </c>
      <c r="AK20" s="31">
        <f>AVERAGE(9,10,10,10)</f>
        <v>9.75</v>
      </c>
      <c r="AL20" s="31">
        <v>10</v>
      </c>
      <c r="AM20" s="31">
        <v>10</v>
      </c>
      <c r="AN20" s="31">
        <v>10</v>
      </c>
      <c r="AO20" s="31">
        <f>AVERAGE(9,10,10,10)</f>
        <v>9.75</v>
      </c>
      <c r="AP20" s="31">
        <v>10</v>
      </c>
      <c r="AQ20" s="31">
        <v>10</v>
      </c>
      <c r="AR20" s="31">
        <v>10</v>
      </c>
      <c r="AS20" s="31">
        <v>93</v>
      </c>
      <c r="AT20" s="31">
        <v>2</v>
      </c>
    </row>
    <row r="21" spans="1:46" x14ac:dyDescent="0.25">
      <c r="A21" s="7" t="s">
        <v>94</v>
      </c>
      <c r="B21" s="11">
        <v>20</v>
      </c>
      <c r="C21">
        <v>1</v>
      </c>
      <c r="D21">
        <v>0</v>
      </c>
      <c r="E21">
        <v>4</v>
      </c>
      <c r="F21">
        <v>3</v>
      </c>
      <c r="G21">
        <v>0</v>
      </c>
      <c r="H21">
        <f>12/20</f>
        <v>0.6</v>
      </c>
      <c r="I21">
        <f>6/20</f>
        <v>0.3</v>
      </c>
      <c r="J21">
        <f>2/20</f>
        <v>0.1</v>
      </c>
      <c r="K21">
        <v>0</v>
      </c>
      <c r="L21">
        <v>0</v>
      </c>
      <c r="M21">
        <v>0</v>
      </c>
      <c r="N21">
        <v>0</v>
      </c>
      <c r="O21">
        <v>0</v>
      </c>
      <c r="P21" s="28">
        <v>64.5</v>
      </c>
      <c r="Q21" s="28">
        <f>AVERAGE(124,118,52,121)</f>
        <v>103.75</v>
      </c>
      <c r="R21" s="28">
        <f>AVERAGE(132,53.5,90,53)</f>
        <v>82.125</v>
      </c>
      <c r="S21" s="28">
        <f>AVERAGE(44,52,64,42.5)</f>
        <v>50.625</v>
      </c>
      <c r="T21" s="28">
        <f>AVERAGE(124,132,44)</f>
        <v>100</v>
      </c>
      <c r="U21" s="28">
        <f>AVERAGE(118,53.5,52)</f>
        <v>74.5</v>
      </c>
      <c r="V21" s="28">
        <f>AVERAGE(52,90,64)</f>
        <v>68.666666666666671</v>
      </c>
      <c r="W21" s="28">
        <f>AVERAGE(121,53,42.5)</f>
        <v>72.166666666666671</v>
      </c>
      <c r="X21" s="28">
        <v>0</v>
      </c>
      <c r="Y21" s="28">
        <v>0</v>
      </c>
      <c r="Z21" s="28">
        <f>AVERAGE(4,2,3,1)</f>
        <v>2.5</v>
      </c>
      <c r="AA21" s="28">
        <f>AVERAGE(3,3,3.5,1.5)</f>
        <v>2.75</v>
      </c>
      <c r="AB21" s="28">
        <f>AVERAGE(0,4,3)</f>
        <v>2.3333333333333335</v>
      </c>
      <c r="AC21" s="28">
        <f>AVERAGE(0,2,3)</f>
        <v>1.6666666666666667</v>
      </c>
      <c r="AD21" s="28">
        <f>AVERAGE(0,3,3.5)</f>
        <v>2.1666666666666665</v>
      </c>
      <c r="AE21" s="28">
        <f>AVERAGE(0,1,1.5)</f>
        <v>0.83333333333333337</v>
      </c>
      <c r="AF21" s="31">
        <v>0</v>
      </c>
      <c r="AG21" s="31">
        <v>0</v>
      </c>
      <c r="AH21" s="31">
        <v>0</v>
      </c>
      <c r="AI21" s="31">
        <v>0</v>
      </c>
      <c r="AJ21" s="31">
        <v>0</v>
      </c>
      <c r="AK21" s="31">
        <f>AVERAGE(8,2,4,3)</f>
        <v>4.25</v>
      </c>
      <c r="AL21" s="31">
        <f>AVERAGE(10,4,6,4)</f>
        <v>6</v>
      </c>
      <c r="AM21" s="31">
        <f>AVERAGE(4,5,7,4)</f>
        <v>5</v>
      </c>
      <c r="AN21" s="31">
        <f>AVERAGE(10,10,7,5)</f>
        <v>8</v>
      </c>
      <c r="AO21" s="31">
        <f>AVERAGE(8,10,4,10)</f>
        <v>8</v>
      </c>
      <c r="AP21" s="31">
        <f>AVERAGE(2,4,5,10)</f>
        <v>5.25</v>
      </c>
      <c r="AQ21" s="31">
        <f>AVERAGE(4,6,7,7)</f>
        <v>6</v>
      </c>
      <c r="AR21" s="31">
        <f>AVERAGE(3,4,4,5)</f>
        <v>4</v>
      </c>
      <c r="AS21" s="31">
        <v>588</v>
      </c>
      <c r="AT21" s="31">
        <v>57</v>
      </c>
    </row>
    <row r="22" spans="1:46" x14ac:dyDescent="0.25">
      <c r="A22" s="7" t="s">
        <v>95</v>
      </c>
      <c r="B22" s="11">
        <v>21</v>
      </c>
      <c r="C22">
        <v>1</v>
      </c>
      <c r="D22">
        <v>0</v>
      </c>
      <c r="E22">
        <v>4</v>
      </c>
      <c r="F22">
        <v>3</v>
      </c>
      <c r="G22">
        <v>0</v>
      </c>
      <c r="H22">
        <f>11/20</f>
        <v>0.55000000000000004</v>
      </c>
      <c r="I22">
        <f>4/20</f>
        <v>0.2</v>
      </c>
      <c r="J22">
        <f>4/20</f>
        <v>0.2</v>
      </c>
      <c r="K22">
        <v>0</v>
      </c>
      <c r="L22">
        <v>0</v>
      </c>
      <c r="M22">
        <f>1/20</f>
        <v>0.05</v>
      </c>
      <c r="N22">
        <v>0</v>
      </c>
      <c r="O22">
        <v>0</v>
      </c>
      <c r="P22" s="28">
        <v>79.5</v>
      </c>
      <c r="Q22" s="28">
        <f>AVERAGE(58.5,56.5,37,69)</f>
        <v>55.25</v>
      </c>
      <c r="R22" s="28">
        <f>AVERAGE(59.5,129,55.5,76)</f>
        <v>80</v>
      </c>
      <c r="S22" s="28">
        <f>AVERAGE(94,42,82.5,82)</f>
        <v>75.125</v>
      </c>
      <c r="T22" s="28">
        <f>AVERAGE(58.5,59.5,94)</f>
        <v>70.666666666666671</v>
      </c>
      <c r="U22" s="28">
        <f>AVERAGE(56.5,129,42)</f>
        <v>75.833333333333329</v>
      </c>
      <c r="V22" s="28">
        <f>AVERAGE(37,55.5,82.5)</f>
        <v>58.333333333333336</v>
      </c>
      <c r="W22" s="28">
        <f>AVERAGE(69,76,82)</f>
        <v>75.666666666666671</v>
      </c>
      <c r="X22" s="28">
        <v>3.5</v>
      </c>
      <c r="Y22" s="28">
        <f>AVERAGE(3,3,3.5,3)</f>
        <v>3.125</v>
      </c>
      <c r="Z22" s="28">
        <f>AVERAGE(2.5,3,5,2)</f>
        <v>3.125</v>
      </c>
      <c r="AA22" s="28">
        <f>AVERAGE(2,3,2.5,2.5)</f>
        <v>2.5</v>
      </c>
      <c r="AB22" s="28">
        <f>AVERAGE(3,2.5,2)</f>
        <v>2.5</v>
      </c>
      <c r="AC22" s="28">
        <v>3</v>
      </c>
      <c r="AD22" s="28">
        <f>AVERAGE(3.5,5,2.5)</f>
        <v>3.6666666666666665</v>
      </c>
      <c r="AE22" s="28">
        <f>AVERAGE(3,2,2.5)</f>
        <v>2.5</v>
      </c>
      <c r="AF22" s="31">
        <v>0</v>
      </c>
      <c r="AG22" s="31">
        <v>0</v>
      </c>
      <c r="AH22" s="31">
        <v>0</v>
      </c>
      <c r="AI22" s="31">
        <v>0</v>
      </c>
      <c r="AJ22" s="31">
        <v>0</v>
      </c>
      <c r="AK22" s="31">
        <f>AVERAGE(6,5,5,7)</f>
        <v>5.75</v>
      </c>
      <c r="AL22" s="31">
        <f>AVERAGE(7,6,5,7)</f>
        <v>6.25</v>
      </c>
      <c r="AM22" s="31">
        <f>AVERAGE(7,6,6,6)</f>
        <v>6.25</v>
      </c>
      <c r="AN22" s="31">
        <f>AVERAGE(10,5,9,10)</f>
        <v>8.5</v>
      </c>
      <c r="AO22" s="31">
        <f>AVERAGE(6,7,7,10)</f>
        <v>7.5</v>
      </c>
      <c r="AP22" s="31">
        <f>AVERAGE(5,6,6,5)</f>
        <v>5.5</v>
      </c>
      <c r="AQ22" s="31">
        <f>AVERAGE(5,5,6,9)</f>
        <v>6.25</v>
      </c>
      <c r="AR22" s="31">
        <f>AVERAGE(7,7,6,10)</f>
        <v>7.5</v>
      </c>
      <c r="AS22" s="31">
        <v>244</v>
      </c>
      <c r="AT22" s="31">
        <v>101</v>
      </c>
    </row>
    <row r="23" spans="1:46" x14ac:dyDescent="0.25">
      <c r="A23" s="7" t="s">
        <v>96</v>
      </c>
      <c r="B23" s="11">
        <v>22</v>
      </c>
      <c r="C23">
        <v>1</v>
      </c>
      <c r="D23">
        <v>0</v>
      </c>
      <c r="E23">
        <v>4</v>
      </c>
      <c r="F23">
        <v>2</v>
      </c>
      <c r="G23">
        <v>0</v>
      </c>
      <c r="H23">
        <f>5/20</f>
        <v>0.25</v>
      </c>
      <c r="I23">
        <f>9/20</f>
        <v>0.45</v>
      </c>
      <c r="J23">
        <f>3/20</f>
        <v>0.15</v>
      </c>
      <c r="K23">
        <v>0</v>
      </c>
      <c r="L23">
        <v>0</v>
      </c>
      <c r="M23">
        <f>3/20</f>
        <v>0.15</v>
      </c>
      <c r="N23">
        <v>0</v>
      </c>
      <c r="O23">
        <v>0</v>
      </c>
      <c r="P23" s="28">
        <v>90</v>
      </c>
      <c r="Q23" s="28">
        <f>AVERAGE(99,62,72,63)</f>
        <v>74</v>
      </c>
      <c r="R23" s="28">
        <f>AVERAGE(91,60,53,66)</f>
        <v>67.5</v>
      </c>
      <c r="S23" s="28">
        <f>AVERAGE(31,107,94,84)</f>
        <v>79</v>
      </c>
      <c r="T23" s="28">
        <f>AVERAGE(99,91,31)</f>
        <v>73.666666666666671</v>
      </c>
      <c r="U23" s="28">
        <f>AVERAGE(62,60,107)</f>
        <v>76.333333333333329</v>
      </c>
      <c r="V23" s="28">
        <f>AVERAGE(72,53,94)</f>
        <v>73</v>
      </c>
      <c r="W23" s="28">
        <f>AVERAGE(63,66,84)</f>
        <v>71</v>
      </c>
      <c r="X23" s="28">
        <v>2</v>
      </c>
      <c r="Y23" s="28">
        <f>AVERAGE(0,1,0.5,0)</f>
        <v>0.375</v>
      </c>
      <c r="Z23" s="28">
        <f>AVERAGE(0,5,0,2)</f>
        <v>1.75</v>
      </c>
      <c r="AA23" s="28">
        <f>AVERAGE(0,0,0.5,0.5)</f>
        <v>0.25</v>
      </c>
      <c r="AB23" s="28">
        <v>0</v>
      </c>
      <c r="AC23" s="28">
        <f>AVERAGE(1,5,0)</f>
        <v>2</v>
      </c>
      <c r="AD23" s="28">
        <f>AVERAGE(0.5,0,0.5)</f>
        <v>0.33333333333333331</v>
      </c>
      <c r="AE23" s="28">
        <f>AVERAGE(0,2,0.5)</f>
        <v>0.83333333333333337</v>
      </c>
      <c r="AF23" s="31">
        <v>0</v>
      </c>
      <c r="AG23" s="31">
        <v>0</v>
      </c>
      <c r="AH23" s="31">
        <v>0</v>
      </c>
      <c r="AI23" s="31">
        <v>0</v>
      </c>
      <c r="AJ23" s="31">
        <v>0</v>
      </c>
      <c r="AK23" s="31">
        <f>AVERAGE(10,6,7,10)</f>
        <v>8.25</v>
      </c>
      <c r="AL23" s="31">
        <f>AVERAGE(10,8,10,10)</f>
        <v>9.5</v>
      </c>
      <c r="AM23" s="31">
        <f>AVERAGE(10,9,8,9)</f>
        <v>9</v>
      </c>
      <c r="AN23" s="31">
        <f>AVERAGE(5,10,7,10)</f>
        <v>8</v>
      </c>
      <c r="AO23" s="31">
        <f>AVERAGE(10,10,10,5)</f>
        <v>8.75</v>
      </c>
      <c r="AP23" s="31">
        <f>AVERAGE(6,8,9,10)</f>
        <v>8.25</v>
      </c>
      <c r="AQ23" s="31">
        <f>AVERAGE(7,10,8,7)</f>
        <v>8</v>
      </c>
      <c r="AR23" s="31">
        <f>AVERAGE(10,10,9,10)</f>
        <v>9.75</v>
      </c>
      <c r="AS23" s="31">
        <v>1143</v>
      </c>
      <c r="AT23" s="31">
        <v>73</v>
      </c>
    </row>
    <row r="24" spans="1:46" x14ac:dyDescent="0.25">
      <c r="A24" s="7" t="s">
        <v>97</v>
      </c>
      <c r="B24" s="11">
        <v>23</v>
      </c>
      <c r="C24">
        <v>1</v>
      </c>
      <c r="D24">
        <v>0</v>
      </c>
      <c r="E24">
        <v>4</v>
      </c>
      <c r="F24">
        <v>2</v>
      </c>
      <c r="G24">
        <v>0</v>
      </c>
      <c r="H24">
        <f>6/20</f>
        <v>0.3</v>
      </c>
      <c r="I24">
        <f>12/20</f>
        <v>0.6</v>
      </c>
      <c r="J24">
        <v>0</v>
      </c>
      <c r="K24">
        <v>0</v>
      </c>
      <c r="L24">
        <v>0</v>
      </c>
      <c r="M24">
        <f>2/20</f>
        <v>0.1</v>
      </c>
      <c r="N24">
        <v>0</v>
      </c>
      <c r="O24">
        <v>0</v>
      </c>
      <c r="P24" s="28">
        <v>47</v>
      </c>
      <c r="Q24" s="28">
        <f>AVERAGE(57,64,84,55)</f>
        <v>65</v>
      </c>
      <c r="R24" s="28">
        <f>AVERAGE(46,55,44,63)</f>
        <v>52</v>
      </c>
      <c r="S24" s="28">
        <f>AVERAGE(114,78,48,76)</f>
        <v>79</v>
      </c>
      <c r="T24" s="28">
        <f>AVERAGE(57,46,114)</f>
        <v>72.333333333333329</v>
      </c>
      <c r="U24" s="28">
        <f>AVERAGE(64,55,78)</f>
        <v>65.666666666666671</v>
      </c>
      <c r="V24" s="28">
        <f>AVERAGE(84,44,48)</f>
        <v>58.666666666666664</v>
      </c>
      <c r="W24" s="28">
        <f>AVERAGE(55,63,76)</f>
        <v>64.666666666666671</v>
      </c>
      <c r="X24" s="28">
        <v>0</v>
      </c>
      <c r="Y24" s="28">
        <f>AVERAGE(0,1,0,1.5)</f>
        <v>0.625</v>
      </c>
      <c r="Z24" s="28">
        <v>0</v>
      </c>
      <c r="AA24" s="28">
        <f>AVERAGE(2,4,0,4)</f>
        <v>2.5</v>
      </c>
      <c r="AB24" s="28">
        <f>AVERAGE(0,0,2)</f>
        <v>0.66666666666666663</v>
      </c>
      <c r="AC24" s="28">
        <f>AVERAGE(1,0,4)</f>
        <v>1.6666666666666667</v>
      </c>
      <c r="AD24" s="28">
        <v>0</v>
      </c>
      <c r="AE24" s="28">
        <f>AVERAGE(1.5,0,4)</f>
        <v>1.8333333333333333</v>
      </c>
      <c r="AF24" s="31">
        <v>0</v>
      </c>
      <c r="AG24" s="31">
        <v>0</v>
      </c>
      <c r="AH24" s="31">
        <v>0</v>
      </c>
      <c r="AI24" s="31">
        <v>0</v>
      </c>
      <c r="AJ24" s="31">
        <v>0</v>
      </c>
      <c r="AK24" s="31">
        <f>AVERAGE(10,8,10,8)</f>
        <v>9</v>
      </c>
      <c r="AL24" s="31">
        <f>AVERAGE(9,9,10,6)</f>
        <v>8.5</v>
      </c>
      <c r="AM24" s="31">
        <f>AVERAGE(10,9,5,7)</f>
        <v>7.75</v>
      </c>
      <c r="AN24" s="31">
        <f>AVERAGE(2,4,0,4)</f>
        <v>2.5</v>
      </c>
      <c r="AO24" s="31">
        <f>AVERAGE(0,0,2)</f>
        <v>0.66666666666666663</v>
      </c>
      <c r="AP24" s="31">
        <f>AVERAGE(1,0,4)</f>
        <v>1.6666666666666667</v>
      </c>
      <c r="AQ24" s="31">
        <v>0</v>
      </c>
      <c r="AR24" s="31">
        <f>AVERAGE(1.5,0,4)</f>
        <v>1.8333333333333333</v>
      </c>
      <c r="AS24" s="31">
        <v>533</v>
      </c>
      <c r="AT24" s="31">
        <v>126</v>
      </c>
    </row>
    <row r="25" spans="1:46" x14ac:dyDescent="0.25">
      <c r="A25" s="7" t="s">
        <v>98</v>
      </c>
      <c r="B25" s="11">
        <v>24</v>
      </c>
      <c r="C25">
        <v>1</v>
      </c>
      <c r="D25">
        <v>0</v>
      </c>
      <c r="E25">
        <v>4</v>
      </c>
      <c r="F25">
        <v>2</v>
      </c>
      <c r="G25">
        <f>3/20</f>
        <v>0.15</v>
      </c>
      <c r="H25">
        <f>10/20</f>
        <v>0.5</v>
      </c>
      <c r="I25">
        <f>6/20</f>
        <v>0.3</v>
      </c>
      <c r="J25">
        <f>1/20</f>
        <v>0.05</v>
      </c>
      <c r="K25">
        <v>0</v>
      </c>
      <c r="L25">
        <v>0</v>
      </c>
      <c r="M25">
        <v>0</v>
      </c>
      <c r="N25">
        <v>0</v>
      </c>
      <c r="O25">
        <v>0</v>
      </c>
      <c r="P25" s="28">
        <v>83</v>
      </c>
      <c r="Q25" s="28">
        <f>AVERAGE(83,70,87,89.5)</f>
        <v>82.375</v>
      </c>
      <c r="R25" s="28">
        <f>AVERAGE(60,89,71.5,66)</f>
        <v>71.625</v>
      </c>
      <c r="S25" s="28">
        <f>AVERAGE(86,91,72,74)</f>
        <v>80.75</v>
      </c>
      <c r="T25" s="28">
        <f>AVERAGE(83,60,86)</f>
        <v>76.333333333333329</v>
      </c>
      <c r="U25" s="28">
        <f>AVERAGE(70,89,91)</f>
        <v>83.333333333333329</v>
      </c>
      <c r="V25" s="28">
        <f>AVERAGE(87,71.5,72)</f>
        <v>76.833333333333329</v>
      </c>
      <c r="W25" s="28">
        <f>AVERAGE(89.5,66,74)</f>
        <v>76.5</v>
      </c>
      <c r="X25" s="28">
        <v>2</v>
      </c>
      <c r="Y25" s="28">
        <f>AVERAGE(2.5,3,3,4)</f>
        <v>3.125</v>
      </c>
      <c r="Z25" s="28">
        <f>AVERAGE(3,2,3.5,2)</f>
        <v>2.625</v>
      </c>
      <c r="AA25" s="28">
        <f>AVERAGE(1.5,2,1,3)</f>
        <v>1.875</v>
      </c>
      <c r="AB25" s="28">
        <f>AVERAGE(2.5,3,1.5)</f>
        <v>2.3333333333333335</v>
      </c>
      <c r="AC25" s="28">
        <f>AVERAGE(3,2,2)</f>
        <v>2.3333333333333335</v>
      </c>
      <c r="AD25" s="28">
        <f>AVERAGE(3,3.5,1)</f>
        <v>2.5</v>
      </c>
      <c r="AE25" s="28">
        <f>AVERAGE(4,2,3)</f>
        <v>3</v>
      </c>
      <c r="AF25" s="31"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f>AVERAGE(10,9,9,10)</f>
        <v>9.5</v>
      </c>
      <c r="AL25" s="31">
        <f>AVERAGE(10,9,10,10)</f>
        <v>9.75</v>
      </c>
      <c r="AM25" s="31">
        <f>AVERAGE(10,10,10,7)</f>
        <v>9.25</v>
      </c>
      <c r="AN25" s="31">
        <f>AVERAGE(10,8,10,9)</f>
        <v>9.25</v>
      </c>
      <c r="AO25" s="31">
        <v>10</v>
      </c>
      <c r="AP25" s="31">
        <f>AVERAGE(9,9,10,8)</f>
        <v>9</v>
      </c>
      <c r="AQ25" s="31">
        <f>AVERAGE(9,10,10,10)</f>
        <v>9.75</v>
      </c>
      <c r="AR25" s="31">
        <f>AVERAGE(10,10,7,9)</f>
        <v>9</v>
      </c>
      <c r="AS25" s="31">
        <v>241</v>
      </c>
      <c r="AT25" s="31">
        <v>47</v>
      </c>
    </row>
    <row r="26" spans="1:46" x14ac:dyDescent="0.25">
      <c r="A26" s="7" t="s">
        <v>99</v>
      </c>
      <c r="B26" s="11">
        <v>25</v>
      </c>
      <c r="C26">
        <v>1</v>
      </c>
      <c r="D26">
        <v>0</v>
      </c>
      <c r="E26">
        <v>2</v>
      </c>
      <c r="F26">
        <v>1</v>
      </c>
      <c r="G26">
        <v>0</v>
      </c>
      <c r="H26">
        <f>11/20</f>
        <v>0.55000000000000004</v>
      </c>
      <c r="I26">
        <f>8/20</f>
        <v>0.4</v>
      </c>
      <c r="J26">
        <f>1/20</f>
        <v>0.05</v>
      </c>
      <c r="K26">
        <v>0</v>
      </c>
      <c r="L26">
        <v>0</v>
      </c>
      <c r="M26">
        <v>0</v>
      </c>
      <c r="N26">
        <v>0</v>
      </c>
      <c r="O26">
        <v>0</v>
      </c>
      <c r="P26" s="28">
        <v>44</v>
      </c>
      <c r="Q26" s="28">
        <f>AVERAGE(70,17,60,56)</f>
        <v>50.75</v>
      </c>
      <c r="R26" s="28">
        <f>AVERAGE(53,38,54,43)</f>
        <v>47</v>
      </c>
      <c r="S26" s="28">
        <f>AVERAGE(20,49,61,57)</f>
        <v>46.75</v>
      </c>
      <c r="T26" s="28">
        <f>AVERAGE(70,53,20)</f>
        <v>47.666666666666664</v>
      </c>
      <c r="U26" s="28">
        <f>AVERAGE(17,38,49)</f>
        <v>34.666666666666664</v>
      </c>
      <c r="V26" s="28">
        <f>AVERAGE(60,54,61)</f>
        <v>58.333333333333336</v>
      </c>
      <c r="W26" s="28">
        <f>AVERAGE(56,43,57)</f>
        <v>52</v>
      </c>
      <c r="X26" s="28">
        <v>0</v>
      </c>
      <c r="Y26" s="28">
        <f>AVERAGE(0,1,1,0.5)</f>
        <v>0.625</v>
      </c>
      <c r="Z26" s="28">
        <f>AVERAGE(0,0.5,0.5,0.5)</f>
        <v>0.375</v>
      </c>
      <c r="AA26" s="28">
        <f>AVERAGE(1,2.5,0,1)</f>
        <v>1.125</v>
      </c>
      <c r="AB26" s="28">
        <f>AVERAGE(0,0,1)</f>
        <v>0.33333333333333331</v>
      </c>
      <c r="AC26" s="28">
        <f>AVERAGE(1,0.5,0.5)</f>
        <v>0.66666666666666663</v>
      </c>
      <c r="AD26" s="28">
        <f>AVERAGE(1,0.5,0)</f>
        <v>0.5</v>
      </c>
      <c r="AE26" s="28">
        <f>AVERAGE(0.5,0.5,1)</f>
        <v>0.66666666666666663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f>AVERAGE(7,5,6,7)</f>
        <v>6.25</v>
      </c>
      <c r="AL26" s="31">
        <f>AVERAGE(5,4,7,8)</f>
        <v>6</v>
      </c>
      <c r="AM26" s="31">
        <f>AVERAGE(3,6,5,6)</f>
        <v>5</v>
      </c>
      <c r="AN26" s="31">
        <f>AVERAGE(6,8,6,5)</f>
        <v>6.25</v>
      </c>
      <c r="AO26" s="31">
        <f>AVERAGE(7,5,3,6)</f>
        <v>5.25</v>
      </c>
      <c r="AP26" s="31">
        <f>AVERAGE(5,4,6,8)</f>
        <v>5.75</v>
      </c>
      <c r="AQ26" s="31">
        <f>AVERAGE(6,7,5,6)</f>
        <v>6</v>
      </c>
      <c r="AR26" s="31">
        <f>AVERAGE(7,8,6,5)</f>
        <v>6.5</v>
      </c>
      <c r="AS26" s="31">
        <v>447</v>
      </c>
      <c r="AT26" s="31">
        <v>47</v>
      </c>
    </row>
    <row r="27" spans="1:46" x14ac:dyDescent="0.25">
      <c r="A27" s="7" t="s">
        <v>100</v>
      </c>
      <c r="B27" s="11">
        <v>26</v>
      </c>
      <c r="C27">
        <v>1</v>
      </c>
      <c r="D27">
        <v>0</v>
      </c>
      <c r="E27">
        <v>4</v>
      </c>
      <c r="F27">
        <v>2</v>
      </c>
      <c r="G27">
        <f>4/20</f>
        <v>0.2</v>
      </c>
      <c r="H27">
        <f>6/20</f>
        <v>0.3</v>
      </c>
      <c r="I27">
        <f>5/20</f>
        <v>0.25</v>
      </c>
      <c r="J27">
        <f>3/20</f>
        <v>0.15</v>
      </c>
      <c r="K27">
        <v>0</v>
      </c>
      <c r="L27">
        <v>0</v>
      </c>
      <c r="M27">
        <v>0</v>
      </c>
      <c r="N27">
        <f>2/20</f>
        <v>0.1</v>
      </c>
      <c r="O27">
        <v>0</v>
      </c>
      <c r="P27" s="28">
        <v>132</v>
      </c>
      <c r="Q27" s="28">
        <f>AVERAGE(144,97,91,158)</f>
        <v>122.5</v>
      </c>
      <c r="R27" s="28">
        <f>AVERAGE(119,56,95,102)</f>
        <v>93</v>
      </c>
      <c r="S27" s="28">
        <f>AVERAGE(60,77,143,47)</f>
        <v>81.75</v>
      </c>
      <c r="T27" s="28">
        <f>AVERAGE(144,119,60)</f>
        <v>107.66666666666667</v>
      </c>
      <c r="U27" s="28">
        <f>AVERAGE(97,56,77)</f>
        <v>76.666666666666671</v>
      </c>
      <c r="V27" s="28">
        <f>AVERAGE(91,95,143)</f>
        <v>109.66666666666667</v>
      </c>
      <c r="W27" s="28">
        <f>AVERAGE(158,102,47)</f>
        <v>102.33333333333333</v>
      </c>
      <c r="X27" s="28">
        <v>1</v>
      </c>
      <c r="Y27" s="28">
        <f>10/3</f>
        <v>3.3333333333333335</v>
      </c>
      <c r="Z27" s="28">
        <f>AVERAGE(2,1,5,0)</f>
        <v>2</v>
      </c>
      <c r="AA27" s="28">
        <v>0</v>
      </c>
      <c r="AB27" s="28">
        <f>AVERAGE(10,2,0)</f>
        <v>4</v>
      </c>
      <c r="AC27" s="28">
        <f>1/3</f>
        <v>0.33333333333333331</v>
      </c>
      <c r="AD27" s="28">
        <f>5/3</f>
        <v>1.6666666666666667</v>
      </c>
      <c r="AE27" s="28">
        <v>0</v>
      </c>
      <c r="AF27" s="31">
        <v>0</v>
      </c>
      <c r="AG27" s="31">
        <v>94.02</v>
      </c>
      <c r="AH27" s="31">
        <v>0</v>
      </c>
      <c r="AI27" s="31">
        <v>0</v>
      </c>
      <c r="AJ27" s="31">
        <v>0</v>
      </c>
      <c r="AK27" s="31">
        <f>AVERAGE(10,7,9,10)</f>
        <v>9</v>
      </c>
      <c r="AL27" s="31">
        <f>AVERAGE(7,9,10,10)</f>
        <v>9</v>
      </c>
      <c r="AM27" s="31">
        <f>AVERAGE(9,8,7,8)</f>
        <v>8</v>
      </c>
      <c r="AN27" s="31">
        <f>AVERAGE(10,8,10,6)</f>
        <v>8.5</v>
      </c>
      <c r="AO27" s="31">
        <f>AVERAGE(10,7,9,10)</f>
        <v>9</v>
      </c>
      <c r="AP27" s="31">
        <f>AVERAGE(7,9,8,8)</f>
        <v>8</v>
      </c>
      <c r="AQ27" s="31">
        <f>AVERAGE(9,10,7,10)</f>
        <v>9</v>
      </c>
      <c r="AR27" s="31">
        <f>AVERAGE(10,10,8,6)</f>
        <v>8.5</v>
      </c>
      <c r="AS27" s="31">
        <v>112</v>
      </c>
      <c r="AT27" s="31">
        <v>0</v>
      </c>
    </row>
    <row r="28" spans="1:46" x14ac:dyDescent="0.25">
      <c r="A28" s="7" t="s">
        <v>101</v>
      </c>
      <c r="B28" s="11">
        <v>27</v>
      </c>
      <c r="C28">
        <v>1</v>
      </c>
      <c r="D28">
        <v>0</v>
      </c>
      <c r="E28">
        <v>1</v>
      </c>
      <c r="F28">
        <v>1</v>
      </c>
      <c r="G28">
        <f>2/20</f>
        <v>0.1</v>
      </c>
      <c r="H28">
        <f>16/20</f>
        <v>0.8</v>
      </c>
      <c r="I28">
        <f>2/20</f>
        <v>0.1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28">
        <v>102</v>
      </c>
      <c r="Q28" s="28">
        <f>AVERAGE(94,93,87,96)</f>
        <v>92.5</v>
      </c>
      <c r="R28" s="28">
        <f>AVERAGE(145,92,91,102)</f>
        <v>107.5</v>
      </c>
      <c r="S28" s="28">
        <f>AVERAGE(90,81,70,58)</f>
        <v>74.75</v>
      </c>
      <c r="T28" s="28">
        <f>AVERAGE(94,145,90)</f>
        <v>109.66666666666667</v>
      </c>
      <c r="U28" s="28">
        <f>AVERAGE(93,92,81)</f>
        <v>88.666666666666671</v>
      </c>
      <c r="V28" s="28">
        <f>AVERAGE(87,91,70)</f>
        <v>82.666666666666671</v>
      </c>
      <c r="W28" s="28">
        <f>AVERAGE(96,102,58)</f>
        <v>85.333333333333329</v>
      </c>
      <c r="X28" s="28">
        <v>3</v>
      </c>
      <c r="Y28" s="28">
        <f>AVERAGE(3,3,4,2)</f>
        <v>3</v>
      </c>
      <c r="Z28" s="28">
        <f>AVERAGE(2.5,2.5,3.5,1)</f>
        <v>2.375</v>
      </c>
      <c r="AA28" s="28">
        <f>AVERAGE(3,3.5,5,1)</f>
        <v>3.125</v>
      </c>
      <c r="AB28" s="28">
        <f>AVERAGE(3,2.5,3)</f>
        <v>2.8333333333333335</v>
      </c>
      <c r="AC28" s="28">
        <f>AVERAGE(3,2.5,3.5)</f>
        <v>3</v>
      </c>
      <c r="AD28" s="28">
        <f>AVERAGE(4,3.5,5)</f>
        <v>4.166666666666667</v>
      </c>
      <c r="AE28" s="28">
        <f>AVERAGE(2,1,1)</f>
        <v>1.3333333333333333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10</v>
      </c>
      <c r="AL28" s="31">
        <v>10</v>
      </c>
      <c r="AM28" s="31">
        <v>10</v>
      </c>
      <c r="AN28" s="31">
        <f>AVERAGE(10,9,10,7)</f>
        <v>9</v>
      </c>
      <c r="AO28" s="31">
        <v>10</v>
      </c>
      <c r="AP28" s="31">
        <f>AVERAGE(10,10,10,9)</f>
        <v>9.75</v>
      </c>
      <c r="AQ28" s="31">
        <v>10</v>
      </c>
      <c r="AR28" s="31">
        <f>AVERAGE(10,10,10,7)</f>
        <v>9.25</v>
      </c>
      <c r="AS28" s="31">
        <v>75</v>
      </c>
      <c r="AT28" s="31">
        <v>5</v>
      </c>
    </row>
    <row r="29" spans="1:46" x14ac:dyDescent="0.25">
      <c r="A29" s="7" t="s">
        <v>102</v>
      </c>
      <c r="B29" s="11">
        <v>28</v>
      </c>
      <c r="C29">
        <v>1</v>
      </c>
      <c r="D29">
        <v>0</v>
      </c>
      <c r="E29">
        <v>1</v>
      </c>
      <c r="F29">
        <v>1</v>
      </c>
      <c r="G29">
        <f>1/20</f>
        <v>0.05</v>
      </c>
      <c r="H29">
        <f>13/20</f>
        <v>0.65</v>
      </c>
      <c r="I29">
        <f>4/20</f>
        <v>0.2</v>
      </c>
      <c r="J29">
        <f>2/20</f>
        <v>0.1</v>
      </c>
      <c r="K29">
        <v>0</v>
      </c>
      <c r="L29">
        <v>0</v>
      </c>
      <c r="M29">
        <v>0</v>
      </c>
      <c r="N29">
        <v>0</v>
      </c>
      <c r="O29">
        <v>0</v>
      </c>
      <c r="P29" s="28">
        <v>76</v>
      </c>
      <c r="Q29" s="28">
        <f>AVERAGE(84,55,75,87)</f>
        <v>75.25</v>
      </c>
      <c r="R29" s="28">
        <f>AVERAGE(71,70,82,85)</f>
        <v>77</v>
      </c>
      <c r="S29" s="28">
        <f>AVERAGE(65,54,110,90)</f>
        <v>79.75</v>
      </c>
      <c r="T29" s="28">
        <f>AVERAGE(84,71,65)</f>
        <v>73.333333333333329</v>
      </c>
      <c r="U29" s="28">
        <f>AVERAGE(55,70,54)</f>
        <v>59.666666666666664</v>
      </c>
      <c r="V29" s="28">
        <f>AVERAGE(75,82,110)</f>
        <v>89</v>
      </c>
      <c r="W29" s="28">
        <f>AVERAGE(87,85,90)</f>
        <v>87.333333333333329</v>
      </c>
      <c r="X29" s="28">
        <v>2.5</v>
      </c>
      <c r="Y29" s="28">
        <f>AVERAGE(2,3,1,3)</f>
        <v>2.25</v>
      </c>
      <c r="Z29" s="28">
        <f>AVERAGE(2,1,0.5,1)</f>
        <v>1.125</v>
      </c>
      <c r="AA29" s="28">
        <f>AVERAGE(1.5,0.5,2,1)</f>
        <v>1.25</v>
      </c>
      <c r="AB29" s="28">
        <f>AVERAGE(2,2,1.5)</f>
        <v>1.8333333333333333</v>
      </c>
      <c r="AC29" s="28">
        <f>AVERAGE(3,1,0.5)</f>
        <v>1.5</v>
      </c>
      <c r="AD29" s="28">
        <f>AVERAGE(1,0.5,2)</f>
        <v>1.1666666666666667</v>
      </c>
      <c r="AE29" s="28">
        <f>AVERAGE(3,1,1)</f>
        <v>1.6666666666666667</v>
      </c>
      <c r="AF29" s="31">
        <v>0</v>
      </c>
      <c r="AG29" s="31">
        <v>0</v>
      </c>
      <c r="AH29" s="31">
        <v>0</v>
      </c>
      <c r="AI29" s="31">
        <v>0</v>
      </c>
      <c r="AJ29" s="31">
        <v>0</v>
      </c>
      <c r="AK29" s="31">
        <f>AVERAGE(8,8,10,8)</f>
        <v>8.5</v>
      </c>
      <c r="AL29" s="31">
        <f>AVERAGE(7,7,10,9)</f>
        <v>8.25</v>
      </c>
      <c r="AM29" s="31">
        <f>AVERAGE(9,8,10,9)</f>
        <v>9</v>
      </c>
      <c r="AN29" s="31">
        <f>AVERAGE(10,6,10,8)</f>
        <v>8.5</v>
      </c>
      <c r="AO29" s="31">
        <f>AVERAGE(8,7,9,10)</f>
        <v>8.5</v>
      </c>
      <c r="AP29" s="31">
        <f>AVERAGE(8,7,8,6)</f>
        <v>7.25</v>
      </c>
      <c r="AQ29" s="31">
        <v>10</v>
      </c>
      <c r="AR29" s="31">
        <f>AVERAGE(8,9,9,8)</f>
        <v>8.5</v>
      </c>
      <c r="AS29" s="31">
        <v>275</v>
      </c>
      <c r="AT29" s="31">
        <v>10</v>
      </c>
    </row>
    <row r="30" spans="1:46" x14ac:dyDescent="0.25">
      <c r="A30" s="7" t="s">
        <v>103</v>
      </c>
      <c r="B30" s="11">
        <v>29</v>
      </c>
      <c r="C30">
        <v>1</v>
      </c>
      <c r="D30">
        <v>0</v>
      </c>
      <c r="E30">
        <v>4</v>
      </c>
      <c r="F30">
        <v>2</v>
      </c>
      <c r="G30">
        <v>0</v>
      </c>
      <c r="H30">
        <f>15/20</f>
        <v>0.75</v>
      </c>
      <c r="I30">
        <f>4/20</f>
        <v>0.2</v>
      </c>
      <c r="J30">
        <f>1/20</f>
        <v>0.05</v>
      </c>
      <c r="K30">
        <v>0</v>
      </c>
      <c r="L30">
        <v>0</v>
      </c>
      <c r="M30">
        <v>0</v>
      </c>
      <c r="N30">
        <v>0</v>
      </c>
      <c r="O30">
        <v>0</v>
      </c>
      <c r="P30" s="28">
        <v>67</v>
      </c>
      <c r="Q30" s="28">
        <f>AVERAGE(77,75,57,63)</f>
        <v>68</v>
      </c>
      <c r="R30" s="28">
        <f>AVERAGE(68,55,45,51)</f>
        <v>54.75</v>
      </c>
      <c r="S30" s="28">
        <f>AVERAGE(56,78,55,71)</f>
        <v>65</v>
      </c>
      <c r="T30" s="28">
        <f>AVERAGE(77,68,56)</f>
        <v>67</v>
      </c>
      <c r="U30" s="28">
        <f>AVERAGE(75,55,78)</f>
        <v>69.333333333333329</v>
      </c>
      <c r="V30" s="28">
        <f>AVERAGE(57,45,55)</f>
        <v>52.333333333333336</v>
      </c>
      <c r="W30" s="28">
        <f>AVERAGE(63,51,71)</f>
        <v>61.666666666666664</v>
      </c>
      <c r="X30" s="28">
        <v>1</v>
      </c>
      <c r="Y30" s="28">
        <f>AVERAGE(1.5,1.5,2,2)</f>
        <v>1.75</v>
      </c>
      <c r="Z30" s="28">
        <f>AVERAGE(4,3,2.5,2)</f>
        <v>2.875</v>
      </c>
      <c r="AA30" s="28">
        <f>AVERAGE(1,3,2,3)</f>
        <v>2.25</v>
      </c>
      <c r="AB30" s="28">
        <f>AVERAGE(1.5,4,1)</f>
        <v>2.1666666666666665</v>
      </c>
      <c r="AC30" s="28">
        <f>AVERAGE(1.5,3,3)</f>
        <v>2.5</v>
      </c>
      <c r="AD30" s="28">
        <f>AVERAGE(2,2.5,2)</f>
        <v>2.1666666666666665</v>
      </c>
      <c r="AE30" s="28">
        <f>AVERAGE(2,2,3)</f>
        <v>2.3333333333333335</v>
      </c>
      <c r="AF30" s="31">
        <v>0</v>
      </c>
      <c r="AG30" s="31">
        <v>0</v>
      </c>
      <c r="AH30" s="31">
        <v>0</v>
      </c>
      <c r="AI30" s="31">
        <v>0</v>
      </c>
      <c r="AJ30" s="31">
        <v>0</v>
      </c>
      <c r="AK30" s="31">
        <f>AVERAGE(7,6,6,8)</f>
        <v>6.75</v>
      </c>
      <c r="AL30" s="31">
        <f>AVERAGE(8,5,5,8)</f>
        <v>6.5</v>
      </c>
      <c r="AM30" s="31">
        <f>AVERAGE(8,6,5,8)</f>
        <v>6.75</v>
      </c>
      <c r="AN30" s="31">
        <f>AVERAGE(5,8,8,10)</f>
        <v>7.75</v>
      </c>
      <c r="AO30" s="31">
        <f>AVERAGE(7,8,8,5)</f>
        <v>7</v>
      </c>
      <c r="AP30" s="31">
        <f>AVERAGE(6,5,6,8)</f>
        <v>6.25</v>
      </c>
      <c r="AQ30" s="31">
        <f>AVERAGE(6,5,5,8)</f>
        <v>6</v>
      </c>
      <c r="AR30" s="31">
        <f>AVERAGE(8,8,8,10)</f>
        <v>8.5</v>
      </c>
      <c r="AS30" s="31">
        <v>320</v>
      </c>
      <c r="AT30" s="31">
        <v>109</v>
      </c>
    </row>
    <row r="31" spans="1:46" x14ac:dyDescent="0.25">
      <c r="A31" s="7" t="s">
        <v>104</v>
      </c>
      <c r="B31" s="11">
        <v>30</v>
      </c>
      <c r="C31">
        <v>1</v>
      </c>
      <c r="D31">
        <v>0</v>
      </c>
      <c r="E31">
        <v>2</v>
      </c>
      <c r="F31">
        <v>1</v>
      </c>
      <c r="G31">
        <v>0</v>
      </c>
      <c r="H31">
        <f>17/20</f>
        <v>0.85</v>
      </c>
      <c r="I31">
        <f>3/20</f>
        <v>0.15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28">
        <v>81</v>
      </c>
      <c r="Q31" s="28">
        <f>AVERAGE(60,82,94,82)</f>
        <v>79.5</v>
      </c>
      <c r="R31" s="28">
        <f>AVERAGE(79,89,78,62)</f>
        <v>77</v>
      </c>
      <c r="S31" s="28">
        <f>AVERAGE(76,86,67,61)</f>
        <v>72.5</v>
      </c>
      <c r="T31" s="28">
        <f>AVERAGE(60,79,76)</f>
        <v>71.666666666666671</v>
      </c>
      <c r="U31" s="28">
        <f>AVERAGE(82,89,86)</f>
        <v>85.666666666666671</v>
      </c>
      <c r="V31" s="28">
        <f>AVERAGE(94,78,67)</f>
        <v>79.666666666666671</v>
      </c>
      <c r="W31" s="28">
        <f>AVERAGE(82, 62,61)</f>
        <v>68.333333333333329</v>
      </c>
      <c r="X31" s="28">
        <v>2</v>
      </c>
      <c r="Y31" s="28">
        <f>AVERAGE(2,1,2,1.5)</f>
        <v>1.625</v>
      </c>
      <c r="Z31" s="28">
        <f>AVERAGE(1,3,1,1)</f>
        <v>1.5</v>
      </c>
      <c r="AA31" s="28">
        <f>AVERAGE(2.5,0,1,2)</f>
        <v>1.375</v>
      </c>
      <c r="AB31" s="28">
        <f>AVERAGE(2,1,2.5)</f>
        <v>1.8333333333333333</v>
      </c>
      <c r="AC31" s="28">
        <f>AVERAGE(1,3,0)</f>
        <v>1.3333333333333333</v>
      </c>
      <c r="AD31" s="28">
        <f>AVERAGE(2,1,1)</f>
        <v>1.3333333333333333</v>
      </c>
      <c r="AE31" s="28">
        <f>AVERAGE(1.5,1,2)</f>
        <v>1.5</v>
      </c>
      <c r="AF31" s="31">
        <v>0</v>
      </c>
      <c r="AG31" s="31">
        <v>0</v>
      </c>
      <c r="AH31" s="31">
        <v>0</v>
      </c>
      <c r="AI31" s="31">
        <v>0</v>
      </c>
      <c r="AJ31" s="31">
        <v>0</v>
      </c>
      <c r="AK31" s="31">
        <f>AVERAGE(9,10,10,7)</f>
        <v>9</v>
      </c>
      <c r="AL31" s="31">
        <f>AVERAGE(8,10,9,8)</f>
        <v>8.75</v>
      </c>
      <c r="AM31" s="31">
        <f>AVERAGE(9,10,8,8)</f>
        <v>8.75</v>
      </c>
      <c r="AN31" s="31">
        <f>AVERAGE(8,10,8,10)</f>
        <v>9</v>
      </c>
      <c r="AO31" s="31">
        <f>AVERAGE(9,8,9,8)</f>
        <v>8.5</v>
      </c>
      <c r="AP31" s="31">
        <v>10</v>
      </c>
      <c r="AQ31" s="31">
        <f>AVERAGE(10,9,8,8)</f>
        <v>8.75</v>
      </c>
      <c r="AR31" s="31">
        <f>AVERAGE(7,8,8,10)</f>
        <v>8.25</v>
      </c>
      <c r="AS31" s="31">
        <v>270</v>
      </c>
      <c r="AT31" s="31">
        <v>0</v>
      </c>
    </row>
    <row r="32" spans="1:46" x14ac:dyDescent="0.25">
      <c r="A32" s="7" t="s">
        <v>105</v>
      </c>
      <c r="B32" s="11">
        <v>31</v>
      </c>
      <c r="C32">
        <v>1</v>
      </c>
      <c r="D32">
        <v>0</v>
      </c>
      <c r="E32">
        <v>2</v>
      </c>
      <c r="F32">
        <v>1</v>
      </c>
      <c r="G32">
        <v>0</v>
      </c>
      <c r="H32">
        <f>10/20</f>
        <v>0.5</v>
      </c>
      <c r="I32">
        <f>9/20</f>
        <v>0.45</v>
      </c>
      <c r="J32">
        <f>1/20</f>
        <v>0.05</v>
      </c>
      <c r="K32">
        <v>0</v>
      </c>
      <c r="L32">
        <v>0</v>
      </c>
      <c r="M32">
        <v>0</v>
      </c>
      <c r="N32">
        <v>0</v>
      </c>
      <c r="O32">
        <v>0</v>
      </c>
      <c r="P32" s="28">
        <v>27</v>
      </c>
      <c r="Q32" s="28">
        <f>AVERAGE(46,52,35,33)</f>
        <v>41.5</v>
      </c>
      <c r="R32" s="28">
        <f>AVERAGE(61,70,55,41)</f>
        <v>56.75</v>
      </c>
      <c r="S32" s="28">
        <f>AVERAGE(37,78,78,41)</f>
        <v>58.5</v>
      </c>
      <c r="T32" s="28">
        <f>AVERAGE(46,61,37)</f>
        <v>48</v>
      </c>
      <c r="U32" s="28">
        <f>AVERAGE(52,70,78)</f>
        <v>66.666666666666671</v>
      </c>
      <c r="V32" s="28">
        <f>AVERAGE(35,55,78)</f>
        <v>56</v>
      </c>
      <c r="W32" s="28">
        <f>AVERAGE(33,41,41)</f>
        <v>38.333333333333336</v>
      </c>
      <c r="X32" s="28">
        <v>1.5</v>
      </c>
      <c r="Y32" s="28">
        <f>AVERAGE(0,0,0.5,0.5)</f>
        <v>0.25</v>
      </c>
      <c r="Z32" s="28">
        <f>AVERAGE(1,2,0.5,1)</f>
        <v>1.125</v>
      </c>
      <c r="AA32" s="28">
        <f>AVERAGE(1,1,0,0.5)</f>
        <v>0.625</v>
      </c>
      <c r="AB32" s="28">
        <f>AVERAGE(0,1,1)</f>
        <v>0.66666666666666663</v>
      </c>
      <c r="AC32" s="28">
        <f>AVERAGE(0,2,1)</f>
        <v>1</v>
      </c>
      <c r="AD32" s="28">
        <f>AVERAGE(0.5,0.5,0)</f>
        <v>0.33333333333333331</v>
      </c>
      <c r="AE32" s="28">
        <f>AVERAGE(0.5,1,0.5)</f>
        <v>0.66666666666666663</v>
      </c>
      <c r="AF32" s="31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f>AVERAGE(4,6,5,4)</f>
        <v>4.75</v>
      </c>
      <c r="AL32" s="31">
        <f>AVERAGE(5,7,5,4)</f>
        <v>5.25</v>
      </c>
      <c r="AM32" s="31">
        <f>AVERAGE(5,7,6,5)</f>
        <v>5.75</v>
      </c>
      <c r="AN32" s="31">
        <f>AVERAGE(5,5,8,5)</f>
        <v>5.75</v>
      </c>
      <c r="AO32" s="31">
        <f>AVERAGE(4,5,5,5)</f>
        <v>4.75</v>
      </c>
      <c r="AP32" s="31">
        <f>AVERAGE(6,7,7,5)</f>
        <v>6.25</v>
      </c>
      <c r="AQ32" s="31">
        <f>AVERAGE(5,5,6,8)</f>
        <v>6</v>
      </c>
      <c r="AR32" s="31">
        <f>AVERAGE(4,4,5,5)</f>
        <v>4.5</v>
      </c>
      <c r="AS32" s="31">
        <v>532</v>
      </c>
      <c r="AT32" s="31">
        <v>37</v>
      </c>
    </row>
    <row r="33" spans="1:46" x14ac:dyDescent="0.25">
      <c r="A33" s="7" t="s">
        <v>106</v>
      </c>
      <c r="B33" s="11">
        <v>32</v>
      </c>
      <c r="C33">
        <v>1</v>
      </c>
      <c r="D33">
        <v>0</v>
      </c>
      <c r="E33">
        <v>2</v>
      </c>
      <c r="F33">
        <v>2</v>
      </c>
      <c r="G33">
        <v>0</v>
      </c>
      <c r="H33">
        <f>8/20</f>
        <v>0.4</v>
      </c>
      <c r="I33">
        <f>7/20</f>
        <v>0.35</v>
      </c>
      <c r="J33">
        <f>5/20</f>
        <v>0.25</v>
      </c>
      <c r="K33">
        <v>0</v>
      </c>
      <c r="L33">
        <v>0</v>
      </c>
      <c r="M33">
        <v>0</v>
      </c>
      <c r="N33">
        <v>0</v>
      </c>
      <c r="O33">
        <v>0</v>
      </c>
      <c r="P33" s="28">
        <v>143</v>
      </c>
      <c r="Q33" s="28">
        <f>AVERAGE(62,34,49,68)</f>
        <v>53.25</v>
      </c>
      <c r="R33" s="28">
        <f>AVERAGE(50,63,43.5,58.5)</f>
        <v>53.75</v>
      </c>
      <c r="S33" s="28">
        <f>AVERAGE(49.5,54.5,61.5,104)</f>
        <v>67.375</v>
      </c>
      <c r="T33" s="28">
        <f>AVERAGE(62,50,49.5)</f>
        <v>53.833333333333336</v>
      </c>
      <c r="U33" s="28">
        <f>AVERAGE(34,63,54.5)</f>
        <v>50.5</v>
      </c>
      <c r="V33" s="28">
        <f>AVERAGE(49,43.5,61.5)</f>
        <v>51.333333333333336</v>
      </c>
      <c r="W33" s="28">
        <f>AVERAGE(68,58.5,104)</f>
        <v>76.833333333333329</v>
      </c>
      <c r="X33" s="28">
        <v>2</v>
      </c>
      <c r="Y33" s="28">
        <f>AVERAGE(3,2.5,2.5,1.5)</f>
        <v>2.375</v>
      </c>
      <c r="Z33" s="28">
        <f>AVERAGE(2.5,1,3,1)</f>
        <v>1.875</v>
      </c>
      <c r="AA33" s="28">
        <f>AVERAGE(2,1,2,2)</f>
        <v>1.75</v>
      </c>
      <c r="AB33" s="28">
        <f>AVERAGE(3,2.5,2)</f>
        <v>2.5</v>
      </c>
      <c r="AC33" s="28">
        <f>AVERAGE(2.5,1,1)</f>
        <v>1.5</v>
      </c>
      <c r="AD33" s="28">
        <f>AVERAGE(2.5,3,2)</f>
        <v>2.5</v>
      </c>
      <c r="AE33" s="28">
        <f>AVERAGE(1.5,1,2)</f>
        <v>1.5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f>AVERAGE(5,10,4,6)</f>
        <v>6.25</v>
      </c>
      <c r="AL33" s="31">
        <f>AVERAGE(5,10,4,7)</f>
        <v>6.5</v>
      </c>
      <c r="AM33" s="31">
        <f>AVERAGE(5,10,5,4)</f>
        <v>6</v>
      </c>
      <c r="AN33" s="31">
        <f>AVERAGE(3,6,6,9)</f>
        <v>6</v>
      </c>
      <c r="AO33" s="31">
        <f>AVERAGE(5,5,5,3)</f>
        <v>4.5</v>
      </c>
      <c r="AP33" s="31">
        <f>AVERAGE(10,10,10,6)</f>
        <v>9</v>
      </c>
      <c r="AQ33" s="31">
        <f>AVERAGE(4,4,5,6)</f>
        <v>4.75</v>
      </c>
      <c r="AR33" s="31">
        <f>AVERAGE(6,7,4,9)</f>
        <v>6.5</v>
      </c>
      <c r="AS33" s="31">
        <v>322</v>
      </c>
      <c r="AT33" s="31">
        <v>159</v>
      </c>
    </row>
    <row r="34" spans="1:46" x14ac:dyDescent="0.25">
      <c r="A34" s="7" t="s">
        <v>107</v>
      </c>
      <c r="B34" s="11">
        <v>33</v>
      </c>
      <c r="C34">
        <v>1</v>
      </c>
      <c r="D34">
        <v>0</v>
      </c>
      <c r="E34">
        <v>1</v>
      </c>
      <c r="F34">
        <v>1</v>
      </c>
      <c r="G34">
        <f>6/20</f>
        <v>0.3</v>
      </c>
      <c r="H34">
        <f>10/20</f>
        <v>0.5</v>
      </c>
      <c r="I34">
        <f>2/20</f>
        <v>0.1</v>
      </c>
      <c r="J34">
        <f>2/20</f>
        <v>0.1</v>
      </c>
      <c r="K34">
        <v>0</v>
      </c>
      <c r="L34">
        <v>0</v>
      </c>
      <c r="M34">
        <v>0</v>
      </c>
      <c r="N34">
        <v>0</v>
      </c>
      <c r="O34">
        <v>0</v>
      </c>
      <c r="P34" s="28">
        <v>50</v>
      </c>
      <c r="Q34" s="28">
        <f>AVERAGE(46,52,79,45.5)</f>
        <v>55.625</v>
      </c>
      <c r="R34" s="28">
        <f>AVERAGE(33,61,74,43)</f>
        <v>52.75</v>
      </c>
      <c r="S34" s="28">
        <f>AVERAGE(78,54.5,93,62)</f>
        <v>71.875</v>
      </c>
      <c r="T34" s="28">
        <f>AVERAGE(46,33,78)</f>
        <v>52.333333333333336</v>
      </c>
      <c r="U34" s="28">
        <f>AVERAGE(52,61,54.5)</f>
        <v>55.833333333333336</v>
      </c>
      <c r="V34" s="28">
        <f>AVERAGE(79,74,93)</f>
        <v>82</v>
      </c>
      <c r="W34" s="28">
        <f>AVERAGE(45.5,43,62)</f>
        <v>50.166666666666664</v>
      </c>
      <c r="X34" s="28">
        <v>2.5</v>
      </c>
      <c r="Y34" s="28">
        <f>AVERAGE(2,3,2,3)</f>
        <v>2.5</v>
      </c>
      <c r="Z34" s="28">
        <f>AVERAGE(3.5,3.5,3,3)</f>
        <v>3.25</v>
      </c>
      <c r="AA34" s="28">
        <f>AVERAGE(3,2.5,2,3.5)</f>
        <v>2.75</v>
      </c>
      <c r="AB34" s="28">
        <f>AVERAGE(3,3.5,3)</f>
        <v>3.1666666666666665</v>
      </c>
      <c r="AC34" s="28">
        <f>AVERAGE(3,3.5,2.5)</f>
        <v>3</v>
      </c>
      <c r="AD34" s="28">
        <f>AVERAGE(2,3,2)</f>
        <v>2.3333333333333335</v>
      </c>
      <c r="AE34" s="28">
        <f>AVERAGE(3,3,3.5)</f>
        <v>3.1666666666666665</v>
      </c>
      <c r="AF34" s="31">
        <v>0</v>
      </c>
      <c r="AG34" s="31">
        <v>0</v>
      </c>
      <c r="AH34" s="31">
        <v>0</v>
      </c>
      <c r="AI34" s="31">
        <v>0</v>
      </c>
      <c r="AJ34" s="31">
        <v>0</v>
      </c>
      <c r="AK34" s="31">
        <f>AVERAGE(4,7,8,5)</f>
        <v>6</v>
      </c>
      <c r="AL34" s="31">
        <f>AVERAGE(5,4,7,6)</f>
        <v>5.5</v>
      </c>
      <c r="AM34" s="31">
        <f>AVERAGE(7,8,8,6)</f>
        <v>7.25</v>
      </c>
      <c r="AN34" s="31">
        <f>AVERAGE(6,7,6,7)</f>
        <v>6.5</v>
      </c>
      <c r="AO34" s="31">
        <f>AVERAGE(4,5,7,6)</f>
        <v>5.5</v>
      </c>
      <c r="AP34" s="31">
        <f>AVERAGE(7,4,8,7)</f>
        <v>6.5</v>
      </c>
      <c r="AQ34" s="31">
        <f>AVERAGE(8,7,8,6)</f>
        <v>7.25</v>
      </c>
      <c r="AR34" s="31">
        <f>AVERAGE(5,6,6,7)</f>
        <v>6</v>
      </c>
      <c r="AS34" s="31">
        <v>408</v>
      </c>
      <c r="AT34" s="31">
        <v>16</v>
      </c>
    </row>
    <row r="35" spans="1:46" x14ac:dyDescent="0.25">
      <c r="A35" s="7" t="s">
        <v>108</v>
      </c>
      <c r="B35" s="11">
        <v>34</v>
      </c>
      <c r="C35">
        <v>1</v>
      </c>
      <c r="D35">
        <v>0</v>
      </c>
      <c r="E35">
        <v>4</v>
      </c>
      <c r="F35">
        <v>3</v>
      </c>
      <c r="G35">
        <v>0</v>
      </c>
      <c r="H35">
        <f>10/20</f>
        <v>0.5</v>
      </c>
      <c r="I35">
        <f>9/10</f>
        <v>0.9</v>
      </c>
      <c r="J35">
        <f>1/20</f>
        <v>0.05</v>
      </c>
      <c r="K35">
        <v>0</v>
      </c>
      <c r="L35">
        <v>0</v>
      </c>
      <c r="M35">
        <v>0</v>
      </c>
      <c r="N35">
        <v>0</v>
      </c>
      <c r="O35">
        <v>0</v>
      </c>
      <c r="P35" s="28">
        <v>83.5</v>
      </c>
      <c r="Q35" s="28">
        <f>AVERAGE(66,61,86,85)</f>
        <v>74.5</v>
      </c>
      <c r="R35" s="28">
        <f>AVERAGE(139,136,144,77)</f>
        <v>124</v>
      </c>
      <c r="S35" s="28">
        <f>AVERAGE(154,228,96,102)</f>
        <v>145</v>
      </c>
      <c r="T35" s="28">
        <f>AVERAGE(66,139,154)</f>
        <v>119.66666666666667</v>
      </c>
      <c r="U35" s="28">
        <f>AVERAGE(61,136,228)</f>
        <v>141.66666666666666</v>
      </c>
      <c r="V35" s="28">
        <f>AVERAGE(86,144,96)</f>
        <v>108.66666666666667</v>
      </c>
      <c r="W35" s="28">
        <f>AVERAGE(85,77,102)</f>
        <v>88</v>
      </c>
      <c r="X35" s="28">
        <v>2.5</v>
      </c>
      <c r="Y35" s="28">
        <v>2</v>
      </c>
      <c r="Z35" s="28">
        <f>AVERAGE(3,2,1,2.5)</f>
        <v>2.125</v>
      </c>
      <c r="AA35" s="28">
        <f>AVERAGE(2,1.5,1,1.5)</f>
        <v>1.5</v>
      </c>
      <c r="AB35" s="28">
        <f>AVERAGE(2,3,2)</f>
        <v>2.3333333333333335</v>
      </c>
      <c r="AC35" s="28">
        <f>AVERAGE(2,2,1.5)</f>
        <v>1.8333333333333333</v>
      </c>
      <c r="AD35" s="28">
        <f>AVERAGE(2,1,1)</f>
        <v>1.3333333333333333</v>
      </c>
      <c r="AE35" s="28">
        <f>AVERAGE(2,2.5,1.5)</f>
        <v>2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f>AVERAGE(10,10,10,9)</f>
        <v>9.75</v>
      </c>
      <c r="AL35" s="31">
        <v>10</v>
      </c>
      <c r="AM35" s="31">
        <v>10</v>
      </c>
      <c r="AN35" s="31">
        <v>10</v>
      </c>
      <c r="AO35" s="31">
        <v>10</v>
      </c>
      <c r="AP35" s="31">
        <v>10</v>
      </c>
      <c r="AQ35" s="31">
        <v>10</v>
      </c>
      <c r="AR35" s="31">
        <f>AVERAGE(9,10,10,10)</f>
        <v>9.75</v>
      </c>
      <c r="AS35" s="31">
        <v>130</v>
      </c>
      <c r="AT35" s="31">
        <v>23</v>
      </c>
    </row>
    <row r="36" spans="1:46" x14ac:dyDescent="0.25">
      <c r="A36" s="7" t="s">
        <v>109</v>
      </c>
      <c r="B36" s="11">
        <v>35</v>
      </c>
      <c r="C36">
        <v>1</v>
      </c>
      <c r="D36">
        <v>0</v>
      </c>
      <c r="E36">
        <v>1</v>
      </c>
      <c r="F36">
        <v>1</v>
      </c>
      <c r="G36">
        <f>1/20</f>
        <v>0.05</v>
      </c>
      <c r="H36">
        <f>7/20</f>
        <v>0.35</v>
      </c>
      <c r="I36">
        <f>9/20</f>
        <v>0.45</v>
      </c>
      <c r="J36">
        <f>2/20</f>
        <v>0.1</v>
      </c>
      <c r="K36">
        <v>0</v>
      </c>
      <c r="L36">
        <v>0</v>
      </c>
      <c r="M36">
        <f>1/20</f>
        <v>0.05</v>
      </c>
      <c r="N36">
        <v>0</v>
      </c>
      <c r="O36">
        <v>0</v>
      </c>
      <c r="P36" s="28">
        <v>64</v>
      </c>
      <c r="Q36" s="28">
        <f>AVERAGE(68,31,46,52)</f>
        <v>49.25</v>
      </c>
      <c r="R36" s="28">
        <f>AVERAGE(79,87,73.5,53.5)</f>
        <v>73.25</v>
      </c>
      <c r="S36" s="28">
        <f>AVERAGE(75,38.5,64.5,53)</f>
        <v>57.75</v>
      </c>
      <c r="T36" s="28">
        <f>AVERAGE(68,79,75)</f>
        <v>74</v>
      </c>
      <c r="U36" s="28">
        <f>AVERAGE(31,87,38.5)</f>
        <v>52.166666666666664</v>
      </c>
      <c r="V36" s="28">
        <f>AVERAGE(46,73.5,64.5)</f>
        <v>61.333333333333336</v>
      </c>
      <c r="W36" s="28">
        <f>AVERAGE(52,53.5,53)</f>
        <v>52.833333333333336</v>
      </c>
      <c r="X36" s="28">
        <v>1</v>
      </c>
      <c r="Y36" s="28">
        <f>AVERAGE(3,1,1,0)</f>
        <v>1.25</v>
      </c>
      <c r="Z36" s="28">
        <f>AVERAGE(3,0,0,0)</f>
        <v>0.75</v>
      </c>
      <c r="AA36" s="28">
        <f>AVERAGE(2,1.5,1,0)</f>
        <v>1.125</v>
      </c>
      <c r="AB36" s="28">
        <f>AVERAGE(3,3,2)</f>
        <v>2.6666666666666665</v>
      </c>
      <c r="AC36" s="28">
        <f>AVERAGE(1,0,1.5)</f>
        <v>0.83333333333333337</v>
      </c>
      <c r="AD36" s="28">
        <f>AVERAGE(1,0,1)</f>
        <v>0.66666666666666663</v>
      </c>
      <c r="AE36" s="28">
        <v>0</v>
      </c>
      <c r="AF36" s="31">
        <v>0</v>
      </c>
      <c r="AG36" s="31">
        <v>0</v>
      </c>
      <c r="AH36" s="31">
        <v>0</v>
      </c>
      <c r="AI36" s="31">
        <v>0</v>
      </c>
      <c r="AJ36" s="31">
        <v>0</v>
      </c>
      <c r="AK36" s="31">
        <f>AVERAGE(7,6,5,5)</f>
        <v>5.75</v>
      </c>
      <c r="AL36" s="31">
        <f>AVERAGE(7,7,6,7)</f>
        <v>6.75</v>
      </c>
      <c r="AM36" s="31">
        <f>AVERAGE(6,6,8,5)</f>
        <v>6.25</v>
      </c>
      <c r="AN36" s="31">
        <f>AVERAGE(7,4,10,6)</f>
        <v>6.75</v>
      </c>
      <c r="AO36" s="31">
        <f>AVERAGE(7,7,6,7)</f>
        <v>6.75</v>
      </c>
      <c r="AP36" s="31">
        <f>AVERAGE(6,7,6,4)</f>
        <v>5.75</v>
      </c>
      <c r="AQ36" s="31">
        <f>AVERAGE(5,6,8,10)</f>
        <v>7.25</v>
      </c>
      <c r="AR36" s="31">
        <f>AVERAGE(5,7,5,6)</f>
        <v>5.75</v>
      </c>
      <c r="AS36" s="31">
        <v>526</v>
      </c>
      <c r="AT36" s="31">
        <v>158</v>
      </c>
    </row>
    <row r="37" spans="1:46" x14ac:dyDescent="0.25">
      <c r="A37" s="7" t="s">
        <v>110</v>
      </c>
      <c r="B37" s="11">
        <v>36</v>
      </c>
      <c r="C37">
        <v>1</v>
      </c>
      <c r="D37">
        <v>0</v>
      </c>
      <c r="E37">
        <v>2</v>
      </c>
      <c r="F37">
        <v>2</v>
      </c>
      <c r="G37">
        <v>0</v>
      </c>
      <c r="H37">
        <f>12/20</f>
        <v>0.6</v>
      </c>
      <c r="I37">
        <f>8/20</f>
        <v>0.4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28">
        <v>57</v>
      </c>
      <c r="Q37" s="28">
        <f>AVERAGE(84,48,57,43)</f>
        <v>58</v>
      </c>
      <c r="R37" s="28">
        <f>AVERAGE(82,109,105,122.5)</f>
        <v>104.625</v>
      </c>
      <c r="S37" s="28">
        <f>AVERAGE(87,102,67,60)</f>
        <v>79</v>
      </c>
      <c r="T37" s="28">
        <f>AVERAGE(84,82,87)</f>
        <v>84.333333333333329</v>
      </c>
      <c r="U37" s="28">
        <f>AVERAGE(48,109,102)</f>
        <v>86.333333333333329</v>
      </c>
      <c r="V37" s="28">
        <f>AVERAGE(57,105,67)</f>
        <v>76.333333333333329</v>
      </c>
      <c r="W37" s="28">
        <f>AVERAGE(43,122.5,60)</f>
        <v>75.166666666666671</v>
      </c>
      <c r="X37" s="28">
        <v>2</v>
      </c>
      <c r="Y37" s="28">
        <f>AVERAGE(2.5,2,2,1)</f>
        <v>1.875</v>
      </c>
      <c r="Z37" s="28">
        <f>AVERAGE(3,1.5,1.5,2)</f>
        <v>2</v>
      </c>
      <c r="AA37" s="28">
        <f>AVERAGE(2.5,2,1,2)</f>
        <v>1.875</v>
      </c>
      <c r="AB37" s="28">
        <f>AVERAGE(2.5,3,2.5)</f>
        <v>2.6666666666666665</v>
      </c>
      <c r="AC37" s="28">
        <f>AVERAGE(2,1.5,2)</f>
        <v>1.8333333333333333</v>
      </c>
      <c r="AD37" s="28">
        <f>AVERAGE(2,1.5,1)</f>
        <v>1.5</v>
      </c>
      <c r="AE37" s="28">
        <f>AVERAGE(1,2,2)</f>
        <v>1.6666666666666667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f>AVERAGE(6,6,10,4)</f>
        <v>6.5</v>
      </c>
      <c r="AL37" s="31">
        <f>AVERAGE(8,6,10,5)</f>
        <v>7.25</v>
      </c>
      <c r="AM37" s="31">
        <f>AVERAGE(9,8,10,5)</f>
        <v>8</v>
      </c>
      <c r="AN37" s="31">
        <f>AVERAGE(10,7,10,6)</f>
        <v>8.25</v>
      </c>
      <c r="AO37" s="31">
        <f>AVERAGE(6,8,9,10)</f>
        <v>8.25</v>
      </c>
      <c r="AP37" s="31">
        <f>AVERAGE(6,6,8,7)</f>
        <v>6.75</v>
      </c>
      <c r="AQ37" s="31">
        <v>10</v>
      </c>
      <c r="AR37" s="31">
        <f>AVERAGE(4,5,5,6)</f>
        <v>5</v>
      </c>
      <c r="AS37" s="31">
        <v>53</v>
      </c>
      <c r="AT37" s="31">
        <v>220</v>
      </c>
    </row>
    <row r="38" spans="1:46" x14ac:dyDescent="0.25">
      <c r="A38" s="7" t="s">
        <v>111</v>
      </c>
      <c r="B38" s="11">
        <v>37</v>
      </c>
      <c r="C38">
        <v>1</v>
      </c>
      <c r="D38">
        <v>0</v>
      </c>
      <c r="E38">
        <v>2</v>
      </c>
      <c r="F38">
        <v>2</v>
      </c>
      <c r="G38">
        <v>0</v>
      </c>
      <c r="H38">
        <f>11/20</f>
        <v>0.55000000000000004</v>
      </c>
      <c r="I38">
        <f>3/20</f>
        <v>0.15</v>
      </c>
      <c r="J38">
        <f>6/20</f>
        <v>0.3</v>
      </c>
      <c r="K38">
        <v>0</v>
      </c>
      <c r="L38">
        <v>0</v>
      </c>
      <c r="M38">
        <v>0</v>
      </c>
      <c r="N38">
        <v>0</v>
      </c>
      <c r="O38">
        <v>0</v>
      </c>
      <c r="P38" s="28">
        <v>46.5</v>
      </c>
      <c r="Q38" s="28">
        <f>AVERAGE(37,55.5,41,39.5)</f>
        <v>43.25</v>
      </c>
      <c r="R38" s="28">
        <f>AVERAGE(42,47,69,74)</f>
        <v>58</v>
      </c>
      <c r="S38" s="28">
        <f>AVERAGE(101,56,72,51)</f>
        <v>70</v>
      </c>
      <c r="T38" s="28">
        <f>AVERAGE(37,42,101)</f>
        <v>60</v>
      </c>
      <c r="U38" s="28">
        <f>AVERAGE(55.5,47,56)</f>
        <v>52.833333333333336</v>
      </c>
      <c r="V38" s="28">
        <f>AVERAGE(41,69,72)</f>
        <v>60.666666666666664</v>
      </c>
      <c r="W38" s="28">
        <f>AVERAGE(39.5,74,51)</f>
        <v>54.833333333333336</v>
      </c>
      <c r="X38" s="28">
        <v>2</v>
      </c>
      <c r="Y38" s="28">
        <f>AVERAGE(2,2,2.5,2)</f>
        <v>2.125</v>
      </c>
      <c r="Z38" s="28">
        <f>AVERAGE(3,2,2,1.5)</f>
        <v>2.125</v>
      </c>
      <c r="AA38" s="28">
        <f>AVERAGE(5,2,4,4)</f>
        <v>3.75</v>
      </c>
      <c r="AB38" s="28">
        <f>AVERAGE(2,3,5)</f>
        <v>3.3333333333333335</v>
      </c>
      <c r="AC38" s="28">
        <v>2</v>
      </c>
      <c r="AD38" s="28">
        <f>AVERAGE(2.5,2,4)</f>
        <v>2.8333333333333335</v>
      </c>
      <c r="AE38" s="28">
        <f>AVERAGE(2,1.5,4)</f>
        <v>2.5</v>
      </c>
      <c r="AF38" s="31">
        <v>0</v>
      </c>
      <c r="AG38" s="31">
        <v>0</v>
      </c>
      <c r="AH38" s="31">
        <v>0</v>
      </c>
      <c r="AI38" s="31">
        <v>0</v>
      </c>
      <c r="AJ38" s="31">
        <v>0</v>
      </c>
      <c r="AK38" s="31">
        <f>AVERAGE(7,6,5,6)</f>
        <v>6</v>
      </c>
      <c r="AL38" s="31">
        <f>AVERAGE(9,6,6,8)</f>
        <v>7.25</v>
      </c>
      <c r="AM38" s="31">
        <f>AVERAGE(8,4,9,8)</f>
        <v>7.25</v>
      </c>
      <c r="AN38" s="31">
        <f>AVERAGE(10,5,9,6)</f>
        <v>7.5</v>
      </c>
      <c r="AO38" s="31">
        <f>AVERAGE(7,9,8,10)</f>
        <v>8.5</v>
      </c>
      <c r="AP38" s="31">
        <f>AVERAGE(6,6,4,5)</f>
        <v>5.25</v>
      </c>
      <c r="AQ38" s="31">
        <f>AVERAGE(5,6,9,9)</f>
        <v>7.25</v>
      </c>
      <c r="AR38" s="31">
        <f>AVERAGE(6,8,8,6)</f>
        <v>7</v>
      </c>
      <c r="AS38" s="31">
        <v>293</v>
      </c>
      <c r="AT38" s="31">
        <v>152</v>
      </c>
    </row>
    <row r="39" spans="1:46" x14ac:dyDescent="0.25">
      <c r="A39" s="7" t="s">
        <v>112</v>
      </c>
      <c r="B39" s="11">
        <v>38</v>
      </c>
      <c r="C39">
        <v>1</v>
      </c>
      <c r="D39">
        <v>0</v>
      </c>
      <c r="E39">
        <v>1</v>
      </c>
      <c r="F39">
        <v>1</v>
      </c>
      <c r="G39">
        <f>1/20</f>
        <v>0.05</v>
      </c>
      <c r="H39">
        <f>14/20</f>
        <v>0.7</v>
      </c>
      <c r="I39">
        <f>5/20</f>
        <v>0.25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28">
        <v>59.5</v>
      </c>
      <c r="Q39" s="28">
        <f>AVERAGE(113,120.5,49,40.5)</f>
        <v>80.75</v>
      </c>
      <c r="R39" s="28">
        <f>AVERAGE(64,86.5,53,54)</f>
        <v>64.375</v>
      </c>
      <c r="S39" s="28">
        <f>AVERAGE(87.5,83,70,81)</f>
        <v>80.375</v>
      </c>
      <c r="T39" s="28">
        <f>AVERAGE(113,64,87.5)</f>
        <v>88.166666666666671</v>
      </c>
      <c r="U39" s="28">
        <f>AVERAGE(120.5,86.5,83)</f>
        <v>96.666666666666671</v>
      </c>
      <c r="V39" s="28">
        <f>AVERAGE(49,53,70)</f>
        <v>57.333333333333336</v>
      </c>
      <c r="W39" s="28">
        <f>AVERAGE(40.5,54,81)</f>
        <v>58.5</v>
      </c>
      <c r="X39" s="28">
        <v>4</v>
      </c>
      <c r="Y39" s="28">
        <f>AVERAGE(2.5,6,2.5,3.5)</f>
        <v>3.625</v>
      </c>
      <c r="Z39" s="28">
        <f>AVERAGE(2,3,4,5)</f>
        <v>3.5</v>
      </c>
      <c r="AA39" s="28">
        <f>AVERAGE(2.5,3,2,4)</f>
        <v>2.875</v>
      </c>
      <c r="AB39" s="28">
        <f>AVERAGE(2.5,2,2.5)</f>
        <v>2.3333333333333335</v>
      </c>
      <c r="AC39" s="28">
        <f>AVERAGE(6,3,3)</f>
        <v>4</v>
      </c>
      <c r="AD39" s="28">
        <f>AVERAGE(2.5,4,2)</f>
        <v>2.8333333333333335</v>
      </c>
      <c r="AE39" s="28">
        <f>AVERAGE(3.5,5,4)</f>
        <v>4.166666666666667</v>
      </c>
      <c r="AF39" s="31">
        <v>0</v>
      </c>
      <c r="AG39" s="31">
        <v>0</v>
      </c>
      <c r="AH39" s="31">
        <v>0</v>
      </c>
      <c r="AI39" s="31">
        <v>0</v>
      </c>
      <c r="AJ39" s="31">
        <v>0</v>
      </c>
      <c r="AK39" s="31">
        <f>AVERAGE(9,7,5,7)</f>
        <v>7</v>
      </c>
      <c r="AL39" s="31">
        <f>AVERAGE(8,8,7,7)</f>
        <v>7.5</v>
      </c>
      <c r="AM39" s="31">
        <f>AVERAGE(8,10,8,7)</f>
        <v>8.25</v>
      </c>
      <c r="AN39" s="31">
        <f>AVERAGE(8,9,9,10)</f>
        <v>9</v>
      </c>
      <c r="AO39" s="31">
        <f>AVERAGE(9,8,8,8)</f>
        <v>8.25</v>
      </c>
      <c r="AP39" s="31">
        <f>AVERAGE(7,8,10,9)</f>
        <v>8.5</v>
      </c>
      <c r="AQ39" s="31">
        <f>AVERAGE(5,7,8,9)</f>
        <v>7.25</v>
      </c>
      <c r="AR39" s="31">
        <f>AVERAGE(7,7,7,10)</f>
        <v>7.75</v>
      </c>
      <c r="AS39" s="31">
        <v>204</v>
      </c>
      <c r="AT39" s="31">
        <v>0</v>
      </c>
    </row>
    <row r="40" spans="1:46" x14ac:dyDescent="0.25">
      <c r="A40" s="7" t="s">
        <v>113</v>
      </c>
      <c r="B40" s="11">
        <v>39</v>
      </c>
      <c r="C40">
        <v>1</v>
      </c>
      <c r="D40">
        <v>0</v>
      </c>
      <c r="E40">
        <v>1</v>
      </c>
      <c r="F40">
        <v>1</v>
      </c>
      <c r="G40">
        <f>3/20</f>
        <v>0.15</v>
      </c>
      <c r="H40">
        <f>13/20</f>
        <v>0.65</v>
      </c>
      <c r="I40">
        <f>3/20</f>
        <v>0.15</v>
      </c>
      <c r="J40">
        <f>1/20</f>
        <v>0.05</v>
      </c>
      <c r="K40">
        <v>0</v>
      </c>
      <c r="L40">
        <v>0</v>
      </c>
      <c r="M40">
        <v>0</v>
      </c>
      <c r="N40">
        <v>0</v>
      </c>
      <c r="O40">
        <v>0</v>
      </c>
      <c r="P40" s="28">
        <v>130</v>
      </c>
      <c r="Q40" s="28">
        <f>AVERAGE(138.5,117.5,120,150)</f>
        <v>131.5</v>
      </c>
      <c r="R40" s="28">
        <f>AVERAGE(128,119,96,103)</f>
        <v>111.5</v>
      </c>
      <c r="S40" s="28">
        <f>AVERAGE(108,143,83,148.5)</f>
        <v>120.625</v>
      </c>
      <c r="T40" s="28">
        <f>AVERAGE(138.5,128,108)</f>
        <v>124.83333333333333</v>
      </c>
      <c r="U40" s="28">
        <f>AVERAGE(117.5,119,143)</f>
        <v>126.5</v>
      </c>
      <c r="V40" s="28">
        <f>AVERAGE(120,96,83)</f>
        <v>99.666666666666671</v>
      </c>
      <c r="W40" s="28">
        <f>AVERAGE(150,103,148)</f>
        <v>133.66666666666666</v>
      </c>
      <c r="X40" s="28">
        <v>5</v>
      </c>
      <c r="Y40" s="28">
        <f>AVERAGE(9,5,7,7)</f>
        <v>7</v>
      </c>
      <c r="Z40" s="28">
        <f>AVERAGE(8,6.5,4.5,4.5)</f>
        <v>5.875</v>
      </c>
      <c r="AA40" s="28">
        <f>AVERAGE(8.5,5.5,3,3)</f>
        <v>5</v>
      </c>
      <c r="AB40" s="28">
        <f>AVERAGE(9,8,8.5)</f>
        <v>8.5</v>
      </c>
      <c r="AC40" s="28">
        <f>AVERAGE(5,6.5,5.5)</f>
        <v>5.666666666666667</v>
      </c>
      <c r="AD40" s="28">
        <f>AVERAGE(7,4.5,3)</f>
        <v>4.833333333333333</v>
      </c>
      <c r="AE40" s="28">
        <f>AVERAGE(7,4.5,3)</f>
        <v>4.833333333333333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f>AVERAGE(8,8,7,8)</f>
        <v>7.75</v>
      </c>
      <c r="AL40" s="31">
        <f>AVERAGE(8,9,10,7)</f>
        <v>8.5</v>
      </c>
      <c r="AM40" s="31">
        <f>AVERAGE(9,9,8,8)</f>
        <v>8.5</v>
      </c>
      <c r="AN40" s="31">
        <f>AVERAGE(9,7,10,9)</f>
        <v>8.75</v>
      </c>
      <c r="AO40" s="31">
        <f>AVERAGE(8,8,9,9)</f>
        <v>8.5</v>
      </c>
      <c r="AP40" s="31">
        <f>AVERAGE(8,9,9,7)</f>
        <v>8.25</v>
      </c>
      <c r="AQ40" s="31">
        <f>AVERAGE(7,10,8,10)</f>
        <v>8.75</v>
      </c>
      <c r="AR40" s="31">
        <f>AVERAGE(9,7,8,9)</f>
        <v>8.25</v>
      </c>
      <c r="AS40" s="31">
        <v>196</v>
      </c>
      <c r="AT40" s="31">
        <v>0</v>
      </c>
    </row>
    <row r="41" spans="1:46" x14ac:dyDescent="0.25">
      <c r="A41" s="7" t="s">
        <v>114</v>
      </c>
      <c r="B41" s="11">
        <v>40</v>
      </c>
      <c r="C41">
        <v>1</v>
      </c>
      <c r="D41">
        <v>0</v>
      </c>
      <c r="E41">
        <v>1</v>
      </c>
      <c r="F41">
        <v>1</v>
      </c>
      <c r="G41">
        <f>1/20</f>
        <v>0.05</v>
      </c>
      <c r="H41">
        <f>16/20</f>
        <v>0.8</v>
      </c>
      <c r="I41">
        <f>2/20</f>
        <v>0.1</v>
      </c>
      <c r="J41">
        <f>1/20</f>
        <v>0.05</v>
      </c>
      <c r="K41">
        <v>0</v>
      </c>
      <c r="L41">
        <v>0</v>
      </c>
      <c r="M41">
        <v>0</v>
      </c>
      <c r="N41">
        <v>0</v>
      </c>
      <c r="O41">
        <v>0</v>
      </c>
      <c r="P41" s="28">
        <v>46</v>
      </c>
      <c r="Q41" s="28">
        <f>AVERAGE(53,52,33,53.5)</f>
        <v>47.875</v>
      </c>
      <c r="R41" s="28">
        <f>AVERAGE(56,40,54,64.5)</f>
        <v>53.625</v>
      </c>
      <c r="S41" s="28">
        <f>AVERAGE(63,57,74.5,89.5)</f>
        <v>71</v>
      </c>
      <c r="T41" s="28">
        <f>AVERAGE(53,56,63)</f>
        <v>57.333333333333336</v>
      </c>
      <c r="U41" s="28">
        <f>AVERAGE(52,40,57)</f>
        <v>49.666666666666664</v>
      </c>
      <c r="V41" s="28">
        <f>AVERAGE(33,54,74.5)</f>
        <v>53.833333333333336</v>
      </c>
      <c r="W41" s="28">
        <f>AVERAGE(53.5,64.5,89.5)</f>
        <v>69.166666666666671</v>
      </c>
      <c r="X41" s="28">
        <v>0.5</v>
      </c>
      <c r="Y41" s="28">
        <f>AVERAGE(0,0,1,3)</f>
        <v>1</v>
      </c>
      <c r="Z41" s="28">
        <f>AVERAGE(0,2,0,2)</f>
        <v>1</v>
      </c>
      <c r="AA41" s="28">
        <f>AVERAGE(0,1.5,4,3)</f>
        <v>2.125</v>
      </c>
      <c r="AB41" s="28">
        <v>0</v>
      </c>
      <c r="AC41" s="28">
        <f>AVERAGE(0,2,1.5)</f>
        <v>1.1666666666666667</v>
      </c>
      <c r="AD41" s="28">
        <f>AVERAGE(1,0,4)</f>
        <v>1.6666666666666667</v>
      </c>
      <c r="AE41" s="28">
        <f>AVERAGE(3,2,3)</f>
        <v>2.6666666666666665</v>
      </c>
      <c r="AF41" s="31">
        <v>0</v>
      </c>
      <c r="AG41" s="31">
        <v>0</v>
      </c>
      <c r="AH41" s="31">
        <v>0</v>
      </c>
      <c r="AI41" s="31">
        <v>0</v>
      </c>
      <c r="AJ41" s="31">
        <v>0</v>
      </c>
      <c r="AK41" s="31">
        <f>AVERAGE(6,5,5,4)</f>
        <v>5</v>
      </c>
      <c r="AL41" s="31">
        <f>AVERAGE(7,5,9,6)</f>
        <v>6.75</v>
      </c>
      <c r="AM41" s="31">
        <f>AVERAGE(5,6,7,9)</f>
        <v>6.75</v>
      </c>
      <c r="AN41" s="31">
        <f>AVERAGE(9,7,5,8)</f>
        <v>7.25</v>
      </c>
      <c r="AO41" s="31">
        <f>AVERAGE(6,7,5,9)</f>
        <v>6.75</v>
      </c>
      <c r="AP41" s="31">
        <f>AVERAGE(5,5,6,7)</f>
        <v>5.75</v>
      </c>
      <c r="AQ41" s="31">
        <f>AVERAGE(5,9,7,5)</f>
        <v>6.5</v>
      </c>
      <c r="AR41" s="31">
        <f>AVERAGE(4,6,9,8)</f>
        <v>6.75</v>
      </c>
      <c r="AS41" s="31">
        <v>175</v>
      </c>
      <c r="AT41" s="31">
        <v>209</v>
      </c>
    </row>
    <row r="42" spans="1:46" x14ac:dyDescent="0.25">
      <c r="A42" s="7" t="s">
        <v>115</v>
      </c>
      <c r="B42" s="11">
        <v>41</v>
      </c>
      <c r="C42">
        <v>1</v>
      </c>
      <c r="D42">
        <v>0</v>
      </c>
      <c r="E42">
        <v>1</v>
      </c>
      <c r="F42">
        <v>1</v>
      </c>
      <c r="G42">
        <f>12/20</f>
        <v>0.6</v>
      </c>
      <c r="H42">
        <f>4/20</f>
        <v>0.2</v>
      </c>
      <c r="I42">
        <f>3/20</f>
        <v>0.15</v>
      </c>
      <c r="J42">
        <f>3/20</f>
        <v>0.15</v>
      </c>
      <c r="K42">
        <f>1/20</f>
        <v>0.05</v>
      </c>
      <c r="L42">
        <v>0</v>
      </c>
      <c r="M42">
        <v>0</v>
      </c>
      <c r="N42">
        <v>0</v>
      </c>
      <c r="O42">
        <v>0</v>
      </c>
      <c r="P42" s="28">
        <v>59</v>
      </c>
      <c r="Q42" s="28">
        <f>AVERAGE(103,131,80.5,150.5)</f>
        <v>116.25</v>
      </c>
      <c r="R42" s="28">
        <f>AVERAGE(88,116,91,146)</f>
        <v>110.25</v>
      </c>
      <c r="S42" s="28">
        <f>AVERAGE(170,140.5,130.5,140)</f>
        <v>145.25</v>
      </c>
      <c r="T42" s="28">
        <f>AVERAGE(103,88,170)</f>
        <v>120.33333333333333</v>
      </c>
      <c r="U42" s="28">
        <f>AVERAGE(131,116,140.5)</f>
        <v>129.16666666666666</v>
      </c>
      <c r="V42" s="28">
        <f>AVERAGE(80.5,91,130.5)</f>
        <v>100.66666666666667</v>
      </c>
      <c r="W42" s="28">
        <f>AVERAGE(150.5,146,140)</f>
        <v>145.5</v>
      </c>
      <c r="X42" s="28">
        <v>7.5</v>
      </c>
      <c r="Y42" s="28">
        <f>AVERAGE(1,4.5,3.5,2)</f>
        <v>2.75</v>
      </c>
      <c r="Z42" s="28">
        <f>AVERAGE(2,3,6,2.5)</f>
        <v>3.375</v>
      </c>
      <c r="AA42" s="28">
        <f>AVERAGE(1,2.5,4,4)</f>
        <v>2.875</v>
      </c>
      <c r="AB42" s="28">
        <f>AVERAGE(1,2,1)</f>
        <v>1.3333333333333333</v>
      </c>
      <c r="AC42" s="28">
        <f>AVERAGE(4.5,3,2.5)</f>
        <v>3.3333333333333335</v>
      </c>
      <c r="AD42" s="28">
        <f>AVERAGE(3.5,6,4)</f>
        <v>4.5</v>
      </c>
      <c r="AE42" s="28">
        <f>AVERAGE(2,2.5,4)</f>
        <v>2.8333333333333335</v>
      </c>
      <c r="AF42" s="31">
        <v>0</v>
      </c>
      <c r="AG42" s="31">
        <v>0</v>
      </c>
      <c r="AH42" s="31">
        <v>0</v>
      </c>
      <c r="AI42" s="31">
        <v>0</v>
      </c>
      <c r="AJ42" s="31">
        <v>0</v>
      </c>
      <c r="AK42" s="31">
        <f>AVERAGE(9,10,10,9)</f>
        <v>9.5</v>
      </c>
      <c r="AL42" s="31">
        <f>AVERAGE(9,10,10,10)</f>
        <v>9.75</v>
      </c>
      <c r="AM42" s="31">
        <v>10</v>
      </c>
      <c r="AN42" s="31">
        <v>10</v>
      </c>
      <c r="AO42" s="31">
        <f>AVERAGE(9,9,10,10)</f>
        <v>9.5</v>
      </c>
      <c r="AP42" s="31">
        <v>10</v>
      </c>
      <c r="AQ42" s="31">
        <v>10</v>
      </c>
      <c r="AR42" s="31">
        <f>AVERAGE(9,10,10,10)</f>
        <v>9.75</v>
      </c>
      <c r="AS42" s="31">
        <v>171</v>
      </c>
      <c r="AT42" s="31">
        <v>0</v>
      </c>
    </row>
    <row r="43" spans="1:46" x14ac:dyDescent="0.25">
      <c r="A43" s="8" t="s">
        <v>116</v>
      </c>
      <c r="B43" s="11">
        <v>42</v>
      </c>
      <c r="C43">
        <v>0</v>
      </c>
      <c r="D43">
        <v>1</v>
      </c>
      <c r="E43" t="s">
        <v>172</v>
      </c>
      <c r="G43">
        <f>1/20</f>
        <v>0.05</v>
      </c>
      <c r="H43">
        <f>8/20</f>
        <v>0.4</v>
      </c>
      <c r="I43">
        <f>9/20</f>
        <v>0.45</v>
      </c>
      <c r="J43">
        <f>2/20</f>
        <v>0.1</v>
      </c>
      <c r="K43">
        <v>0</v>
      </c>
      <c r="L43">
        <v>0</v>
      </c>
      <c r="M43">
        <v>0</v>
      </c>
      <c r="N43">
        <v>0</v>
      </c>
      <c r="O43">
        <f>8/20</f>
        <v>0.4</v>
      </c>
      <c r="P43" s="28">
        <v>82</v>
      </c>
      <c r="Q43" s="28">
        <f>AVERAGE(102,113,63,174)</f>
        <v>113</v>
      </c>
      <c r="R43" s="28">
        <f>AVERAGE(187,113,178,75)</f>
        <v>138.25</v>
      </c>
      <c r="S43" s="28">
        <f>AVERAGE(164,213,42,178)</f>
        <v>149.25</v>
      </c>
      <c r="T43" s="28">
        <f>AVERAGE(102,187,164)</f>
        <v>151</v>
      </c>
      <c r="U43" s="28">
        <f>AVERAGE(113,113,213)</f>
        <v>146.33333333333334</v>
      </c>
      <c r="V43" s="28">
        <f>AVERAGE(63,178,42)</f>
        <v>94.333333333333329</v>
      </c>
      <c r="W43" s="28">
        <f>AVERAGE(174,75,178)</f>
        <v>142.33333333333334</v>
      </c>
      <c r="X43" s="28">
        <v>0</v>
      </c>
      <c r="Y43" s="28">
        <f>AVERAGE(2,1,0,0)</f>
        <v>0.75</v>
      </c>
      <c r="Z43" s="28">
        <f>AVERAGE(0,1,0,2)</f>
        <v>0.75</v>
      </c>
      <c r="AA43" s="28">
        <f>AVERAGE(2,2,0,3)</f>
        <v>1.75</v>
      </c>
      <c r="AB43" s="28">
        <f>AVERAGE(2,0,2)</f>
        <v>1.3333333333333333</v>
      </c>
      <c r="AC43" s="28">
        <f>AVERAGE(1,1,2)</f>
        <v>1.3333333333333333</v>
      </c>
      <c r="AD43" s="28">
        <v>0</v>
      </c>
      <c r="AE43" s="28">
        <f>AVERAGE(0,2,3)</f>
        <v>1.6666666666666667</v>
      </c>
      <c r="AF43" s="31">
        <v>21.94</v>
      </c>
      <c r="AG43" s="31">
        <v>96.62</v>
      </c>
      <c r="AH43" s="31">
        <v>96.62</v>
      </c>
      <c r="AI43" s="31">
        <v>19.920000000000002</v>
      </c>
      <c r="AJ43" s="31">
        <v>36.82</v>
      </c>
      <c r="AK43" t="s">
        <v>172</v>
      </c>
      <c r="AL43" t="s">
        <v>172</v>
      </c>
      <c r="AM43" t="s">
        <v>172</v>
      </c>
      <c r="AN43" t="s">
        <v>172</v>
      </c>
      <c r="AO43" t="s">
        <v>172</v>
      </c>
      <c r="AP43" t="s">
        <v>172</v>
      </c>
      <c r="AQ43" t="s">
        <v>172</v>
      </c>
      <c r="AR43" t="s">
        <v>172</v>
      </c>
      <c r="AS43" s="31">
        <v>592</v>
      </c>
      <c r="AT43" s="31">
        <v>59</v>
      </c>
    </row>
    <row r="44" spans="1:46" x14ac:dyDescent="0.25">
      <c r="A44" s="8" t="s">
        <v>117</v>
      </c>
      <c r="B44" s="11">
        <v>43</v>
      </c>
      <c r="C44">
        <v>0</v>
      </c>
      <c r="D44">
        <v>1</v>
      </c>
      <c r="E44" t="s">
        <v>172</v>
      </c>
      <c r="G44">
        <f>2/20</f>
        <v>0.1</v>
      </c>
      <c r="H44">
        <f>10/20</f>
        <v>0.5</v>
      </c>
      <c r="I44">
        <f>6/10</f>
        <v>0.6</v>
      </c>
      <c r="J44">
        <f>2/20</f>
        <v>0.1</v>
      </c>
      <c r="K44">
        <v>0</v>
      </c>
      <c r="L44">
        <v>0</v>
      </c>
      <c r="M44">
        <v>0</v>
      </c>
      <c r="N44">
        <v>0</v>
      </c>
      <c r="O44">
        <v>0</v>
      </c>
      <c r="P44" s="28">
        <v>52</v>
      </c>
      <c r="Q44" s="28">
        <f>AVERAGE(93,83,82,89)</f>
        <v>86.75</v>
      </c>
      <c r="R44" s="28">
        <f>AVERAGE(58,84,94,88)</f>
        <v>81</v>
      </c>
      <c r="S44" s="28">
        <f>AVERAGE(72,53,55,126)</f>
        <v>76.5</v>
      </c>
      <c r="T44" s="28">
        <f>AVERAGE(93,58,72)</f>
        <v>74.333333333333329</v>
      </c>
      <c r="U44" s="28">
        <f>AVERAGE(83,84,53)</f>
        <v>73.333333333333329</v>
      </c>
      <c r="V44" s="28">
        <f>AVERAGE(82,94,55)</f>
        <v>77</v>
      </c>
      <c r="W44" s="28">
        <f>AVERAGE(89,88,126)</f>
        <v>101</v>
      </c>
      <c r="X44" s="28">
        <v>1</v>
      </c>
      <c r="Y44" s="28">
        <f>AVERAGE(1,2.5,2.5,1)</f>
        <v>1.75</v>
      </c>
      <c r="Z44" s="28">
        <f>AVERAGE(2,1,1.5,1)</f>
        <v>1.375</v>
      </c>
      <c r="AA44" s="28">
        <f>AVERAGE(3,3.5,2,1.5)</f>
        <v>2.5</v>
      </c>
      <c r="AB44" s="28">
        <f>AVERAGE(1,2,3)</f>
        <v>2</v>
      </c>
      <c r="AC44" s="28">
        <f>AVERAGE(2.5,1,3.5)</f>
        <v>2.3333333333333335</v>
      </c>
      <c r="AD44" s="28">
        <f>AVERAGE(2.5,1.5,2)</f>
        <v>2</v>
      </c>
      <c r="AE44" s="28">
        <f>AVERAGE(1,1,1.5)</f>
        <v>1.1666666666666667</v>
      </c>
      <c r="AF44" s="32">
        <v>0</v>
      </c>
      <c r="AG44" s="32">
        <v>3.02</v>
      </c>
      <c r="AH44" s="33">
        <v>0</v>
      </c>
      <c r="AI44" s="33">
        <v>0</v>
      </c>
      <c r="AJ44" s="33">
        <v>0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s="31">
        <v>520</v>
      </c>
      <c r="AT44" s="31">
        <v>4</v>
      </c>
    </row>
    <row r="45" spans="1:46" x14ac:dyDescent="0.25">
      <c r="A45" s="8" t="s">
        <v>118</v>
      </c>
      <c r="B45" s="11">
        <v>44</v>
      </c>
      <c r="C45">
        <v>0</v>
      </c>
      <c r="D45">
        <v>1</v>
      </c>
      <c r="E45" t="s">
        <v>172</v>
      </c>
      <c r="G45">
        <v>0</v>
      </c>
      <c r="H45">
        <f>4/20</f>
        <v>0.2</v>
      </c>
      <c r="I45">
        <f>8/20</f>
        <v>0.4</v>
      </c>
      <c r="J45">
        <f>6/20</f>
        <v>0.3</v>
      </c>
      <c r="K45">
        <v>0</v>
      </c>
      <c r="L45">
        <f>1/20</f>
        <v>0.05</v>
      </c>
      <c r="M45">
        <f>1/20</f>
        <v>0.05</v>
      </c>
      <c r="N45">
        <v>0</v>
      </c>
      <c r="O45">
        <f>11/20</f>
        <v>0.55000000000000004</v>
      </c>
      <c r="P45" s="28">
        <v>120.5</v>
      </c>
      <c r="Q45" s="28">
        <f>AVERAGE(133,118,87,107)</f>
        <v>111.25</v>
      </c>
      <c r="R45" s="28">
        <f>AVERAGE(112,202,188,209)</f>
        <v>177.75</v>
      </c>
      <c r="S45" s="28">
        <f>AVERAGE(130,250,55,427)</f>
        <v>215.5</v>
      </c>
      <c r="T45" s="28">
        <f>AVERAGE(133,112,130)</f>
        <v>125</v>
      </c>
      <c r="U45" s="28">
        <f>AVERAGE(118,202,250)</f>
        <v>190</v>
      </c>
      <c r="V45" s="28">
        <f>AVERAGE(87,188,55)</f>
        <v>110</v>
      </c>
      <c r="W45" s="28">
        <f>AVERAGE(107,209,427)</f>
        <v>247.66666666666666</v>
      </c>
      <c r="X45" s="28">
        <v>0</v>
      </c>
      <c r="Y45" s="28">
        <v>0</v>
      </c>
      <c r="Z45" s="28">
        <f>AVERAGE(0,1,0,1.5)</f>
        <v>0.625</v>
      </c>
      <c r="AA45" s="28">
        <f>AVERAGE(0,1.5,0,2)</f>
        <v>0.875</v>
      </c>
      <c r="AB45" s="28">
        <v>0</v>
      </c>
      <c r="AC45" s="28">
        <f>AVERAGE(0,1,1.5)</f>
        <v>0.83333333333333337</v>
      </c>
      <c r="AD45" s="28">
        <v>0</v>
      </c>
      <c r="AE45" s="28">
        <f>AVERAGE(0,1.5,2)</f>
        <v>1.1666666666666667</v>
      </c>
      <c r="AF45" s="31">
        <v>52.16</v>
      </c>
      <c r="AG45" s="31">
        <v>100</v>
      </c>
      <c r="AH45" s="31">
        <v>9.7799999999999994</v>
      </c>
      <c r="AI45" s="31">
        <v>100</v>
      </c>
      <c r="AJ45" s="31">
        <v>8.48</v>
      </c>
      <c r="AK45" t="s">
        <v>172</v>
      </c>
      <c r="AL45" t="s">
        <v>172</v>
      </c>
      <c r="AM45" t="s">
        <v>172</v>
      </c>
      <c r="AN45" t="s">
        <v>172</v>
      </c>
      <c r="AO45" t="s">
        <v>172</v>
      </c>
      <c r="AP45" t="s">
        <v>172</v>
      </c>
      <c r="AQ45" t="s">
        <v>172</v>
      </c>
      <c r="AR45" t="s">
        <v>172</v>
      </c>
      <c r="AS45" s="31">
        <v>835</v>
      </c>
      <c r="AT45" s="31">
        <v>73</v>
      </c>
    </row>
    <row r="46" spans="1:46" x14ac:dyDescent="0.25">
      <c r="A46" s="8" t="s">
        <v>119</v>
      </c>
      <c r="B46" s="11">
        <v>45</v>
      </c>
      <c r="C46">
        <v>0</v>
      </c>
      <c r="D46">
        <v>1</v>
      </c>
      <c r="E46" t="s">
        <v>172</v>
      </c>
      <c r="G46">
        <v>0</v>
      </c>
      <c r="H46">
        <f>10/20</f>
        <v>0.5</v>
      </c>
      <c r="I46">
        <f>6/20</f>
        <v>0.3</v>
      </c>
      <c r="J46">
        <f>4/20</f>
        <v>0.2</v>
      </c>
      <c r="K46">
        <v>0</v>
      </c>
      <c r="L46">
        <v>0</v>
      </c>
      <c r="M46">
        <v>0</v>
      </c>
      <c r="N46">
        <v>0</v>
      </c>
      <c r="O46">
        <v>0</v>
      </c>
      <c r="P46" s="28">
        <f>2.54*23</f>
        <v>58.42</v>
      </c>
      <c r="Q46" s="28">
        <f>2.54*AVERAGE(21,21,19.5,19)</f>
        <v>51.1175</v>
      </c>
      <c r="R46" s="28">
        <f>2.54*AVERAGE(23,25.5,24,23.5)</f>
        <v>60.96</v>
      </c>
      <c r="S46" s="28">
        <f>2.54*AVERAGE(21,22,2.5,21.5)</f>
        <v>42.545000000000002</v>
      </c>
      <c r="T46" s="28">
        <f>2.54*AVERAGE(21,23,21)</f>
        <v>55.033333333333339</v>
      </c>
      <c r="U46" s="28">
        <f>2.54*AVERAGE(21,25.5,22)</f>
        <v>57.996666666666663</v>
      </c>
      <c r="V46" s="28">
        <f>2.54*AVERAGE(19.5,24,2.5)</f>
        <v>38.946666666666665</v>
      </c>
      <c r="W46" s="28">
        <f>2.54*AVERAGE(19,23.5,21.5)</f>
        <v>54.186666666666667</v>
      </c>
      <c r="X46" s="28">
        <v>2</v>
      </c>
      <c r="Y46" s="28">
        <f>AVERAGE(2,2,2,1)</f>
        <v>1.75</v>
      </c>
      <c r="Z46" s="28">
        <f>AVERAGE(1.5,2,1.5,1)</f>
        <v>1.5</v>
      </c>
      <c r="AA46" s="28">
        <f>AVERAGE(1,2,1.5,1.5)</f>
        <v>1.5</v>
      </c>
      <c r="AB46" s="28">
        <f>AVERAGE(2,1.5,1)</f>
        <v>1.5</v>
      </c>
      <c r="AC46" s="28">
        <v>2</v>
      </c>
      <c r="AD46" s="28">
        <f>AVERAGE(2,1.5,1.5)</f>
        <v>1.6666666666666667</v>
      </c>
      <c r="AE46" s="28">
        <f>AVERAGE(1,1,1.5)</f>
        <v>1.1666666666666667</v>
      </c>
      <c r="AF46" s="31">
        <v>0</v>
      </c>
      <c r="AG46" s="31">
        <v>4.84</v>
      </c>
      <c r="AH46" s="31">
        <v>2.5</v>
      </c>
      <c r="AI46" s="31">
        <v>0</v>
      </c>
      <c r="AJ46" s="31">
        <v>0</v>
      </c>
      <c r="AK46" t="s">
        <v>172</v>
      </c>
      <c r="AL46" t="s">
        <v>172</v>
      </c>
      <c r="AM46" t="s">
        <v>172</v>
      </c>
      <c r="AN46" t="s">
        <v>172</v>
      </c>
      <c r="AO46" t="s">
        <v>172</v>
      </c>
      <c r="AP46" t="s">
        <v>172</v>
      </c>
      <c r="AQ46" t="s">
        <v>172</v>
      </c>
      <c r="AR46" t="s">
        <v>172</v>
      </c>
      <c r="AS46" s="31">
        <v>144</v>
      </c>
      <c r="AT46" s="31">
        <v>27</v>
      </c>
    </row>
    <row r="47" spans="1:46" x14ac:dyDescent="0.25">
      <c r="A47" s="8" t="s">
        <v>120</v>
      </c>
      <c r="B47" s="11">
        <v>46</v>
      </c>
      <c r="C47">
        <v>0</v>
      </c>
      <c r="D47">
        <v>1</v>
      </c>
      <c r="E47" t="s">
        <v>172</v>
      </c>
      <c r="G47">
        <v>0</v>
      </c>
      <c r="H47">
        <f>6/20</f>
        <v>0.3</v>
      </c>
      <c r="I47">
        <f>11/20</f>
        <v>0.55000000000000004</v>
      </c>
      <c r="J47">
        <f>2/20</f>
        <v>0.1</v>
      </c>
      <c r="K47">
        <v>0</v>
      </c>
      <c r="L47">
        <v>0</v>
      </c>
      <c r="M47">
        <v>0</v>
      </c>
      <c r="N47">
        <v>0</v>
      </c>
      <c r="O47">
        <f>15/20</f>
        <v>0.75</v>
      </c>
      <c r="P47" s="28">
        <v>123</v>
      </c>
      <c r="Q47" s="28">
        <f>AVERAGE(92,118,134,152)</f>
        <v>124</v>
      </c>
      <c r="R47" s="28">
        <f>AVERAGE(195,145,116,244)</f>
        <v>175</v>
      </c>
      <c r="S47" s="28">
        <f>AVERAGE(193,232,234,314)</f>
        <v>243.25</v>
      </c>
      <c r="T47" s="28">
        <f>AVERAGE(92,195,193)</f>
        <v>160</v>
      </c>
      <c r="U47" s="28">
        <f>AVERAGE(118,145,232)</f>
        <v>165</v>
      </c>
      <c r="V47" s="28">
        <f>AVERAGE(134,116,234)</f>
        <v>161.33333333333334</v>
      </c>
      <c r="W47" s="28">
        <f>AVERAGE(152,244,314)</f>
        <v>236.66666666666666</v>
      </c>
      <c r="X47" s="28">
        <v>0.5</v>
      </c>
      <c r="Y47" s="28">
        <f>AVERAGE(1.5,1.5,3,3)</f>
        <v>2.25</v>
      </c>
      <c r="Z47" s="28">
        <f>AVERAGE(2,3,3,2)</f>
        <v>2.5</v>
      </c>
      <c r="AA47" s="28">
        <f>AVERAGE(3,2,2.5,4)</f>
        <v>2.875</v>
      </c>
      <c r="AB47" s="28">
        <f>AVERAGE(1.5,2,3)</f>
        <v>2.1666666666666665</v>
      </c>
      <c r="AC47" s="28">
        <f>AVERAGE(1.5,3,2)</f>
        <v>2.1666666666666665</v>
      </c>
      <c r="AD47" s="28">
        <f>AVERAGE(3,3,2.5)</f>
        <v>2.8333333333333335</v>
      </c>
      <c r="AE47" s="28">
        <f>AVERAGE(3,2,4)</f>
        <v>3</v>
      </c>
      <c r="AF47" s="31">
        <v>32.659999999999997</v>
      </c>
      <c r="AG47" s="31">
        <v>63.6</v>
      </c>
      <c r="AH47" s="31">
        <v>92.72</v>
      </c>
      <c r="AI47" s="31">
        <v>100</v>
      </c>
      <c r="AJ47" s="31">
        <v>0</v>
      </c>
      <c r="AK47" t="s">
        <v>172</v>
      </c>
      <c r="AL47" t="s">
        <v>172</v>
      </c>
      <c r="AM47" t="s">
        <v>172</v>
      </c>
      <c r="AN47" t="s">
        <v>172</v>
      </c>
      <c r="AO47" t="s">
        <v>172</v>
      </c>
      <c r="AP47" t="s">
        <v>172</v>
      </c>
      <c r="AQ47" t="s">
        <v>172</v>
      </c>
      <c r="AR47" t="s">
        <v>172</v>
      </c>
      <c r="AS47" s="31">
        <v>249.0625</v>
      </c>
      <c r="AT47" s="31">
        <v>17</v>
      </c>
    </row>
    <row r="48" spans="1:46" x14ac:dyDescent="0.25">
      <c r="A48" s="8" t="s">
        <v>121</v>
      </c>
      <c r="B48" s="11">
        <v>47</v>
      </c>
      <c r="C48">
        <v>0</v>
      </c>
      <c r="D48">
        <v>1</v>
      </c>
      <c r="E48" t="s">
        <v>172</v>
      </c>
      <c r="G48">
        <v>0</v>
      </c>
      <c r="H48">
        <f>8/20</f>
        <v>0.4</v>
      </c>
      <c r="I48">
        <f>10/20</f>
        <v>0.5</v>
      </c>
      <c r="J48">
        <f>2/20</f>
        <v>0.1</v>
      </c>
      <c r="K48">
        <v>0</v>
      </c>
      <c r="L48">
        <v>0</v>
      </c>
      <c r="M48">
        <v>0</v>
      </c>
      <c r="N48">
        <v>0</v>
      </c>
      <c r="O48">
        <f>10/20</f>
        <v>0.5</v>
      </c>
      <c r="P48" s="28">
        <v>87</v>
      </c>
      <c r="Q48" s="28">
        <f>AVERAGE(90,163,89,140)</f>
        <v>120.5</v>
      </c>
      <c r="R48" s="28">
        <f>AVERAGE(98,105,97,173)</f>
        <v>118.25</v>
      </c>
      <c r="S48" s="28">
        <f>AVERAGE(108,192,386,217)</f>
        <v>225.75</v>
      </c>
      <c r="T48" s="28">
        <f>AVERAGE(90,98,108)</f>
        <v>98.666666666666671</v>
      </c>
      <c r="U48" s="28">
        <f>AVERAGE(163,105,192)</f>
        <v>153.33333333333334</v>
      </c>
      <c r="V48" s="28">
        <f>AVERAGE(89,97,396)</f>
        <v>194</v>
      </c>
      <c r="W48" s="28">
        <f>AVERAGE(140,173,217)</f>
        <v>176.66666666666666</v>
      </c>
      <c r="X48" s="28">
        <v>1</v>
      </c>
      <c r="Y48" s="28">
        <f>AVERAGE(2,3,1,1)</f>
        <v>1.75</v>
      </c>
      <c r="Z48" s="28">
        <f>AVERAGE(2,3,4,0)</f>
        <v>2.25</v>
      </c>
      <c r="AA48" s="28">
        <f>6/4</f>
        <v>1.5</v>
      </c>
      <c r="AB48" s="28">
        <f>AVERAGE(2,2,0)</f>
        <v>1.3333333333333333</v>
      </c>
      <c r="AC48" s="28">
        <f>AVERAGE(3,3,0)</f>
        <v>2</v>
      </c>
      <c r="AD48" s="28">
        <f>AVERAGE(1,4,6)</f>
        <v>3.6666666666666665</v>
      </c>
      <c r="AE48" s="28">
        <f>1/3</f>
        <v>0.33333333333333331</v>
      </c>
      <c r="AF48" s="31">
        <v>56.58</v>
      </c>
      <c r="AG48" s="31">
        <v>6.4</v>
      </c>
      <c r="AH48" s="31">
        <v>3.28</v>
      </c>
      <c r="AI48" s="31">
        <v>95.06</v>
      </c>
      <c r="AJ48" s="31">
        <v>0</v>
      </c>
      <c r="AK48" t="s">
        <v>172</v>
      </c>
      <c r="AL48" t="s">
        <v>172</v>
      </c>
      <c r="AM48" t="s">
        <v>172</v>
      </c>
      <c r="AN48" t="s">
        <v>172</v>
      </c>
      <c r="AO48" t="s">
        <v>172</v>
      </c>
      <c r="AP48" t="s">
        <v>172</v>
      </c>
      <c r="AQ48" t="s">
        <v>172</v>
      </c>
      <c r="AR48" t="s">
        <v>172</v>
      </c>
      <c r="AS48" s="31">
        <v>603</v>
      </c>
      <c r="AT48" s="31">
        <v>65</v>
      </c>
    </row>
    <row r="49" spans="1:46" x14ac:dyDescent="0.25">
      <c r="A49" s="8" t="s">
        <v>122</v>
      </c>
      <c r="B49" s="11">
        <v>48</v>
      </c>
      <c r="C49">
        <v>0</v>
      </c>
      <c r="D49">
        <v>1</v>
      </c>
      <c r="E49" t="s">
        <v>172</v>
      </c>
      <c r="G49">
        <v>0</v>
      </c>
      <c r="H49">
        <f>8/20</f>
        <v>0.4</v>
      </c>
      <c r="I49">
        <f>9/20</f>
        <v>0.45</v>
      </c>
      <c r="J49">
        <f>3/20</f>
        <v>0.15</v>
      </c>
      <c r="K49">
        <v>0</v>
      </c>
      <c r="L49">
        <v>0</v>
      </c>
      <c r="M49">
        <v>0</v>
      </c>
      <c r="N49">
        <v>0</v>
      </c>
      <c r="O49">
        <v>0</v>
      </c>
      <c r="P49" s="28">
        <v>40</v>
      </c>
      <c r="Q49" s="28">
        <f>AVERAGE(152,113,56,98.5)</f>
        <v>104.875</v>
      </c>
      <c r="R49" s="28">
        <f>AVERAGE(47,57,86.5,340)</f>
        <v>132.625</v>
      </c>
      <c r="S49" s="28">
        <f>AVERAGE(58.5,187,54.5,179)</f>
        <v>119.75</v>
      </c>
      <c r="T49" s="28">
        <f>AVERAGE(152,47,58.5)</f>
        <v>85.833333333333329</v>
      </c>
      <c r="U49" s="28">
        <f>AVERAGE(113,57,187)</f>
        <v>119</v>
      </c>
      <c r="V49" s="28">
        <f>AVERAGE(56,86.5,54.5)</f>
        <v>65.666666666666671</v>
      </c>
      <c r="W49" s="28">
        <f>AVERAGE(98.5,340,179)</f>
        <v>205.83333333333334</v>
      </c>
      <c r="X49" s="28">
        <v>0.5</v>
      </c>
      <c r="Y49" s="28">
        <v>1</v>
      </c>
      <c r="Z49" s="28">
        <f>AVERAGE(0.5,0.5,0.5,2)</f>
        <v>0.875</v>
      </c>
      <c r="AA49" s="28">
        <f>AVERAGE(1.5,1.5,2,3)</f>
        <v>2</v>
      </c>
      <c r="AB49" s="28">
        <f>AVERAGE(1,0.5,1.5)</f>
        <v>1</v>
      </c>
      <c r="AC49" s="28">
        <v>1</v>
      </c>
      <c r="AD49" s="28">
        <f>AVERAGE(1,5,2)</f>
        <v>2.6666666666666665</v>
      </c>
      <c r="AE49" s="28">
        <f>AVERAGE(1,2,3)</f>
        <v>2</v>
      </c>
      <c r="AF49" s="31">
        <v>1.46</v>
      </c>
      <c r="AG49" s="31">
        <v>0</v>
      </c>
      <c r="AH49" s="31">
        <v>7.96</v>
      </c>
      <c r="AI49" s="31">
        <v>1.2</v>
      </c>
      <c r="AJ49" s="31">
        <v>4.58</v>
      </c>
      <c r="AK49" t="s">
        <v>172</v>
      </c>
      <c r="AL49" t="s">
        <v>172</v>
      </c>
      <c r="AM49" t="s">
        <v>172</v>
      </c>
      <c r="AN49" t="s">
        <v>172</v>
      </c>
      <c r="AO49" t="s">
        <v>172</v>
      </c>
      <c r="AP49" t="s">
        <v>172</v>
      </c>
      <c r="AQ49" t="s">
        <v>172</v>
      </c>
      <c r="AR49" t="s">
        <v>172</v>
      </c>
      <c r="AS49" s="31">
        <v>188</v>
      </c>
      <c r="AT49" s="31">
        <v>31</v>
      </c>
    </row>
    <row r="50" spans="1:46" x14ac:dyDescent="0.25">
      <c r="A50" s="8" t="s">
        <v>123</v>
      </c>
      <c r="B50" s="11">
        <v>49</v>
      </c>
      <c r="C50">
        <v>0</v>
      </c>
      <c r="D50">
        <v>1</v>
      </c>
      <c r="E50" t="s">
        <v>172</v>
      </c>
      <c r="G50">
        <v>0</v>
      </c>
      <c r="H50">
        <f>5/20</f>
        <v>0.25</v>
      </c>
      <c r="I50">
        <f>9/20</f>
        <v>0.45</v>
      </c>
      <c r="J50">
        <f>6/20</f>
        <v>0.3</v>
      </c>
      <c r="K50">
        <v>0</v>
      </c>
      <c r="L50">
        <v>0</v>
      </c>
      <c r="M50">
        <v>0</v>
      </c>
      <c r="N50">
        <v>0</v>
      </c>
      <c r="O50" s="30">
        <f>5/20</f>
        <v>0.25</v>
      </c>
      <c r="P50" s="28">
        <v>129.5</v>
      </c>
      <c r="Q50" s="28">
        <f>AVERAGE(51,40,70,302)</f>
        <v>115.75</v>
      </c>
      <c r="R50" s="28">
        <f>AVERAGE(128,125,61,184)</f>
        <v>124.5</v>
      </c>
      <c r="S50" s="28">
        <f>AVERAGE(36,27,9.5,157)</f>
        <v>57.375</v>
      </c>
      <c r="T50" s="28">
        <f>AVERAGE(51,118,36)</f>
        <v>68.333333333333329</v>
      </c>
      <c r="U50" s="28">
        <f>AVERAGE(40,125,27)</f>
        <v>64</v>
      </c>
      <c r="V50" s="28">
        <f>AVERAGE(70,61,9.5)</f>
        <v>46.833333333333336</v>
      </c>
      <c r="W50" s="28">
        <f>AVERAGE(302,184,157)</f>
        <v>214.33333333333334</v>
      </c>
      <c r="X50" s="28">
        <v>2</v>
      </c>
      <c r="Y50" s="28">
        <f>AVERAGE(0.5,1,3,1.5)</f>
        <v>1.5</v>
      </c>
      <c r="Z50" s="28">
        <f>AVERAGE(0.5,2,2.5,2.5)</f>
        <v>1.875</v>
      </c>
      <c r="AA50" s="28">
        <f>AVERAGE(1.5,1.5,0.5,1)</f>
        <v>1.125</v>
      </c>
      <c r="AB50" s="28">
        <f>AVERAGE(0.5,0.5,1.5)</f>
        <v>0.83333333333333337</v>
      </c>
      <c r="AC50" s="28">
        <f>AVERAGE(1,2,1.5)</f>
        <v>1.5</v>
      </c>
      <c r="AD50" s="28">
        <f>AVERAGE(3,2.5,0.5)</f>
        <v>2</v>
      </c>
      <c r="AE50" s="28">
        <f>AVERAGE(1.5,2.5,1)</f>
        <v>1.6666666666666667</v>
      </c>
      <c r="AF50" s="33">
        <v>0</v>
      </c>
      <c r="AG50" s="33">
        <v>8.48</v>
      </c>
      <c r="AH50" s="33">
        <v>20.18</v>
      </c>
      <c r="AI50" s="33">
        <v>46.96</v>
      </c>
      <c r="AJ50" s="33">
        <v>31.88</v>
      </c>
      <c r="AK50" t="s">
        <v>172</v>
      </c>
      <c r="AL50" t="s">
        <v>172</v>
      </c>
      <c r="AM50" t="s">
        <v>172</v>
      </c>
      <c r="AN50" t="s">
        <v>172</v>
      </c>
      <c r="AO50" t="s">
        <v>172</v>
      </c>
      <c r="AP50" t="s">
        <v>172</v>
      </c>
      <c r="AQ50" t="s">
        <v>172</v>
      </c>
      <c r="AR50" t="s">
        <v>172</v>
      </c>
      <c r="AS50" s="31">
        <v>478</v>
      </c>
      <c r="AT50" s="31">
        <v>28</v>
      </c>
    </row>
    <row r="51" spans="1:46" x14ac:dyDescent="0.25">
      <c r="A51" s="8" t="s">
        <v>124</v>
      </c>
      <c r="B51" s="11">
        <v>50</v>
      </c>
      <c r="C51">
        <v>0</v>
      </c>
      <c r="D51">
        <v>1</v>
      </c>
      <c r="E51" t="s">
        <v>172</v>
      </c>
      <c r="G51">
        <v>0</v>
      </c>
      <c r="H51">
        <f>3/20</f>
        <v>0.15</v>
      </c>
      <c r="I51">
        <f>12/20</f>
        <v>0.6</v>
      </c>
      <c r="J51">
        <f>4/20</f>
        <v>0.2</v>
      </c>
      <c r="K51">
        <v>0</v>
      </c>
      <c r="L51">
        <v>0</v>
      </c>
      <c r="M51">
        <f>1/20</f>
        <v>0.05</v>
      </c>
      <c r="N51">
        <v>0</v>
      </c>
      <c r="O51">
        <f>11/20</f>
        <v>0.55000000000000004</v>
      </c>
      <c r="P51" s="28">
        <v>96</v>
      </c>
      <c r="Q51" s="28">
        <f>AVERAGE(207,209,145,181)</f>
        <v>185.5</v>
      </c>
      <c r="R51" s="28">
        <f>AVERAGE(244,213,197,217)</f>
        <v>217.75</v>
      </c>
      <c r="S51" s="28">
        <f>AVERAGE(214,187,253,233)</f>
        <v>221.75</v>
      </c>
      <c r="T51" s="28">
        <f>AVERAGE(207,244,214)</f>
        <v>221.66666666666666</v>
      </c>
      <c r="U51" s="28">
        <f>AVERAGE(209,213,187)</f>
        <v>203</v>
      </c>
      <c r="V51" s="28">
        <f>AVERAGE(145,197,253)</f>
        <v>198.33333333333334</v>
      </c>
      <c r="W51" s="28">
        <f>AVERAGE(181,217,233)</f>
        <v>210.33333333333334</v>
      </c>
      <c r="X51" s="28">
        <v>2.5</v>
      </c>
      <c r="Y51" s="28">
        <f>AVERAGE(3,2.5,2,2)</f>
        <v>2.375</v>
      </c>
      <c r="Z51" s="28">
        <f>AVERAGE(2,3,2.5,3)</f>
        <v>2.625</v>
      </c>
      <c r="AA51" s="28">
        <f>AVERAGE(2.5,2.5,2.5,3)</f>
        <v>2.625</v>
      </c>
      <c r="AB51" s="28">
        <f>AVERAGE(3,2,2.5)</f>
        <v>2.5</v>
      </c>
      <c r="AC51" s="28">
        <f>AVERAGE(2.5,3,2.5)</f>
        <v>2.6666666666666665</v>
      </c>
      <c r="AD51" s="28">
        <f>AVERAGE(2,2.5,2.5)</f>
        <v>2.3333333333333335</v>
      </c>
      <c r="AE51" s="28">
        <f>AVERAGE(2,3,3)</f>
        <v>2.6666666666666665</v>
      </c>
      <c r="AF51" s="31">
        <v>42.02</v>
      </c>
      <c r="AG51" s="31">
        <v>0</v>
      </c>
      <c r="AH51" s="31">
        <v>9.26</v>
      </c>
      <c r="AI51" s="31">
        <v>83.36</v>
      </c>
      <c r="AJ51" s="31">
        <v>3.28</v>
      </c>
      <c r="AK51" t="s">
        <v>172</v>
      </c>
      <c r="AL51" t="s">
        <v>172</v>
      </c>
      <c r="AM51" t="s">
        <v>172</v>
      </c>
      <c r="AN51" t="s">
        <v>172</v>
      </c>
      <c r="AO51" t="s">
        <v>172</v>
      </c>
      <c r="AP51" t="s">
        <v>172</v>
      </c>
      <c r="AQ51" t="s">
        <v>172</v>
      </c>
      <c r="AR51" t="s">
        <v>172</v>
      </c>
      <c r="AS51" s="31">
        <v>463</v>
      </c>
      <c r="AT51" s="31">
        <v>42</v>
      </c>
    </row>
    <row r="52" spans="1:46" x14ac:dyDescent="0.25">
      <c r="A52" s="8" t="s">
        <v>125</v>
      </c>
      <c r="B52" s="11">
        <v>51</v>
      </c>
      <c r="C52">
        <v>0</v>
      </c>
      <c r="D52">
        <v>1</v>
      </c>
      <c r="E52" t="s">
        <v>172</v>
      </c>
      <c r="G52">
        <v>0</v>
      </c>
      <c r="H52">
        <f>2/20</f>
        <v>0.1</v>
      </c>
      <c r="I52">
        <f>14/20</f>
        <v>0.7</v>
      </c>
      <c r="J52">
        <f>4/20</f>
        <v>0.2</v>
      </c>
      <c r="K52">
        <v>0</v>
      </c>
      <c r="L52">
        <v>0</v>
      </c>
      <c r="M52">
        <v>0</v>
      </c>
      <c r="N52">
        <v>0</v>
      </c>
      <c r="O52">
        <f>9/20</f>
        <v>0.45</v>
      </c>
      <c r="P52" s="28">
        <v>94</v>
      </c>
      <c r="Q52" s="28">
        <f>AVERAGE(57,127,55,49)</f>
        <v>72</v>
      </c>
      <c r="R52" s="28">
        <f>AVERAGE(170,242,126.5,177.5)</f>
        <v>179</v>
      </c>
      <c r="S52" s="28">
        <f>AVERAGE(189,182,58.5,320)</f>
        <v>187.375</v>
      </c>
      <c r="T52" s="28">
        <f>AVERAGE(57,170,189)</f>
        <v>138.66666666666666</v>
      </c>
      <c r="U52" s="28">
        <f>AVERAGE(127,242,182)</f>
        <v>183.66666666666666</v>
      </c>
      <c r="V52" s="28">
        <f>AVERAGE(55,126.5,58.5)</f>
        <v>80</v>
      </c>
      <c r="W52" s="28">
        <f>AVERAGE(49,177.5,320)</f>
        <v>182.16666666666666</v>
      </c>
      <c r="X52" s="28">
        <v>0.5</v>
      </c>
      <c r="Y52" s="28">
        <f>AVERAGE(3,0.5,0.5,1)</f>
        <v>1.25</v>
      </c>
      <c r="Z52" s="28">
        <f>AVERAGE(1.5,4.5,0.5,3.5)</f>
        <v>2.5</v>
      </c>
      <c r="AA52" s="28">
        <f>AVERAGE(2,2.5,2.5,2.5)</f>
        <v>2.375</v>
      </c>
      <c r="AB52" s="28">
        <f>AVERAGE(3,1.5,2)</f>
        <v>2.1666666666666665</v>
      </c>
      <c r="AC52" s="28">
        <f>AVERAGE(0.5,4.5,2.5)</f>
        <v>2.5</v>
      </c>
      <c r="AD52" s="28">
        <f>AVERAGE(0.5,0.5,2.5)</f>
        <v>1.1666666666666667</v>
      </c>
      <c r="AE52" s="28">
        <f>AVERAGE(1,3.5,2.5)</f>
        <v>2.3333333333333335</v>
      </c>
      <c r="AF52" s="31">
        <v>63.08</v>
      </c>
      <c r="AG52" s="31">
        <v>7.18</v>
      </c>
      <c r="AH52" s="31">
        <v>24.86</v>
      </c>
      <c r="AI52" s="31">
        <v>46.96</v>
      </c>
      <c r="AJ52" s="31">
        <v>4.84</v>
      </c>
      <c r="AK52" t="s">
        <v>172</v>
      </c>
      <c r="AL52" t="s">
        <v>172</v>
      </c>
      <c r="AM52" t="s">
        <v>172</v>
      </c>
      <c r="AN52" t="s">
        <v>172</v>
      </c>
      <c r="AO52" t="s">
        <v>172</v>
      </c>
      <c r="AP52" t="s">
        <v>172</v>
      </c>
      <c r="AQ52" t="s">
        <v>172</v>
      </c>
      <c r="AR52" t="s">
        <v>172</v>
      </c>
      <c r="AS52" s="31">
        <v>548</v>
      </c>
      <c r="AT52" s="31">
        <v>63</v>
      </c>
    </row>
    <row r="53" spans="1:46" x14ac:dyDescent="0.25">
      <c r="A53" s="8" t="s">
        <v>126</v>
      </c>
      <c r="B53" s="11">
        <v>52</v>
      </c>
      <c r="C53">
        <v>0</v>
      </c>
      <c r="D53">
        <v>1</v>
      </c>
      <c r="E53" t="s">
        <v>172</v>
      </c>
      <c r="G53">
        <v>0</v>
      </c>
      <c r="H53">
        <f>2/20</f>
        <v>0.1</v>
      </c>
      <c r="I53">
        <f>8/20</f>
        <v>0.4</v>
      </c>
      <c r="J53">
        <f>9/20</f>
        <v>0.45</v>
      </c>
      <c r="K53">
        <v>0</v>
      </c>
      <c r="L53">
        <v>0</v>
      </c>
      <c r="M53">
        <f>1/20</f>
        <v>0.05</v>
      </c>
      <c r="N53">
        <v>0</v>
      </c>
      <c r="O53">
        <f>14/20</f>
        <v>0.7</v>
      </c>
      <c r="P53" s="28">
        <v>188</v>
      </c>
      <c r="Q53" s="28">
        <f>AVERAGE(33.5,211,86,119)</f>
        <v>112.375</v>
      </c>
      <c r="R53" s="28">
        <f>AVERAGE(98.5,236,217,89)</f>
        <v>160.125</v>
      </c>
      <c r="S53" s="28">
        <f>AVERAGE(170.5,136,227,192)</f>
        <v>181.375</v>
      </c>
      <c r="T53" s="28">
        <f>AVERAGE(33.5,98.5,170.5)</f>
        <v>100.83333333333333</v>
      </c>
      <c r="U53" s="28">
        <f>AVERAGE(211,236,136)</f>
        <v>194.33333333333334</v>
      </c>
      <c r="V53" s="28">
        <f>AVERAGE(86,217,227)</f>
        <v>176.66666666666666</v>
      </c>
      <c r="W53" s="28">
        <f>AVERAGE(119,89,192)</f>
        <v>133.33333333333334</v>
      </c>
      <c r="X53" s="28">
        <v>1.5</v>
      </c>
      <c r="Y53" s="28">
        <f>AVERAGE(4,3,0.5,2)</f>
        <v>2.375</v>
      </c>
      <c r="Z53" s="28">
        <f>AVERAGE(3.5,1,2.5,5)</f>
        <v>3</v>
      </c>
      <c r="AA53" s="28">
        <f>AVERAGE(2,2,2,3)</f>
        <v>2.25</v>
      </c>
      <c r="AB53" s="28">
        <f>AVERAGE(4,3.5,2)</f>
        <v>3.1666666666666665</v>
      </c>
      <c r="AC53" s="28">
        <f>AVERAGE(3,1,2)</f>
        <v>2</v>
      </c>
      <c r="AD53" s="28">
        <f>AVERAGE(0.5,2.5,2)</f>
        <v>1.6666666666666667</v>
      </c>
      <c r="AE53" s="28">
        <f>AVERAGE(2,5,3)</f>
        <v>3.3333333333333335</v>
      </c>
      <c r="AF53" s="31">
        <v>60.74</v>
      </c>
      <c r="AG53" s="31">
        <v>100</v>
      </c>
      <c r="AH53" s="31">
        <v>100</v>
      </c>
      <c r="AI53" s="31">
        <v>90.38</v>
      </c>
      <c r="AJ53" s="31">
        <v>26.16</v>
      </c>
      <c r="AK53" t="s">
        <v>172</v>
      </c>
      <c r="AL53" t="s">
        <v>172</v>
      </c>
      <c r="AM53" t="s">
        <v>172</v>
      </c>
      <c r="AN53" t="s">
        <v>172</v>
      </c>
      <c r="AO53" t="s">
        <v>172</v>
      </c>
      <c r="AP53" t="s">
        <v>172</v>
      </c>
      <c r="AQ53" t="s">
        <v>172</v>
      </c>
      <c r="AR53" t="s">
        <v>172</v>
      </c>
      <c r="AS53" s="31">
        <v>600</v>
      </c>
      <c r="AT53" s="31">
        <v>13</v>
      </c>
    </row>
    <row r="54" spans="1:46" x14ac:dyDescent="0.25">
      <c r="A54" s="8" t="s">
        <v>127</v>
      </c>
      <c r="B54" s="11">
        <v>53</v>
      </c>
      <c r="C54">
        <v>0</v>
      </c>
      <c r="D54">
        <v>1</v>
      </c>
      <c r="E54" t="s">
        <v>172</v>
      </c>
      <c r="G54">
        <v>0</v>
      </c>
      <c r="H54">
        <f>6/20</f>
        <v>0.3</v>
      </c>
      <c r="I54">
        <f>9/20</f>
        <v>0.45</v>
      </c>
      <c r="J54">
        <f>2/20</f>
        <v>0.1</v>
      </c>
      <c r="K54">
        <v>0</v>
      </c>
      <c r="L54">
        <v>0</v>
      </c>
      <c r="M54">
        <f>3/20</f>
        <v>0.15</v>
      </c>
      <c r="N54">
        <v>0</v>
      </c>
      <c r="O54">
        <f>16/20</f>
        <v>0.8</v>
      </c>
      <c r="P54" s="28">
        <v>85.5</v>
      </c>
      <c r="Q54" s="28">
        <f>AVERAGE(74.5,71.5,74,48.5)</f>
        <v>67.125</v>
      </c>
      <c r="R54" s="28">
        <f>AVERAGE(279,253,227,117)</f>
        <v>219</v>
      </c>
      <c r="S54" s="28">
        <f>AVERAGE(294,233,131.5,305)</f>
        <v>240.875</v>
      </c>
      <c r="T54" s="28">
        <f>AVERAGE(74.5,279,294)</f>
        <v>215.83333333333334</v>
      </c>
      <c r="U54" s="28">
        <f>AVERAGE(71.5,253,233)</f>
        <v>185.83333333333334</v>
      </c>
      <c r="V54" s="28">
        <f>AVERAGE(74,227,131.5)</f>
        <v>144.16666666666666</v>
      </c>
      <c r="W54" s="28">
        <f>AVERAGE(48.5,117,305)</f>
        <v>156.83333333333334</v>
      </c>
      <c r="X54" s="28">
        <v>1</v>
      </c>
      <c r="Y54" s="28">
        <f>AVERAGE(1.5,2,2,1)</f>
        <v>1.625</v>
      </c>
      <c r="Z54" s="28">
        <f>AVERAGE(0,0,3,2)</f>
        <v>1.25</v>
      </c>
      <c r="AA54" s="28">
        <f>AVERAGE(0,0,1,0)</f>
        <v>0.25</v>
      </c>
      <c r="AB54" s="28">
        <f>1.5/3</f>
        <v>0.5</v>
      </c>
      <c r="AC54" s="28">
        <f>2/3</f>
        <v>0.66666666666666663</v>
      </c>
      <c r="AD54" s="28">
        <f>AVERAGE(2,3,1)</f>
        <v>2</v>
      </c>
      <c r="AE54" s="28">
        <f>AVERAGE(1,2,0)</f>
        <v>1</v>
      </c>
      <c r="AF54" s="31">
        <v>100</v>
      </c>
      <c r="AG54" s="31">
        <v>38.119999999999997</v>
      </c>
      <c r="AH54" s="31">
        <v>100</v>
      </c>
      <c r="AI54" s="31">
        <v>98.18</v>
      </c>
      <c r="AJ54" s="31">
        <v>21.48</v>
      </c>
      <c r="AK54" t="s">
        <v>172</v>
      </c>
      <c r="AL54" t="s">
        <v>172</v>
      </c>
      <c r="AM54" t="s">
        <v>172</v>
      </c>
      <c r="AN54" t="s">
        <v>172</v>
      </c>
      <c r="AO54" t="s">
        <v>172</v>
      </c>
      <c r="AP54" t="s">
        <v>172</v>
      </c>
      <c r="AQ54" t="s">
        <v>172</v>
      </c>
      <c r="AR54" t="s">
        <v>172</v>
      </c>
      <c r="AS54" s="31">
        <v>468</v>
      </c>
      <c r="AT54" s="31">
        <v>50</v>
      </c>
    </row>
    <row r="55" spans="1:46" x14ac:dyDescent="0.25">
      <c r="A55" s="8" t="s">
        <v>128</v>
      </c>
      <c r="B55" s="11">
        <v>54</v>
      </c>
      <c r="C55">
        <v>0</v>
      </c>
      <c r="D55">
        <v>1</v>
      </c>
      <c r="E55" t="s">
        <v>172</v>
      </c>
      <c r="G55">
        <f>1/20</f>
        <v>0.05</v>
      </c>
      <c r="H55">
        <f>6/20</f>
        <v>0.3</v>
      </c>
      <c r="I55">
        <f>11/20</f>
        <v>0.55000000000000004</v>
      </c>
      <c r="J55">
        <f>2/20</f>
        <v>0.1</v>
      </c>
      <c r="K55">
        <v>0</v>
      </c>
      <c r="L55">
        <v>0</v>
      </c>
      <c r="M55">
        <v>0</v>
      </c>
      <c r="N55">
        <v>0</v>
      </c>
      <c r="O55">
        <f>9/20</f>
        <v>0.45</v>
      </c>
      <c r="P55" s="28">
        <v>225</v>
      </c>
      <c r="Q55" s="28">
        <f>AVERAGE(179,198,113,51)</f>
        <v>135.25</v>
      </c>
      <c r="R55" s="28">
        <f>AVERAGE(99,185,71,73)</f>
        <v>107</v>
      </c>
      <c r="S55" s="28">
        <f>AVERAGE(207,239,60,124)</f>
        <v>157.5</v>
      </c>
      <c r="T55" s="28">
        <f>AVERAGE(179,99,207)</f>
        <v>161.66666666666666</v>
      </c>
      <c r="U55" s="28">
        <f>AVERAGE(198,185,239)</f>
        <v>207.33333333333334</v>
      </c>
      <c r="V55" s="28">
        <f>AVERAGE(113,74,60)</f>
        <v>82.333333333333329</v>
      </c>
      <c r="W55" s="28">
        <f>AVERAGE(51,73,124)</f>
        <v>82.666666666666671</v>
      </c>
      <c r="X55" s="28">
        <v>3</v>
      </c>
      <c r="Y55" s="28">
        <f>AVERAGE(1,3,2,1.5)</f>
        <v>1.875</v>
      </c>
      <c r="Z55" s="28">
        <f>AVERAGE(4,3.5,3.5,2)</f>
        <v>3.25</v>
      </c>
      <c r="AA55" s="28">
        <f>AVERAGE(3.5,2,2,2)</f>
        <v>2.375</v>
      </c>
      <c r="AB55" s="28">
        <f>AVERAGE(1,4,3.5)</f>
        <v>2.8333333333333335</v>
      </c>
      <c r="AC55" s="28">
        <f>AVERAGE(3,3.5,2)</f>
        <v>2.8333333333333335</v>
      </c>
      <c r="AD55" s="28">
        <f>AVERAGE(2,3.5,2)</f>
        <v>2.5</v>
      </c>
      <c r="AE55" s="28">
        <f>AVERAGE(1.5,2,2)</f>
        <v>1.8333333333333333</v>
      </c>
      <c r="AF55" s="32">
        <v>91.42</v>
      </c>
      <c r="AG55" s="32">
        <v>18.88</v>
      </c>
      <c r="AH55" s="33">
        <v>0</v>
      </c>
      <c r="AI55" s="33">
        <v>1.46</v>
      </c>
      <c r="AJ55" s="33">
        <v>50.6</v>
      </c>
      <c r="AK55" t="s">
        <v>172</v>
      </c>
      <c r="AL55" t="s">
        <v>172</v>
      </c>
      <c r="AM55" t="s">
        <v>172</v>
      </c>
      <c r="AN55" t="s">
        <v>172</v>
      </c>
      <c r="AO55" t="s">
        <v>172</v>
      </c>
      <c r="AP55" t="s">
        <v>172</v>
      </c>
      <c r="AQ55" t="s">
        <v>172</v>
      </c>
      <c r="AR55" t="s">
        <v>172</v>
      </c>
      <c r="AS55" s="31">
        <v>209</v>
      </c>
      <c r="AT55" s="31">
        <v>723</v>
      </c>
    </row>
    <row r="56" spans="1:46" x14ac:dyDescent="0.25">
      <c r="A56" s="8" t="s">
        <v>129</v>
      </c>
      <c r="B56" s="11">
        <v>55</v>
      </c>
      <c r="C56">
        <v>0</v>
      </c>
      <c r="D56">
        <v>1</v>
      </c>
      <c r="E56" t="s">
        <v>172</v>
      </c>
      <c r="G56">
        <f>1/20</f>
        <v>0.05</v>
      </c>
      <c r="H56">
        <f>16/20</f>
        <v>0.8</v>
      </c>
      <c r="I56">
        <f>3/20</f>
        <v>0.15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28">
        <v>55</v>
      </c>
      <c r="Q56" s="28">
        <f>AVERAGE(31,73,105,76)</f>
        <v>71.25</v>
      </c>
      <c r="R56" s="28">
        <f>AVERAGE(39,51,77,57)</f>
        <v>56</v>
      </c>
      <c r="S56" s="28">
        <f>AVERAGE(83,72,97.5,128)</f>
        <v>95.125</v>
      </c>
      <c r="T56" s="28">
        <f>AVERAGE(31,39,83)</f>
        <v>51</v>
      </c>
      <c r="U56" s="28">
        <f>AVERAGE(73,51,72)</f>
        <v>65.333333333333329</v>
      </c>
      <c r="V56" s="28">
        <f>AVERAGE(1-5,77,97.5)</f>
        <v>56.833333333333336</v>
      </c>
      <c r="W56" s="28">
        <f>AVERAGE(76,57,128)</f>
        <v>87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31">
        <v>0</v>
      </c>
      <c r="AG56" s="31">
        <v>0</v>
      </c>
      <c r="AH56" s="31">
        <v>0</v>
      </c>
      <c r="AI56" s="31">
        <v>0</v>
      </c>
      <c r="AJ56" s="31">
        <v>0</v>
      </c>
      <c r="AK56" t="s">
        <v>172</v>
      </c>
      <c r="AL56" t="s">
        <v>172</v>
      </c>
      <c r="AM56" t="s">
        <v>172</v>
      </c>
      <c r="AN56" t="s">
        <v>172</v>
      </c>
      <c r="AO56" t="s">
        <v>172</v>
      </c>
      <c r="AP56" t="s">
        <v>172</v>
      </c>
      <c r="AQ56" t="s">
        <v>172</v>
      </c>
      <c r="AR56" t="s">
        <v>172</v>
      </c>
      <c r="AS56" s="31">
        <v>98</v>
      </c>
      <c r="AT56" s="31">
        <v>18</v>
      </c>
    </row>
    <row r="57" spans="1:46" x14ac:dyDescent="0.25">
      <c r="A57" s="8" t="s">
        <v>130</v>
      </c>
      <c r="B57" s="11">
        <v>57</v>
      </c>
      <c r="C57">
        <v>0</v>
      </c>
      <c r="D57">
        <v>1</v>
      </c>
      <c r="E57" t="s">
        <v>172</v>
      </c>
      <c r="G57">
        <v>0</v>
      </c>
      <c r="H57">
        <f>6/20</f>
        <v>0.3</v>
      </c>
      <c r="I57">
        <f>12/20</f>
        <v>0.6</v>
      </c>
      <c r="J57">
        <f>2/20</f>
        <v>0.1</v>
      </c>
      <c r="K57">
        <v>0</v>
      </c>
      <c r="L57">
        <v>0</v>
      </c>
      <c r="M57">
        <v>0</v>
      </c>
      <c r="N57">
        <v>0</v>
      </c>
      <c r="O57">
        <f>9/20</f>
        <v>0.45</v>
      </c>
      <c r="P57" s="28">
        <v>99</v>
      </c>
      <c r="Q57" s="28">
        <f>AVERAGE(142,146,62,175)</f>
        <v>131.25</v>
      </c>
      <c r="R57" s="28">
        <f>AVERAGE(321,141,151,230)</f>
        <v>210.75</v>
      </c>
      <c r="S57" s="28">
        <f>AVERAGE(157,264,123,295)</f>
        <v>209.75</v>
      </c>
      <c r="T57" s="28">
        <f>AVERAGE(142,321,157)</f>
        <v>206.66666666666666</v>
      </c>
      <c r="U57" s="28">
        <f>AVERAGE(175,230,295)</f>
        <v>233.33333333333334</v>
      </c>
      <c r="V57" s="28">
        <f>AVERAGE(146,141,264)</f>
        <v>183.66666666666666</v>
      </c>
      <c r="W57" s="28">
        <f>AVERAGE(62,151,123)</f>
        <v>112</v>
      </c>
      <c r="X57" s="28">
        <v>1</v>
      </c>
      <c r="Y57" s="28">
        <f>AVERAGE(2,2,2,3)</f>
        <v>2.25</v>
      </c>
      <c r="Z57" s="28">
        <v>2</v>
      </c>
      <c r="AA57" s="28">
        <f>AVERAGE(1,2.5,3,2)</f>
        <v>2.125</v>
      </c>
      <c r="AB57" s="28">
        <f>AVERAGE(2,2,1)</f>
        <v>1.6666666666666667</v>
      </c>
      <c r="AC57" s="28">
        <f>AVERAGE(2,2,2.5)</f>
        <v>2.1666666666666665</v>
      </c>
      <c r="AD57" s="28">
        <f>AVERAGE(2,2,3)</f>
        <v>2.3333333333333335</v>
      </c>
      <c r="AE57" s="28">
        <f>AVERAGE(3,2,2)</f>
        <v>2.3333333333333335</v>
      </c>
      <c r="AF57" s="31">
        <v>3.02</v>
      </c>
      <c r="AG57" s="31">
        <v>0</v>
      </c>
      <c r="AH57" s="31">
        <v>52.68</v>
      </c>
      <c r="AI57" s="31">
        <v>69.319999999999993</v>
      </c>
      <c r="AJ57" s="31">
        <v>0</v>
      </c>
      <c r="AK57" t="s">
        <v>172</v>
      </c>
      <c r="AL57" t="s">
        <v>172</v>
      </c>
      <c r="AM57" t="s">
        <v>172</v>
      </c>
      <c r="AN57" t="s">
        <v>172</v>
      </c>
      <c r="AO57" t="s">
        <v>172</v>
      </c>
      <c r="AP57" t="s">
        <v>172</v>
      </c>
      <c r="AQ57" t="s">
        <v>172</v>
      </c>
      <c r="AR57" t="s">
        <v>172</v>
      </c>
      <c r="AS57" s="31">
        <v>229</v>
      </c>
      <c r="AT57" s="31">
        <v>71</v>
      </c>
    </row>
    <row r="58" spans="1:46" x14ac:dyDescent="0.25">
      <c r="A58" s="8" t="s">
        <v>131</v>
      </c>
      <c r="B58" s="11">
        <v>58</v>
      </c>
      <c r="C58">
        <v>0</v>
      </c>
      <c r="D58">
        <v>1</v>
      </c>
      <c r="E58" t="s">
        <v>172</v>
      </c>
      <c r="G58">
        <v>0</v>
      </c>
      <c r="H58">
        <f>4/20</f>
        <v>0.2</v>
      </c>
      <c r="I58">
        <f>16/20</f>
        <v>0.8</v>
      </c>
      <c r="J58">
        <v>0</v>
      </c>
      <c r="K58">
        <v>0</v>
      </c>
      <c r="L58">
        <v>0</v>
      </c>
      <c r="M58">
        <v>0</v>
      </c>
      <c r="N58">
        <v>0</v>
      </c>
      <c r="O58">
        <f>6/20</f>
        <v>0.3</v>
      </c>
      <c r="P58" s="28">
        <v>76</v>
      </c>
      <c r="Q58" s="28">
        <f>AVERAGE(117,69,65,46)</f>
        <v>74.25</v>
      </c>
      <c r="R58" s="28">
        <f>AVERAGE(109,145,76,101)</f>
        <v>107.75</v>
      </c>
      <c r="S58" s="28">
        <f>AVERAGE(152,238,158,145)</f>
        <v>173.25</v>
      </c>
      <c r="T58" s="28">
        <f>AVERAGE(117,109,152)</f>
        <v>126</v>
      </c>
      <c r="U58" s="28">
        <f>AVERAGE(69,145,238)</f>
        <v>150.66666666666666</v>
      </c>
      <c r="V58" s="28">
        <f>AVERAGE(65,76,158)</f>
        <v>99.666666666666671</v>
      </c>
      <c r="W58" s="28">
        <f>AVERAGE(46,101,145)</f>
        <v>97.333333333333329</v>
      </c>
      <c r="X58" s="28">
        <v>2</v>
      </c>
      <c r="Y58" s="28">
        <f>AVERAGE(3,3,1.5,3)</f>
        <v>2.625</v>
      </c>
      <c r="Z58" s="28">
        <f>AVERAGE(3,2,2,3)</f>
        <v>2.5</v>
      </c>
      <c r="AA58" s="28">
        <f>AVERAGE(2,2,2,2.5)</f>
        <v>2.125</v>
      </c>
      <c r="AB58" s="28">
        <f>AVERAGE(3,3,2)</f>
        <v>2.6666666666666665</v>
      </c>
      <c r="AC58" s="28">
        <f>AVERAGE(3,2,2)</f>
        <v>2.3333333333333335</v>
      </c>
      <c r="AD58" s="28">
        <f>AVERAGE(1.5,2,2)</f>
        <v>1.8333333333333333</v>
      </c>
      <c r="AE58" s="28">
        <f>AVERAGE(3,3,2.5)</f>
        <v>2.8333333333333335</v>
      </c>
      <c r="AF58" s="31">
        <v>27.2</v>
      </c>
      <c r="AG58" s="31">
        <v>25.64</v>
      </c>
      <c r="AH58" s="31">
        <v>11.86</v>
      </c>
      <c r="AI58" s="31">
        <v>17.32</v>
      </c>
      <c r="AJ58" s="31">
        <v>16.54</v>
      </c>
      <c r="AK58" t="s">
        <v>172</v>
      </c>
      <c r="AL58" t="s">
        <v>172</v>
      </c>
      <c r="AM58" t="s">
        <v>172</v>
      </c>
      <c r="AN58" t="s">
        <v>172</v>
      </c>
      <c r="AO58" t="s">
        <v>172</v>
      </c>
      <c r="AP58" t="s">
        <v>172</v>
      </c>
      <c r="AQ58" t="s">
        <v>172</v>
      </c>
      <c r="AR58" t="s">
        <v>172</v>
      </c>
      <c r="AS58" s="31">
        <v>320</v>
      </c>
      <c r="AT58" s="31">
        <v>39</v>
      </c>
    </row>
    <row r="59" spans="1:46" x14ac:dyDescent="0.25">
      <c r="A59" s="8" t="s">
        <v>132</v>
      </c>
      <c r="B59" s="11">
        <v>59</v>
      </c>
      <c r="C59">
        <v>0</v>
      </c>
      <c r="D59">
        <v>1</v>
      </c>
      <c r="E59" t="s">
        <v>172</v>
      </c>
      <c r="G59">
        <v>0</v>
      </c>
      <c r="H59">
        <f>4/20</f>
        <v>0.2</v>
      </c>
      <c r="I59">
        <f>11/20</f>
        <v>0.55000000000000004</v>
      </c>
      <c r="J59">
        <f>5/20</f>
        <v>0.25</v>
      </c>
      <c r="K59">
        <v>0</v>
      </c>
      <c r="L59">
        <v>0</v>
      </c>
      <c r="M59">
        <v>0</v>
      </c>
      <c r="N59">
        <v>0</v>
      </c>
      <c r="O59">
        <f>18/20</f>
        <v>0.9</v>
      </c>
      <c r="P59" s="28">
        <v>59</v>
      </c>
      <c r="Q59" s="28">
        <f>AVERAGE(109,70,58.5,60)</f>
        <v>74.375</v>
      </c>
      <c r="R59" s="28">
        <f>AVERAGE(157,518,162,66)</f>
        <v>225.75</v>
      </c>
      <c r="S59" s="28">
        <f>AVERAGE(162.5,610,236,610)</f>
        <v>404.625</v>
      </c>
      <c r="T59" s="28">
        <f>AVERAGE(109,157,162.5)</f>
        <v>142.83333333333334</v>
      </c>
      <c r="U59" s="28">
        <f>AVERAGE(70,518,610)</f>
        <v>399.33333333333331</v>
      </c>
      <c r="V59" s="28">
        <f>AVERAGE(58.5,162,236)</f>
        <v>152.16666666666666</v>
      </c>
      <c r="W59" s="28">
        <f>AVERAGE(60,66,610)</f>
        <v>245.33333333333334</v>
      </c>
      <c r="X59" s="28">
        <v>0.5</v>
      </c>
      <c r="Y59" s="28">
        <f>AVERAGE(4,3,1,3)</f>
        <v>2.75</v>
      </c>
      <c r="Z59" s="28">
        <f>AVERAGE(5,6.5,3,5)</f>
        <v>4.875</v>
      </c>
      <c r="AA59" s="28">
        <f>AVERAGE(3,10,7,7)</f>
        <v>6.75</v>
      </c>
      <c r="AB59" s="28">
        <f>AVERAGE(4,5,3)</f>
        <v>4</v>
      </c>
      <c r="AC59" s="28">
        <f>AVERAGE(3,6.5,10)</f>
        <v>6.5</v>
      </c>
      <c r="AD59" s="28">
        <f>AVERAGE(1,3,7)</f>
        <v>3.6666666666666665</v>
      </c>
      <c r="AE59" s="28">
        <f>AVERAGE(3,5,7)</f>
        <v>5</v>
      </c>
      <c r="AF59" s="31">
        <v>100</v>
      </c>
      <c r="AG59" s="31">
        <v>100</v>
      </c>
      <c r="AH59" s="31">
        <v>100</v>
      </c>
      <c r="AI59" s="31">
        <v>47.74</v>
      </c>
      <c r="AJ59" s="31">
        <v>60.74</v>
      </c>
      <c r="AK59" t="s">
        <v>172</v>
      </c>
      <c r="AL59" t="s">
        <v>172</v>
      </c>
      <c r="AM59" t="s">
        <v>172</v>
      </c>
      <c r="AN59" t="s">
        <v>172</v>
      </c>
      <c r="AO59" t="s">
        <v>172</v>
      </c>
      <c r="AP59" t="s">
        <v>172</v>
      </c>
      <c r="AQ59" t="s">
        <v>172</v>
      </c>
      <c r="AR59" t="s">
        <v>172</v>
      </c>
      <c r="AS59" s="31">
        <v>529</v>
      </c>
      <c r="AT59" s="31">
        <v>66</v>
      </c>
    </row>
    <row r="60" spans="1:46" x14ac:dyDescent="0.25">
      <c r="A60" s="8" t="s">
        <v>133</v>
      </c>
      <c r="B60" s="11">
        <v>60</v>
      </c>
      <c r="C60">
        <v>0</v>
      </c>
      <c r="D60">
        <v>1</v>
      </c>
      <c r="E60" t="s">
        <v>172</v>
      </c>
      <c r="G60">
        <v>0</v>
      </c>
      <c r="H60">
        <v>0</v>
      </c>
      <c r="I60">
        <f>17/20</f>
        <v>0.85</v>
      </c>
      <c r="J60">
        <f>3/20</f>
        <v>0.15</v>
      </c>
      <c r="K60">
        <v>0</v>
      </c>
      <c r="L60">
        <v>0</v>
      </c>
      <c r="M60">
        <v>0</v>
      </c>
      <c r="N60">
        <v>0</v>
      </c>
      <c r="O60">
        <f>8/20</f>
        <v>0.4</v>
      </c>
      <c r="P60" s="28">
        <v>110.5</v>
      </c>
      <c r="Q60" s="28">
        <f>AVERAGE(194.5,194,87.5,188)</f>
        <v>166</v>
      </c>
      <c r="R60" s="28">
        <f>AVERAGE(323,172,212,213)</f>
        <v>230</v>
      </c>
      <c r="S60" s="28">
        <f>AVERAGE(159,202,145,188)</f>
        <v>173.5</v>
      </c>
      <c r="T60" s="28">
        <f>AVERAGE(194.5,323,159)</f>
        <v>225.5</v>
      </c>
      <c r="U60" s="28">
        <f>AVERAGE(194,172,202)</f>
        <v>189.33333333333334</v>
      </c>
      <c r="V60" s="28">
        <f>AVERAGE(87.5,212,145)</f>
        <v>148.16666666666666</v>
      </c>
      <c r="W60" s="28">
        <f>AVERAGE(188,213,188)</f>
        <v>196.33333333333334</v>
      </c>
      <c r="X60" s="28">
        <v>1</v>
      </c>
      <c r="Y60" s="28">
        <f>AVERAGE(1,3,1,2.5)</f>
        <v>1.875</v>
      </c>
      <c r="Z60" s="28">
        <f>AVERAGE(5,3.5,1,3)</f>
        <v>3.125</v>
      </c>
      <c r="AA60" s="28">
        <f>AVERAGE(4.5,3,0,2)</f>
        <v>2.375</v>
      </c>
      <c r="AB60" s="28">
        <f>AVERAGE(1,5,4.5)</f>
        <v>3.5</v>
      </c>
      <c r="AC60" s="28">
        <f>AVERAGE(3,3.5,3)</f>
        <v>3.1666666666666665</v>
      </c>
      <c r="AD60" s="28">
        <f>AVERAGE(1,1,0)</f>
        <v>0.66666666666666663</v>
      </c>
      <c r="AE60" s="28">
        <f>AVERAGE(2.5,3,2)</f>
        <v>2.5</v>
      </c>
      <c r="AF60" s="31">
        <v>15.24</v>
      </c>
      <c r="AG60" s="31">
        <v>54.5</v>
      </c>
      <c r="AH60" s="31">
        <v>82.32</v>
      </c>
      <c r="AI60" s="31">
        <v>42.54</v>
      </c>
      <c r="AJ60" s="31">
        <v>50.6</v>
      </c>
      <c r="AK60" t="s">
        <v>172</v>
      </c>
      <c r="AL60" t="s">
        <v>172</v>
      </c>
      <c r="AM60" t="s">
        <v>172</v>
      </c>
      <c r="AN60" t="s">
        <v>172</v>
      </c>
      <c r="AO60" t="s">
        <v>172</v>
      </c>
      <c r="AP60" t="s">
        <v>172</v>
      </c>
      <c r="AQ60" t="s">
        <v>172</v>
      </c>
      <c r="AR60" t="s">
        <v>172</v>
      </c>
      <c r="AS60" s="31">
        <v>724</v>
      </c>
      <c r="AT60" s="31">
        <v>70</v>
      </c>
    </row>
    <row r="61" spans="1:46" x14ac:dyDescent="0.25">
      <c r="A61" s="8" t="s">
        <v>134</v>
      </c>
      <c r="B61" s="11">
        <v>61</v>
      </c>
      <c r="C61">
        <v>0</v>
      </c>
      <c r="D61">
        <v>1</v>
      </c>
      <c r="E61" t="s">
        <v>172</v>
      </c>
      <c r="G61">
        <v>0</v>
      </c>
      <c r="H61">
        <f>6/20</f>
        <v>0.3</v>
      </c>
      <c r="I61">
        <f>7/20</f>
        <v>0.35</v>
      </c>
      <c r="J61">
        <f>3/20</f>
        <v>0.15</v>
      </c>
      <c r="K61">
        <f>4/20</f>
        <v>0.2</v>
      </c>
      <c r="L61">
        <v>0</v>
      </c>
      <c r="M61">
        <v>0</v>
      </c>
      <c r="N61">
        <v>0</v>
      </c>
      <c r="O61">
        <f>3/20</f>
        <v>0.15</v>
      </c>
      <c r="P61" s="28">
        <v>40.5</v>
      </c>
      <c r="Q61" s="28">
        <f>AVERAGE(69.5,62,51.5,44)</f>
        <v>56.75</v>
      </c>
      <c r="R61" s="28">
        <f>AVERAGE(226,46,66,60.5)</f>
        <v>99.625</v>
      </c>
      <c r="S61" s="28">
        <f>AVERAGE(68,80,68,56)</f>
        <v>68</v>
      </c>
      <c r="T61" s="28">
        <f>AVERAGE(69.5,226,68)</f>
        <v>121.16666666666667</v>
      </c>
      <c r="U61" s="28">
        <f>AVERAGE(62,46,80)</f>
        <v>62.666666666666664</v>
      </c>
      <c r="V61" s="28">
        <f>AVERAGE(51.5,66,68)</f>
        <v>61.833333333333336</v>
      </c>
      <c r="W61" s="28">
        <f>AVERAGE(44,60.5,56)</f>
        <v>53.5</v>
      </c>
      <c r="X61" s="28">
        <v>3</v>
      </c>
      <c r="Y61" s="28">
        <f>AVERAGE(5,4.5,2.5,0.5)</f>
        <v>3.125</v>
      </c>
      <c r="Z61" s="28">
        <f>AVERAGE(2,3,0,4)</f>
        <v>2.25</v>
      </c>
      <c r="AA61" s="28">
        <f>AVERAGE(4.5,4,0,5)</f>
        <v>3.375</v>
      </c>
      <c r="AB61" s="28">
        <f>AVERAGE(5,2,4.5)</f>
        <v>3.8333333333333335</v>
      </c>
      <c r="AC61" s="28">
        <f>AVERAGE(4.5,3,4)</f>
        <v>3.8333333333333335</v>
      </c>
      <c r="AD61" s="28">
        <f>AVERAGE(2.5,0,0)</f>
        <v>0.83333333333333337</v>
      </c>
      <c r="AE61" s="28">
        <f>AVERAGE(0.5,4,5)</f>
        <v>3.1666666666666665</v>
      </c>
      <c r="AF61" s="31">
        <v>0</v>
      </c>
      <c r="AG61" s="31">
        <v>65.680000000000007</v>
      </c>
      <c r="AH61" s="31">
        <v>0</v>
      </c>
      <c r="AI61" s="31">
        <v>0</v>
      </c>
      <c r="AJ61" s="31">
        <v>0</v>
      </c>
      <c r="AK61" t="s">
        <v>172</v>
      </c>
      <c r="AL61" t="s">
        <v>172</v>
      </c>
      <c r="AM61" t="s">
        <v>172</v>
      </c>
      <c r="AN61" t="s">
        <v>172</v>
      </c>
      <c r="AO61" t="s">
        <v>172</v>
      </c>
      <c r="AP61" t="s">
        <v>172</v>
      </c>
      <c r="AQ61" t="s">
        <v>172</v>
      </c>
      <c r="AR61" t="s">
        <v>172</v>
      </c>
      <c r="AS61" s="31">
        <v>500</v>
      </c>
      <c r="AT61" s="31">
        <v>60</v>
      </c>
    </row>
    <row r="62" spans="1:46" x14ac:dyDescent="0.25">
      <c r="A62" s="8" t="s">
        <v>135</v>
      </c>
      <c r="B62" s="11">
        <v>62</v>
      </c>
      <c r="C62">
        <v>0</v>
      </c>
      <c r="D62">
        <v>1</v>
      </c>
      <c r="E62" t="s">
        <v>172</v>
      </c>
      <c r="G62">
        <v>0</v>
      </c>
      <c r="H62">
        <f>2/20</f>
        <v>0.1</v>
      </c>
      <c r="I62">
        <f>18/20</f>
        <v>0.9</v>
      </c>
      <c r="J62">
        <v>0</v>
      </c>
      <c r="K62">
        <v>0</v>
      </c>
      <c r="L62">
        <v>0</v>
      </c>
      <c r="M62">
        <v>0</v>
      </c>
      <c r="N62">
        <v>0</v>
      </c>
      <c r="O62">
        <f>4/20</f>
        <v>0.2</v>
      </c>
      <c r="P62" s="28">
        <v>159.5</v>
      </c>
      <c r="Q62" s="28">
        <f>AVERAGE(131.5,274,135,93)</f>
        <v>158.375</v>
      </c>
      <c r="R62" s="28">
        <f>AVERAGE(141,138.5,140,78.5)</f>
        <v>124.5</v>
      </c>
      <c r="S62" s="28">
        <f>AVERAGE(148,140,158,99)</f>
        <v>136.25</v>
      </c>
      <c r="T62" s="28">
        <f>AVERAGE(131.5,141,148)</f>
        <v>140.16666666666666</v>
      </c>
      <c r="U62" s="28">
        <f>AVERAGE(274,138.5,140)</f>
        <v>184.16666666666666</v>
      </c>
      <c r="V62" s="28">
        <f>AVERAGE(135,140,158)</f>
        <v>144.33333333333334</v>
      </c>
      <c r="W62" s="28">
        <f>AVERAGE(93,78.5,99)</f>
        <v>90.166666666666671</v>
      </c>
      <c r="X62" s="28">
        <v>4</v>
      </c>
      <c r="Y62" s="28">
        <f>AVERAGE(4,2,4.5,1)</f>
        <v>2.875</v>
      </c>
      <c r="Z62" s="28">
        <f>AVERAGE(3,3,2.5,0)</f>
        <v>2.125</v>
      </c>
      <c r="AA62" s="28">
        <f>AVERAGE(4.5,1,3,2.5)</f>
        <v>2.75</v>
      </c>
      <c r="AB62" s="28">
        <f>AVERAGE(4,3,4.5)</f>
        <v>3.8333333333333335</v>
      </c>
      <c r="AC62" s="28">
        <f>AVERAGE(3,2,1)</f>
        <v>2</v>
      </c>
      <c r="AD62" s="28">
        <f>AVERAGE(4.5,2.5,3)</f>
        <v>3.3333333333333335</v>
      </c>
      <c r="AE62" s="28">
        <f>AVERAGE(1,0,2.5)</f>
        <v>1.1666666666666667</v>
      </c>
      <c r="AF62" s="31">
        <v>23.04</v>
      </c>
      <c r="AG62" s="31">
        <v>10.56</v>
      </c>
      <c r="AH62" s="31">
        <v>3.54</v>
      </c>
      <c r="AI62" s="31">
        <v>40.72</v>
      </c>
      <c r="AJ62" s="31">
        <v>19.399999999999999</v>
      </c>
      <c r="AK62" t="s">
        <v>172</v>
      </c>
      <c r="AL62" t="s">
        <v>172</v>
      </c>
      <c r="AM62" t="s">
        <v>172</v>
      </c>
      <c r="AN62" t="s">
        <v>172</v>
      </c>
      <c r="AO62" t="s">
        <v>172</v>
      </c>
      <c r="AP62" t="s">
        <v>172</v>
      </c>
      <c r="AQ62" t="s">
        <v>172</v>
      </c>
      <c r="AR62" t="s">
        <v>172</v>
      </c>
      <c r="AS62" s="31">
        <v>957</v>
      </c>
      <c r="AT62" s="31">
        <v>72</v>
      </c>
    </row>
    <row r="63" spans="1:46" x14ac:dyDescent="0.25">
      <c r="A63" s="8" t="s">
        <v>136</v>
      </c>
      <c r="B63" s="11">
        <v>63</v>
      </c>
      <c r="C63">
        <v>0</v>
      </c>
      <c r="D63">
        <v>1</v>
      </c>
      <c r="E63" t="s">
        <v>172</v>
      </c>
      <c r="G63">
        <v>0</v>
      </c>
      <c r="H63">
        <f>2/20</f>
        <v>0.1</v>
      </c>
      <c r="I63">
        <f>17/20</f>
        <v>0.85</v>
      </c>
      <c r="J63">
        <f>1/20</f>
        <v>0.05</v>
      </c>
      <c r="K63">
        <v>0</v>
      </c>
      <c r="L63">
        <v>0</v>
      </c>
      <c r="M63">
        <v>0</v>
      </c>
      <c r="N63">
        <v>0</v>
      </c>
      <c r="O63">
        <f>4/20</f>
        <v>0.2</v>
      </c>
      <c r="P63" s="28">
        <v>231</v>
      </c>
      <c r="Q63" s="28">
        <f>AVERAGE(200,210,194,154)</f>
        <v>189.5</v>
      </c>
      <c r="R63" s="28">
        <f>AVERAGE(175,194,171,213)</f>
        <v>188.25</v>
      </c>
      <c r="S63" s="28">
        <f>AVERAGE(196,200,235,220)</f>
        <v>212.75</v>
      </c>
      <c r="T63" s="28">
        <f>AVERAGE(200,175,196)</f>
        <v>190.33333333333334</v>
      </c>
      <c r="U63" s="28">
        <f>AVERAGE(210,194,200)</f>
        <v>201.33333333333334</v>
      </c>
      <c r="V63" s="28">
        <f>AVERAGE(194,171,235)</f>
        <v>200</v>
      </c>
      <c r="W63" s="28">
        <f>AVERAGE(154,213,220)</f>
        <v>195.66666666666666</v>
      </c>
      <c r="X63" s="28">
        <v>5</v>
      </c>
      <c r="Y63" s="28">
        <f>AVERAGE(0.5,4.5,2,3)</f>
        <v>2.5</v>
      </c>
      <c r="Z63" s="28">
        <f>AVERAGE(1,0,2.5,2)</f>
        <v>1.375</v>
      </c>
      <c r="AA63" s="28">
        <f>AVERAGE(2,1,3,0.5)</f>
        <v>1.625</v>
      </c>
      <c r="AB63" s="28">
        <f>AVERAGE(0.5,1,2)</f>
        <v>1.1666666666666667</v>
      </c>
      <c r="AC63" s="28">
        <f>AVERAGE(4.5,0,1)</f>
        <v>1.8333333333333333</v>
      </c>
      <c r="AD63" s="28">
        <f>AVERAGE(2,2.5,3)</f>
        <v>2.5</v>
      </c>
      <c r="AE63" s="28">
        <f>AVERAGE(3,2,0.5)</f>
        <v>1.8333333333333333</v>
      </c>
      <c r="AF63" s="31">
        <v>97.14</v>
      </c>
      <c r="AG63" s="31">
        <v>100</v>
      </c>
      <c r="AH63" s="31">
        <v>18.100000000000001</v>
      </c>
      <c r="AI63" s="31">
        <v>100</v>
      </c>
      <c r="AJ63" s="31">
        <v>6.4</v>
      </c>
      <c r="AK63" t="s">
        <v>172</v>
      </c>
      <c r="AL63" t="s">
        <v>172</v>
      </c>
      <c r="AM63" t="s">
        <v>172</v>
      </c>
      <c r="AN63" t="s">
        <v>172</v>
      </c>
      <c r="AO63" t="s">
        <v>172</v>
      </c>
      <c r="AP63" t="s">
        <v>172</v>
      </c>
      <c r="AQ63" t="s">
        <v>172</v>
      </c>
      <c r="AR63" t="s">
        <v>172</v>
      </c>
      <c r="AS63" s="31">
        <v>443</v>
      </c>
      <c r="AT63" s="31">
        <v>3</v>
      </c>
    </row>
    <row r="64" spans="1:46" x14ac:dyDescent="0.25">
      <c r="A64" s="8" t="s">
        <v>137</v>
      </c>
      <c r="B64" s="11">
        <v>64</v>
      </c>
      <c r="C64">
        <v>0</v>
      </c>
      <c r="D64">
        <v>1</v>
      </c>
      <c r="E64" t="s">
        <v>172</v>
      </c>
      <c r="G64">
        <v>0</v>
      </c>
      <c r="H64">
        <f>4/20</f>
        <v>0.2</v>
      </c>
      <c r="I64">
        <f>12/20</f>
        <v>0.6</v>
      </c>
      <c r="J64">
        <f>4/20</f>
        <v>0.2</v>
      </c>
      <c r="K64">
        <v>0</v>
      </c>
      <c r="L64">
        <v>0</v>
      </c>
      <c r="M64">
        <v>0</v>
      </c>
      <c r="N64">
        <v>0</v>
      </c>
      <c r="O64">
        <f>17/20</f>
        <v>0.85</v>
      </c>
      <c r="P64" s="28">
        <v>108.5</v>
      </c>
      <c r="Q64" s="28">
        <f>AVERAGE(192,248,111,112.5)</f>
        <v>165.875</v>
      </c>
      <c r="R64" s="28">
        <f>AVERAGE(196.5,103.5,134,199.5)</f>
        <v>158.375</v>
      </c>
      <c r="S64" s="28">
        <f>AVERAGE(184.5,292,152.5,253)</f>
        <v>220.5</v>
      </c>
      <c r="T64" s="28">
        <f>AVERAGE(192,196.5,184.5)</f>
        <v>191</v>
      </c>
      <c r="U64" s="28">
        <f>AVERAGE(248,103.5,292)</f>
        <v>214.5</v>
      </c>
      <c r="V64" s="28">
        <f>AVERAGE(111,134,152.5)</f>
        <v>132.5</v>
      </c>
      <c r="W64" s="28">
        <f>AVERAGE(112.5,199.5,253)</f>
        <v>188.33333333333334</v>
      </c>
      <c r="X64" s="28">
        <v>0.5</v>
      </c>
      <c r="Y64" s="28">
        <f>AVERAGE(1,6,4.5,0.5)</f>
        <v>3</v>
      </c>
      <c r="Z64" s="28">
        <f>AVERAGE(1,4,5,3.5)</f>
        <v>3.375</v>
      </c>
      <c r="AA64" s="28">
        <f>AVERAGE(4,3,5.5,4)</f>
        <v>4.125</v>
      </c>
      <c r="AB64" s="28">
        <f>AVERAGE(1,1,4)</f>
        <v>2</v>
      </c>
      <c r="AC64" s="28">
        <f>AVERAGE(6,4,3)</f>
        <v>4.333333333333333</v>
      </c>
      <c r="AD64" s="28">
        <f>AVERAGE(4.5,5,5.5)</f>
        <v>5</v>
      </c>
      <c r="AE64" s="28">
        <f>AVERAGE(0.5,3.5,4)</f>
        <v>2.6666666666666665</v>
      </c>
      <c r="AF64" s="31">
        <v>100</v>
      </c>
      <c r="AG64" s="31">
        <v>100</v>
      </c>
      <c r="AH64" s="31">
        <v>95.58</v>
      </c>
      <c r="AI64" s="31">
        <v>94.54</v>
      </c>
      <c r="AJ64" s="31">
        <v>31.88</v>
      </c>
      <c r="AK64" t="s">
        <v>172</v>
      </c>
      <c r="AL64" t="s">
        <v>172</v>
      </c>
      <c r="AM64" t="s">
        <v>172</v>
      </c>
      <c r="AN64" t="s">
        <v>172</v>
      </c>
      <c r="AO64" t="s">
        <v>172</v>
      </c>
      <c r="AP64" t="s">
        <v>172</v>
      </c>
      <c r="AQ64" t="s">
        <v>172</v>
      </c>
      <c r="AR64" t="s">
        <v>172</v>
      </c>
      <c r="AS64" s="31">
        <v>613</v>
      </c>
      <c r="AT64" s="31">
        <v>87</v>
      </c>
    </row>
    <row r="65" spans="1:46" x14ac:dyDescent="0.25">
      <c r="A65" s="8" t="s">
        <v>138</v>
      </c>
      <c r="B65" s="11">
        <v>65</v>
      </c>
      <c r="C65">
        <v>0</v>
      </c>
      <c r="D65">
        <v>1</v>
      </c>
      <c r="E65" t="s">
        <v>172</v>
      </c>
      <c r="G65">
        <f>1/20</f>
        <v>0.05</v>
      </c>
      <c r="H65">
        <f>7/20</f>
        <v>0.35</v>
      </c>
      <c r="I65">
        <f>2/20</f>
        <v>0.1</v>
      </c>
      <c r="J65">
        <f>6/20</f>
        <v>0.3</v>
      </c>
      <c r="K65">
        <f>3/20</f>
        <v>0.15</v>
      </c>
      <c r="L65">
        <v>0</v>
      </c>
      <c r="M65">
        <f>1/20</f>
        <v>0.05</v>
      </c>
      <c r="N65">
        <v>0</v>
      </c>
      <c r="O65">
        <f>9/20</f>
        <v>0.45</v>
      </c>
      <c r="P65" s="28">
        <v>132</v>
      </c>
      <c r="Q65" s="28">
        <f>AVERAGE(89,242,121,171)</f>
        <v>155.75</v>
      </c>
      <c r="R65" s="28">
        <f>AVERAGE(118,188.5,124,62)</f>
        <v>123.125</v>
      </c>
      <c r="S65" s="28">
        <f>AVERAGE(103.5,60,87.5,61)</f>
        <v>78</v>
      </c>
      <c r="T65" s="28">
        <f>AVERAGE(89,119,103.5)</f>
        <v>103.83333333333333</v>
      </c>
      <c r="U65" s="28">
        <f>AVERAGE(242,188.5,60)</f>
        <v>163.5</v>
      </c>
      <c r="V65" s="28">
        <f>AVERAGE(121,124,87.5)</f>
        <v>110.83333333333333</v>
      </c>
      <c r="W65" s="28">
        <f>AVERAGE(171,62,61)</f>
        <v>98</v>
      </c>
      <c r="X65" s="28">
        <v>0.5</v>
      </c>
      <c r="Y65" s="28">
        <f>AVERAGE(0.5,0,0.5,0.5)</f>
        <v>0.375</v>
      </c>
      <c r="Z65" s="28">
        <f>AVERAGE(0.5,3.5,2,3.5)</f>
        <v>2.375</v>
      </c>
      <c r="AA65" s="28">
        <f>AVERAGE(3,2,4,4)</f>
        <v>3.25</v>
      </c>
      <c r="AB65" s="28">
        <f>AVERAGE(0.5,0.5,3)</f>
        <v>1.3333333333333333</v>
      </c>
      <c r="AC65" s="28">
        <f>AVERAGE(0,3.5,2)</f>
        <v>1.8333333333333333</v>
      </c>
      <c r="AD65" s="28">
        <f>AVERAGE(0.5,2,4)</f>
        <v>2.1666666666666665</v>
      </c>
      <c r="AE65" s="28">
        <f>AVERAGE(0.5,3.5,4)</f>
        <v>2.6666666666666665</v>
      </c>
      <c r="AF65" s="31">
        <v>19.399999999999999</v>
      </c>
      <c r="AG65" s="31">
        <v>7.96</v>
      </c>
      <c r="AH65" s="31">
        <v>88.56</v>
      </c>
      <c r="AI65" s="31">
        <v>200</v>
      </c>
      <c r="AJ65" s="31">
        <v>44.2</v>
      </c>
      <c r="AK65" t="s">
        <v>172</v>
      </c>
      <c r="AL65" t="s">
        <v>172</v>
      </c>
      <c r="AM65" t="s">
        <v>172</v>
      </c>
      <c r="AN65" t="s">
        <v>172</v>
      </c>
      <c r="AO65" t="s">
        <v>172</v>
      </c>
      <c r="AP65" t="s">
        <v>172</v>
      </c>
      <c r="AQ65" t="s">
        <v>172</v>
      </c>
      <c r="AR65" t="s">
        <v>172</v>
      </c>
      <c r="AS65" s="31">
        <v>266</v>
      </c>
      <c r="AT65" s="31">
        <v>70</v>
      </c>
    </row>
    <row r="66" spans="1:46" x14ac:dyDescent="0.25">
      <c r="A66" s="8" t="s">
        <v>163</v>
      </c>
      <c r="B66" s="11">
        <v>66</v>
      </c>
      <c r="C66">
        <v>0</v>
      </c>
      <c r="D66">
        <v>1</v>
      </c>
      <c r="E66" t="s">
        <v>172</v>
      </c>
      <c r="G66">
        <v>0</v>
      </c>
      <c r="H66">
        <f>6/20</f>
        <v>0.3</v>
      </c>
      <c r="I66">
        <f>10/20</f>
        <v>0.5</v>
      </c>
      <c r="J66">
        <f>3/20</f>
        <v>0.15</v>
      </c>
      <c r="K66">
        <v>0</v>
      </c>
      <c r="L66">
        <v>0</v>
      </c>
      <c r="M66">
        <f>1/20</f>
        <v>0.05</v>
      </c>
      <c r="N66">
        <v>0</v>
      </c>
      <c r="O66">
        <f>15/20</f>
        <v>0.75</v>
      </c>
      <c r="P66" s="28">
        <v>69</v>
      </c>
      <c r="Q66" s="28">
        <f>AVERAGE(79,306,225,116.5)</f>
        <v>181.625</v>
      </c>
      <c r="R66" s="28">
        <f>AVERAGE(273,233,152,108)</f>
        <v>191.5</v>
      </c>
      <c r="S66" s="28">
        <f>AVERAGE(222.5,320,176.5,199)</f>
        <v>229.5</v>
      </c>
      <c r="T66" s="28">
        <f>AVERAGE(79,273,222.5)</f>
        <v>191.5</v>
      </c>
      <c r="U66" s="28">
        <f>AVERAGE(306,233,320)</f>
        <v>286.33333333333331</v>
      </c>
      <c r="V66" s="28">
        <f>AVERAGE(225,152,176.5)</f>
        <v>184.5</v>
      </c>
      <c r="W66" s="28">
        <f>AVERAGE(116.5,108,199)</f>
        <v>141.16666666666666</v>
      </c>
      <c r="X66" s="28">
        <v>2</v>
      </c>
      <c r="Y66" s="28">
        <f>AVERAGE(3.5,3,0,3.5)</f>
        <v>2.5</v>
      </c>
      <c r="Z66" s="28">
        <f>AVERAGE(4,2,3.5,1)</f>
        <v>2.625</v>
      </c>
      <c r="AA66" s="28">
        <f>AVERAGE(3,4,2,2.5)</f>
        <v>2.875</v>
      </c>
      <c r="AB66" s="28">
        <f>AVERAGE(3.5,4,3)</f>
        <v>3.5</v>
      </c>
      <c r="AC66" s="28">
        <f>AVERAGE(3,2,4)</f>
        <v>3</v>
      </c>
      <c r="AD66" s="28">
        <f>AVERAGE(0,3.5,2)</f>
        <v>1.8333333333333333</v>
      </c>
      <c r="AE66" s="28">
        <f>AVERAGE(3.5,1,2.5)</f>
        <v>2.3333333333333335</v>
      </c>
      <c r="AF66" s="31">
        <v>95.32</v>
      </c>
      <c r="AG66" s="31">
        <v>98.96</v>
      </c>
      <c r="AH66" s="31">
        <v>10.56</v>
      </c>
      <c r="AI66" s="31">
        <v>81.540000000000006</v>
      </c>
      <c r="AJ66" s="31">
        <v>82.06</v>
      </c>
      <c r="AK66" t="s">
        <v>172</v>
      </c>
      <c r="AL66" t="s">
        <v>172</v>
      </c>
      <c r="AM66" t="s">
        <v>172</v>
      </c>
      <c r="AN66" t="s">
        <v>172</v>
      </c>
      <c r="AO66" t="s">
        <v>172</v>
      </c>
      <c r="AP66" t="s">
        <v>172</v>
      </c>
      <c r="AQ66" t="s">
        <v>172</v>
      </c>
      <c r="AR66" t="s">
        <v>172</v>
      </c>
      <c r="AS66" s="31">
        <v>307</v>
      </c>
      <c r="AT66" s="31">
        <v>228</v>
      </c>
    </row>
    <row r="67" spans="1:46" x14ac:dyDescent="0.25">
      <c r="A67" s="8" t="s">
        <v>140</v>
      </c>
      <c r="B67" s="11">
        <v>68</v>
      </c>
      <c r="C67">
        <v>0</v>
      </c>
      <c r="D67">
        <v>1</v>
      </c>
      <c r="E67" t="s">
        <v>172</v>
      </c>
      <c r="G67">
        <v>0</v>
      </c>
      <c r="H67">
        <f>2/20</f>
        <v>0.1</v>
      </c>
      <c r="I67">
        <f>11/20</f>
        <v>0.55000000000000004</v>
      </c>
      <c r="J67">
        <f>3/20</f>
        <v>0.15</v>
      </c>
      <c r="K67">
        <v>0</v>
      </c>
      <c r="L67">
        <v>0</v>
      </c>
      <c r="M67">
        <f>4/20</f>
        <v>0.2</v>
      </c>
      <c r="N67">
        <v>0</v>
      </c>
      <c r="O67">
        <f>10/20</f>
        <v>0.5</v>
      </c>
      <c r="P67" s="28">
        <v>37</v>
      </c>
      <c r="Q67" s="28">
        <f>AVERAGE(83,187,95,158)</f>
        <v>130.75</v>
      </c>
      <c r="R67" s="28">
        <f>AVERAGE(76,212,287,62)</f>
        <v>159.25</v>
      </c>
      <c r="S67" s="28">
        <f>AVERAGE(209.5,223,280,135)</f>
        <v>211.875</v>
      </c>
      <c r="T67" s="28">
        <f>AVERAGE(83,76,209.5)</f>
        <v>122.83333333333333</v>
      </c>
      <c r="U67" s="28">
        <f>AVERAGE(187,212,223)</f>
        <v>207.33333333333334</v>
      </c>
      <c r="V67" s="28">
        <f>AVERAGE(95,287,280)</f>
        <v>220.66666666666666</v>
      </c>
      <c r="W67" s="28">
        <f>AVERAGE(158,62,135)</f>
        <v>118.33333333333333</v>
      </c>
      <c r="X67" s="28">
        <v>0</v>
      </c>
      <c r="Y67" s="28">
        <v>0</v>
      </c>
      <c r="Z67" s="28">
        <f>AVERAGE(0,0,2,0)</f>
        <v>0.5</v>
      </c>
      <c r="AA67" s="28">
        <f>AVERAGE(0,0,4,0)</f>
        <v>1</v>
      </c>
      <c r="AB67" s="28">
        <v>0</v>
      </c>
      <c r="AC67" s="28">
        <v>0</v>
      </c>
      <c r="AD67" s="28">
        <f>AVERAGE(0,2,4)</f>
        <v>2</v>
      </c>
      <c r="AE67" s="28">
        <v>0</v>
      </c>
      <c r="AF67" s="31">
        <v>100</v>
      </c>
      <c r="AG67" s="31">
        <v>20.96</v>
      </c>
      <c r="AH67" s="31">
        <v>66.72</v>
      </c>
      <c r="AI67" s="31">
        <v>0</v>
      </c>
      <c r="AJ67" s="31">
        <v>2.2400000000000002</v>
      </c>
      <c r="AK67" t="s">
        <v>172</v>
      </c>
      <c r="AL67" t="s">
        <v>172</v>
      </c>
      <c r="AM67" t="s">
        <v>172</v>
      </c>
      <c r="AN67" t="s">
        <v>172</v>
      </c>
      <c r="AO67" t="s">
        <v>172</v>
      </c>
      <c r="AP67" t="s">
        <v>172</v>
      </c>
      <c r="AQ67" t="s">
        <v>172</v>
      </c>
      <c r="AR67" t="s">
        <v>172</v>
      </c>
      <c r="AS67" s="31">
        <v>715</v>
      </c>
      <c r="AT67" s="31">
        <v>170</v>
      </c>
    </row>
    <row r="68" spans="1:46" x14ac:dyDescent="0.25">
      <c r="A68" s="8" t="s">
        <v>141</v>
      </c>
      <c r="B68" s="11">
        <v>69</v>
      </c>
      <c r="C68">
        <v>0</v>
      </c>
      <c r="D68">
        <v>1</v>
      </c>
      <c r="E68" t="s">
        <v>172</v>
      </c>
      <c r="G68">
        <v>0</v>
      </c>
      <c r="H68">
        <f>3/20</f>
        <v>0.15</v>
      </c>
      <c r="I68">
        <f>16/20</f>
        <v>0.8</v>
      </c>
      <c r="J68">
        <v>0</v>
      </c>
      <c r="K68">
        <v>0</v>
      </c>
      <c r="L68">
        <v>0</v>
      </c>
      <c r="M68">
        <f>1/20</f>
        <v>0.05</v>
      </c>
      <c r="N68">
        <v>0</v>
      </c>
      <c r="O68">
        <f>2/20</f>
        <v>0.1</v>
      </c>
      <c r="P68" s="28">
        <v>120.5</v>
      </c>
      <c r="Q68" s="28">
        <f>AVERAGE(221,58,130,72.5)</f>
        <v>120.375</v>
      </c>
      <c r="R68" s="28">
        <f>AVERAGE(231,227,199,111)</f>
        <v>192</v>
      </c>
      <c r="S68" s="28">
        <f>AVERAGE(244,66,167,83.5)</f>
        <v>140.125</v>
      </c>
      <c r="T68" s="28">
        <f>AVERAGE(221,231,244)</f>
        <v>232</v>
      </c>
      <c r="U68" s="28">
        <f>AVERAGE(58,227,66)</f>
        <v>117</v>
      </c>
      <c r="V68" s="28">
        <f>AVERAGE(130,199,167)</f>
        <v>165.33333333333334</v>
      </c>
      <c r="W68" s="28">
        <f>AVERAGE(72.5,111,83.5)</f>
        <v>89</v>
      </c>
      <c r="X68" s="28">
        <v>0</v>
      </c>
      <c r="Y68" s="28">
        <v>0</v>
      </c>
      <c r="Z68" s="28">
        <f>AVERAGE(2,0,0.5,0)</f>
        <v>0.625</v>
      </c>
      <c r="AA68" s="28">
        <f>AVERAGE(1,0,0.5,0)</f>
        <v>0.375</v>
      </c>
      <c r="AB68" s="28">
        <f>AVERAGE(0,1,2)</f>
        <v>1</v>
      </c>
      <c r="AC68" s="28">
        <v>0</v>
      </c>
      <c r="AD68" s="28">
        <f>AVERAGE(0,0.5,0.5)</f>
        <v>0.33333333333333331</v>
      </c>
      <c r="AE68" s="28">
        <v>0</v>
      </c>
      <c r="AF68" s="31">
        <v>0</v>
      </c>
      <c r="AG68" s="31">
        <v>0</v>
      </c>
      <c r="AH68" s="31">
        <v>0</v>
      </c>
      <c r="AI68" s="31">
        <v>0</v>
      </c>
      <c r="AJ68" s="31">
        <v>76.599999999999994</v>
      </c>
      <c r="AK68" t="s">
        <v>172</v>
      </c>
      <c r="AL68" t="s">
        <v>172</v>
      </c>
      <c r="AM68" t="s">
        <v>172</v>
      </c>
      <c r="AN68" t="s">
        <v>172</v>
      </c>
      <c r="AO68" t="s">
        <v>172</v>
      </c>
      <c r="AP68" t="s">
        <v>172</v>
      </c>
      <c r="AQ68" t="s">
        <v>172</v>
      </c>
      <c r="AR68" t="s">
        <v>172</v>
      </c>
      <c r="AS68" s="31">
        <v>683</v>
      </c>
      <c r="AT68" s="31">
        <v>113</v>
      </c>
    </row>
    <row r="69" spans="1:46" x14ac:dyDescent="0.25">
      <c r="A69" s="8" t="s">
        <v>142</v>
      </c>
      <c r="B69" s="11">
        <v>70</v>
      </c>
      <c r="C69">
        <v>0</v>
      </c>
      <c r="D69">
        <v>1</v>
      </c>
      <c r="E69" t="s">
        <v>172</v>
      </c>
      <c r="G69">
        <v>0</v>
      </c>
      <c r="H69">
        <f>4/20</f>
        <v>0.2</v>
      </c>
      <c r="I69">
        <f>10/20</f>
        <v>0.5</v>
      </c>
      <c r="J69">
        <f>3/20</f>
        <v>0.15</v>
      </c>
      <c r="K69">
        <f>1/20</f>
        <v>0.05</v>
      </c>
      <c r="L69">
        <v>0</v>
      </c>
      <c r="M69">
        <f>2/20</f>
        <v>0.1</v>
      </c>
      <c r="N69">
        <v>0</v>
      </c>
      <c r="O69">
        <f>11/20</f>
        <v>0.55000000000000004</v>
      </c>
      <c r="P69" s="28">
        <v>47</v>
      </c>
      <c r="Q69" s="28">
        <f>AVERAGE(59,134,46,167.5)</f>
        <v>101.625</v>
      </c>
      <c r="R69" s="28">
        <f>AVERAGE(209,204.5,73,224)</f>
        <v>177.625</v>
      </c>
      <c r="S69" s="28">
        <f>AVERAGE(206,340,57,147)</f>
        <v>187.5</v>
      </c>
      <c r="T69" s="28">
        <f>AVERAGE(59,209,206)</f>
        <v>158</v>
      </c>
      <c r="U69" s="28">
        <f>AVERAGE(134,204.5,340)</f>
        <v>226.16666666666666</v>
      </c>
      <c r="V69" s="28">
        <f>AVERAGE(46,73,57)</f>
        <v>58.666666666666664</v>
      </c>
      <c r="W69" s="28">
        <f>AVERAGE(167.5,224,147)</f>
        <v>179.5</v>
      </c>
      <c r="X69" s="28">
        <v>0</v>
      </c>
      <c r="Y69" s="28">
        <f>AVERAGE(0,0,0,7)</f>
        <v>1.75</v>
      </c>
      <c r="Z69" s="28">
        <f>AVERAGE(2,4,0,5)</f>
        <v>2.75</v>
      </c>
      <c r="AA69" s="28">
        <f>AVERAGE(3.5,6,0,4)</f>
        <v>3.375</v>
      </c>
      <c r="AB69" s="28">
        <f>AVERAGE(0,2,3.5)</f>
        <v>1.8333333333333333</v>
      </c>
      <c r="AC69" s="28">
        <f>AVERAGE(0,4,6)</f>
        <v>3.3333333333333335</v>
      </c>
      <c r="AD69" s="28">
        <v>0</v>
      </c>
      <c r="AE69" s="28">
        <f>AVERAGE(7,5,4)</f>
        <v>5.333333333333333</v>
      </c>
      <c r="AF69" s="31">
        <v>28.24</v>
      </c>
      <c r="AG69" s="31">
        <v>17.059999999999999</v>
      </c>
      <c r="AH69" s="31">
        <v>41.76</v>
      </c>
      <c r="AI69" s="31">
        <v>40.98</v>
      </c>
      <c r="AJ69" s="31">
        <v>25.64</v>
      </c>
      <c r="AK69" t="s">
        <v>172</v>
      </c>
      <c r="AL69" t="s">
        <v>172</v>
      </c>
      <c r="AM69" t="s">
        <v>172</v>
      </c>
      <c r="AN69" t="s">
        <v>172</v>
      </c>
      <c r="AO69" t="s">
        <v>172</v>
      </c>
      <c r="AP69" t="s">
        <v>172</v>
      </c>
      <c r="AQ69" t="s">
        <v>172</v>
      </c>
      <c r="AR69" t="s">
        <v>172</v>
      </c>
      <c r="AS69" s="31">
        <v>882</v>
      </c>
      <c r="AT69" s="31">
        <v>120</v>
      </c>
    </row>
    <row r="70" spans="1:46" x14ac:dyDescent="0.25">
      <c r="A70" s="8" t="s">
        <v>143</v>
      </c>
      <c r="B70" s="11">
        <v>71</v>
      </c>
      <c r="C70">
        <v>0</v>
      </c>
      <c r="D70">
        <v>1</v>
      </c>
      <c r="E70" t="s">
        <v>172</v>
      </c>
      <c r="G70">
        <v>0</v>
      </c>
      <c r="H70">
        <v>0</v>
      </c>
      <c r="I70">
        <f>15/20</f>
        <v>0.75</v>
      </c>
      <c r="J70">
        <f>5/20</f>
        <v>0.25</v>
      </c>
      <c r="K70">
        <v>0</v>
      </c>
      <c r="L70">
        <v>0</v>
      </c>
      <c r="M70">
        <v>0</v>
      </c>
      <c r="N70">
        <v>0</v>
      </c>
      <c r="O70">
        <f>15/25</f>
        <v>0.6</v>
      </c>
      <c r="P70" s="28">
        <v>70.099999999999994</v>
      </c>
      <c r="Q70" s="28">
        <f>AVERAGE(125,125.5,610,60.5)</f>
        <v>230.25</v>
      </c>
      <c r="R70" s="28">
        <f>AVERAGE(120.5,207,610,156)</f>
        <v>273.375</v>
      </c>
      <c r="S70" s="28">
        <f>AVERAGE(518,174.5,253,181)</f>
        <v>281.625</v>
      </c>
      <c r="T70" s="28">
        <f>AVERAGE(125,120.5,518)</f>
        <v>254.5</v>
      </c>
      <c r="U70" s="28">
        <f>AVERAGE(125.5,207,174.5)</f>
        <v>169</v>
      </c>
      <c r="V70" s="28">
        <f>AVERAGE(610,610,253)</f>
        <v>491</v>
      </c>
      <c r="W70" s="28">
        <f>AVERAGE(60.5,156,181)</f>
        <v>132.5</v>
      </c>
      <c r="X70" s="28">
        <v>0</v>
      </c>
      <c r="Y70" s="28">
        <f>AVERAGE(2,0.5,0.5,0)</f>
        <v>0.75</v>
      </c>
      <c r="Z70" s="28">
        <f>AVERAGE(0,3,7,5)</f>
        <v>3.75</v>
      </c>
      <c r="AA70" s="28">
        <f>AVERAGE(5,3.5,4,5)</f>
        <v>4.375</v>
      </c>
      <c r="AB70" s="28">
        <f>AVERAGE(2,0,5)</f>
        <v>2.3333333333333335</v>
      </c>
      <c r="AC70" s="28">
        <f>AVERAGE(0.5,3,3.5)</f>
        <v>2.3333333333333335</v>
      </c>
      <c r="AD70" s="28">
        <f>AVERAGE(0.5,7,4)</f>
        <v>3.8333333333333335</v>
      </c>
      <c r="AE70" s="28">
        <f>AVERAGE(0,5,5)</f>
        <v>3.3333333333333335</v>
      </c>
      <c r="AF70" s="31">
        <v>70.099999999999994</v>
      </c>
      <c r="AG70" s="31">
        <v>63.6</v>
      </c>
      <c r="AH70" s="31">
        <v>100</v>
      </c>
      <c r="AI70" s="31">
        <v>94.8</v>
      </c>
      <c r="AJ70" s="31">
        <v>56.84</v>
      </c>
      <c r="AK70" t="s">
        <v>172</v>
      </c>
      <c r="AL70" t="s">
        <v>172</v>
      </c>
      <c r="AM70" t="s">
        <v>172</v>
      </c>
      <c r="AN70" t="s">
        <v>172</v>
      </c>
      <c r="AO70" t="s">
        <v>172</v>
      </c>
      <c r="AP70" t="s">
        <v>172</v>
      </c>
      <c r="AQ70" t="s">
        <v>172</v>
      </c>
      <c r="AR70" t="s">
        <v>172</v>
      </c>
      <c r="AS70" s="31">
        <v>408</v>
      </c>
      <c r="AT70" s="31">
        <v>122</v>
      </c>
    </row>
    <row r="71" spans="1:46" x14ac:dyDescent="0.25">
      <c r="A71" s="8" t="s">
        <v>144</v>
      </c>
      <c r="B71" s="11">
        <v>72</v>
      </c>
      <c r="C71">
        <v>0</v>
      </c>
      <c r="D71">
        <v>1</v>
      </c>
      <c r="E71" t="s">
        <v>172</v>
      </c>
      <c r="G71">
        <v>0</v>
      </c>
      <c r="H71">
        <f>7/20</f>
        <v>0.35</v>
      </c>
      <c r="I71">
        <f>6/20</f>
        <v>0.3</v>
      </c>
      <c r="J71">
        <f>5/20</f>
        <v>0.25</v>
      </c>
      <c r="K71">
        <f>2/20</f>
        <v>0.1</v>
      </c>
      <c r="L71">
        <v>0</v>
      </c>
      <c r="M71">
        <v>0</v>
      </c>
      <c r="N71">
        <v>0</v>
      </c>
      <c r="O71">
        <f>16/20</f>
        <v>0.8</v>
      </c>
      <c r="P71" s="28">
        <v>62</v>
      </c>
      <c r="Q71" s="28">
        <f>AVERAGE(173.5,174,105.5,109.5)</f>
        <v>140.625</v>
      </c>
      <c r="R71" s="28">
        <f>AVERAGE(31.5,103.5,113,701)</f>
        <v>237.25</v>
      </c>
      <c r="S71" s="28">
        <f>AVERAGE(157,204,246,518)</f>
        <v>281.25</v>
      </c>
      <c r="T71" s="28">
        <f>AVERAGE(173.5,31.5,157)</f>
        <v>120.66666666666667</v>
      </c>
      <c r="U71" s="28">
        <f>AVERAGE(174,103.5,204)</f>
        <v>160.5</v>
      </c>
      <c r="V71" s="28">
        <f>AVERAGE(105.5,113,246)</f>
        <v>154.83333333333334</v>
      </c>
      <c r="W71" s="28">
        <f>AVERAGE(109.5,701,518)</f>
        <v>442.83333333333331</v>
      </c>
      <c r="X71" s="28">
        <v>3</v>
      </c>
      <c r="Y71" s="28">
        <f>AVERAGE(5,3,3,6)</f>
        <v>4.25</v>
      </c>
      <c r="Z71" s="28">
        <f>AVERAGE(4,6,2.5,7)</f>
        <v>4.875</v>
      </c>
      <c r="AA71" s="28">
        <f>AVERAGE(2.5,4,5.5,7)</f>
        <v>4.75</v>
      </c>
      <c r="AB71" s="28">
        <f>AVERAGE(5,4,2.5)</f>
        <v>3.8333333333333335</v>
      </c>
      <c r="AC71" s="28">
        <f>AVERAGE(3,6,4)</f>
        <v>4.333333333333333</v>
      </c>
      <c r="AD71" s="28">
        <f>AVERAGE(3,2.5,5.5)</f>
        <v>3.6666666666666665</v>
      </c>
      <c r="AE71" s="28">
        <f>AVERAGE(6,7,7)</f>
        <v>6.666666666666667</v>
      </c>
      <c r="AF71" s="31">
        <v>100</v>
      </c>
      <c r="AG71" s="31">
        <v>38.380000000000003</v>
      </c>
      <c r="AH71" s="31">
        <v>100</v>
      </c>
      <c r="AI71" s="31">
        <v>100</v>
      </c>
      <c r="AJ71" s="31">
        <v>81.540000000000006</v>
      </c>
      <c r="AK71" t="s">
        <v>172</v>
      </c>
      <c r="AL71" t="s">
        <v>172</v>
      </c>
      <c r="AM71" t="s">
        <v>172</v>
      </c>
      <c r="AN71" t="s">
        <v>172</v>
      </c>
      <c r="AO71" t="s">
        <v>172</v>
      </c>
      <c r="AP71" t="s">
        <v>172</v>
      </c>
      <c r="AQ71" t="s">
        <v>172</v>
      </c>
      <c r="AR71" t="s">
        <v>172</v>
      </c>
      <c r="AS71" s="31">
        <v>281</v>
      </c>
      <c r="AT71" s="31">
        <v>81</v>
      </c>
    </row>
    <row r="72" spans="1:46" x14ac:dyDescent="0.25">
      <c r="A72" s="8" t="s">
        <v>145</v>
      </c>
      <c r="B72" s="11">
        <v>73</v>
      </c>
      <c r="C72">
        <v>0</v>
      </c>
      <c r="D72">
        <v>1</v>
      </c>
      <c r="E72" t="s">
        <v>172</v>
      </c>
      <c r="G72">
        <v>0</v>
      </c>
      <c r="H72">
        <f>5/20</f>
        <v>0.25</v>
      </c>
      <c r="I72">
        <f>9/20</f>
        <v>0.45</v>
      </c>
      <c r="J72">
        <f>5/20</f>
        <v>0.25</v>
      </c>
      <c r="K72">
        <v>0</v>
      </c>
      <c r="L72">
        <v>0</v>
      </c>
      <c r="M72">
        <f>1/20</f>
        <v>0.05</v>
      </c>
      <c r="N72">
        <v>0</v>
      </c>
      <c r="O72">
        <f>14/20</f>
        <v>0.7</v>
      </c>
      <c r="P72" s="28">
        <v>56.5</v>
      </c>
      <c r="Q72" s="28">
        <f>AVERAGE(55.5,119,54,70)</f>
        <v>74.625</v>
      </c>
      <c r="R72" s="28">
        <f>AVERAGE(206.5,179,159,263)</f>
        <v>201.875</v>
      </c>
      <c r="S72" s="28">
        <f>AVERAGE(156,228,132,273)</f>
        <v>197.25</v>
      </c>
      <c r="T72" s="28">
        <f>AVERAGE(55.5,206.5,156)</f>
        <v>139.33333333333334</v>
      </c>
      <c r="U72" s="28">
        <f>AVERAGE(119,179,228)</f>
        <v>175.33333333333334</v>
      </c>
      <c r="V72" s="28">
        <f>AVERAGE(54,159,132)</f>
        <v>115</v>
      </c>
      <c r="W72" s="28">
        <f>AVERAGE(70,263,273)</f>
        <v>202</v>
      </c>
      <c r="X72" s="28">
        <v>0</v>
      </c>
      <c r="Y72" s="28">
        <v>0</v>
      </c>
      <c r="Z72" s="28">
        <f>AVERAGE(2,3,0,1)</f>
        <v>1.5</v>
      </c>
      <c r="AA72" s="28">
        <v>1.5</v>
      </c>
      <c r="AB72" s="28">
        <f>2/3</f>
        <v>0.66666666666666663</v>
      </c>
      <c r="AC72" s="28">
        <f>AVERAGE(0,3,3)</f>
        <v>2</v>
      </c>
      <c r="AD72" s="28">
        <f>1/3</f>
        <v>0.33333333333333331</v>
      </c>
      <c r="AE72" s="28">
        <f>AVERAGE(0,1,2)</f>
        <v>1</v>
      </c>
      <c r="AF72" s="31">
        <v>95.58</v>
      </c>
      <c r="AG72" s="31">
        <v>100</v>
      </c>
      <c r="AH72" s="31">
        <v>51.64</v>
      </c>
      <c r="AI72" s="31">
        <v>100</v>
      </c>
      <c r="AJ72" s="31">
        <v>0</v>
      </c>
      <c r="AK72" t="s">
        <v>172</v>
      </c>
      <c r="AL72" t="s">
        <v>172</v>
      </c>
      <c r="AM72" t="s">
        <v>172</v>
      </c>
      <c r="AN72" t="s">
        <v>172</v>
      </c>
      <c r="AO72" t="s">
        <v>172</v>
      </c>
      <c r="AP72" t="s">
        <v>172</v>
      </c>
      <c r="AQ72" t="s">
        <v>172</v>
      </c>
      <c r="AR72" t="s">
        <v>172</v>
      </c>
      <c r="AS72" s="31">
        <v>690</v>
      </c>
      <c r="AT72" s="31">
        <v>17</v>
      </c>
    </row>
    <row r="73" spans="1:46" x14ac:dyDescent="0.25">
      <c r="A73" s="9" t="s">
        <v>146</v>
      </c>
      <c r="B73" s="11">
        <v>74</v>
      </c>
      <c r="C73">
        <v>0</v>
      </c>
      <c r="D73">
        <v>1</v>
      </c>
      <c r="E73" t="s">
        <v>172</v>
      </c>
      <c r="G73">
        <v>0</v>
      </c>
      <c r="H73">
        <f>5/20</f>
        <v>0.25</v>
      </c>
      <c r="I73">
        <f>7/20</f>
        <v>0.35</v>
      </c>
      <c r="J73">
        <f>3/20</f>
        <v>0.15</v>
      </c>
      <c r="K73">
        <f>1/20</f>
        <v>0.05</v>
      </c>
      <c r="L73">
        <v>0</v>
      </c>
      <c r="M73">
        <f>2/20</f>
        <v>0.1</v>
      </c>
      <c r="N73">
        <f>2/20</f>
        <v>0.1</v>
      </c>
      <c r="O73">
        <f>9/20</f>
        <v>0.45</v>
      </c>
      <c r="P73" s="28">
        <v>52.5</v>
      </c>
      <c r="Q73" s="28">
        <f>AVERAGE(64,186,21.5,30.5)</f>
        <v>75.5</v>
      </c>
      <c r="R73" s="28">
        <f>AVERAGE(76,121,35.5,148)</f>
        <v>95.125</v>
      </c>
      <c r="S73" s="28">
        <f>AVERAGE(202,20.5,37,162)</f>
        <v>105.375</v>
      </c>
      <c r="T73" s="28">
        <f>AVERAGE(64,76,202)</f>
        <v>114</v>
      </c>
      <c r="U73" s="28">
        <f>AVERAGE(186,121,20.5)</f>
        <v>109.16666666666667</v>
      </c>
      <c r="V73" s="28">
        <f>AVERAGE(21.5,35.5,37)</f>
        <v>31.333333333333332</v>
      </c>
      <c r="W73" s="28">
        <f>AVERAGE(30.5,148,162)</f>
        <v>113.5</v>
      </c>
      <c r="X73" s="28">
        <v>0</v>
      </c>
      <c r="Y73" s="28">
        <f>AVERAGE(0,0,0,2)</f>
        <v>0.5</v>
      </c>
      <c r="Z73" s="28">
        <f>AVERAGE(0,0.5,0,1)</f>
        <v>0.375</v>
      </c>
      <c r="AA73" s="28">
        <f>AVERAGE(0,1,0,1)</f>
        <v>0.5</v>
      </c>
      <c r="AB73" s="28">
        <v>0</v>
      </c>
      <c r="AC73" s="28">
        <f>AVERAGE(0,0.5,1)</f>
        <v>0.5</v>
      </c>
      <c r="AD73" s="28">
        <v>0</v>
      </c>
      <c r="AE73" s="28">
        <f>AVERAGE(2,1,1)</f>
        <v>1.3333333333333333</v>
      </c>
      <c r="AF73" s="33">
        <v>1.2</v>
      </c>
      <c r="AG73" s="33">
        <v>97.66</v>
      </c>
      <c r="AH73" s="33">
        <v>87.72</v>
      </c>
      <c r="AI73" s="33">
        <v>6.66</v>
      </c>
      <c r="AJ73" s="33">
        <v>22.52</v>
      </c>
      <c r="AK73" t="s">
        <v>172</v>
      </c>
      <c r="AL73" t="s">
        <v>172</v>
      </c>
      <c r="AM73" t="s">
        <v>172</v>
      </c>
      <c r="AN73" t="s">
        <v>172</v>
      </c>
      <c r="AO73" t="s">
        <v>172</v>
      </c>
      <c r="AP73" t="s">
        <v>172</v>
      </c>
      <c r="AQ73" t="s">
        <v>172</v>
      </c>
      <c r="AR73" t="s">
        <v>172</v>
      </c>
      <c r="AS73" s="31">
        <v>566</v>
      </c>
      <c r="AT73" s="31">
        <v>96</v>
      </c>
    </row>
    <row r="74" spans="1:46" x14ac:dyDescent="0.25">
      <c r="A74" s="9" t="s">
        <v>147</v>
      </c>
      <c r="B74" s="11">
        <v>75</v>
      </c>
      <c r="C74">
        <v>0</v>
      </c>
      <c r="D74">
        <v>1</v>
      </c>
      <c r="E74" t="s">
        <v>172</v>
      </c>
      <c r="G74">
        <v>0</v>
      </c>
      <c r="H74">
        <f>2/20</f>
        <v>0.1</v>
      </c>
      <c r="I74">
        <f>11/20</f>
        <v>0.55000000000000004</v>
      </c>
      <c r="J74">
        <f>5/20</f>
        <v>0.25</v>
      </c>
      <c r="K74">
        <f>1/20</f>
        <v>0.05</v>
      </c>
      <c r="L74">
        <v>0</v>
      </c>
      <c r="M74">
        <f>1/20</f>
        <v>0.05</v>
      </c>
      <c r="N74">
        <v>0</v>
      </c>
      <c r="O74">
        <f>13/20</f>
        <v>0.65</v>
      </c>
      <c r="P74" s="28">
        <v>406</v>
      </c>
      <c r="Q74" s="28">
        <f>AVERAGE(221,167,64,129)</f>
        <v>145.25</v>
      </c>
      <c r="R74" s="28">
        <f>AVERAGE(295,610,104,21)</f>
        <v>257.5</v>
      </c>
      <c r="S74" s="28">
        <f>AVERAGE(116,170,198,167)</f>
        <v>162.75</v>
      </c>
      <c r="T74" s="28">
        <f>AVERAGE(221,295,116)</f>
        <v>210.66666666666666</v>
      </c>
      <c r="U74" s="28">
        <f>AVERAGE(167,610,170)</f>
        <v>315.66666666666669</v>
      </c>
      <c r="V74" s="28">
        <f>AVERAGE(64,104,198)</f>
        <v>122</v>
      </c>
      <c r="W74" s="28">
        <f>AVERAGE(129,210,167)</f>
        <v>168.66666666666666</v>
      </c>
      <c r="X74" s="28">
        <v>1</v>
      </c>
      <c r="Y74" s="28">
        <f>AVERAGE(2,1.5,0.5,2.5)</f>
        <v>1.625</v>
      </c>
      <c r="Z74" s="28">
        <f>AVERAGE(2.5,2.5,0.5,3)</f>
        <v>2.125</v>
      </c>
      <c r="AA74" s="28">
        <f>AVERAGE(2,1,0.5,3)</f>
        <v>1.625</v>
      </c>
      <c r="AB74" s="28">
        <f>AVERAGE(2,2.5,2)</f>
        <v>2.1666666666666665</v>
      </c>
      <c r="AC74" s="28">
        <f>AVERAGE(1.5,2.5,1)</f>
        <v>1.6666666666666667</v>
      </c>
      <c r="AD74" s="28">
        <v>0.5</v>
      </c>
      <c r="AE74" s="28">
        <f>AVERAGE(2.5,3,3)</f>
        <v>2.8333333333333335</v>
      </c>
      <c r="AF74" s="32">
        <v>75.56</v>
      </c>
      <c r="AG74" s="33">
        <v>59.96</v>
      </c>
      <c r="AH74" s="33">
        <v>70.62</v>
      </c>
      <c r="AI74" s="33">
        <v>85.96</v>
      </c>
      <c r="AJ74" s="33">
        <v>64.64</v>
      </c>
      <c r="AK74" t="s">
        <v>172</v>
      </c>
      <c r="AL74" t="s">
        <v>172</v>
      </c>
      <c r="AM74" t="s">
        <v>172</v>
      </c>
      <c r="AN74" t="s">
        <v>172</v>
      </c>
      <c r="AO74" t="s">
        <v>172</v>
      </c>
      <c r="AP74" t="s">
        <v>172</v>
      </c>
      <c r="AQ74" t="s">
        <v>172</v>
      </c>
      <c r="AR74" t="s">
        <v>172</v>
      </c>
      <c r="AS74" s="31">
        <v>445</v>
      </c>
      <c r="AT74" s="31">
        <v>117</v>
      </c>
    </row>
    <row r="75" spans="1:46" x14ac:dyDescent="0.25">
      <c r="A75" s="9" t="s">
        <v>148</v>
      </c>
      <c r="B75" s="11">
        <v>76</v>
      </c>
      <c r="C75">
        <v>0</v>
      </c>
      <c r="D75">
        <v>1</v>
      </c>
      <c r="E75" t="s">
        <v>172</v>
      </c>
      <c r="G75">
        <v>0</v>
      </c>
      <c r="H75">
        <f>1/20</f>
        <v>0.05</v>
      </c>
      <c r="I75">
        <f>12/20</f>
        <v>0.6</v>
      </c>
      <c r="J75">
        <f>5/20</f>
        <v>0.25</v>
      </c>
      <c r="K75">
        <v>0</v>
      </c>
      <c r="L75">
        <v>0</v>
      </c>
      <c r="M75">
        <f>2/20</f>
        <v>0.1</v>
      </c>
      <c r="N75">
        <v>0</v>
      </c>
      <c r="O75">
        <f>6/20</f>
        <v>0.3</v>
      </c>
      <c r="P75" s="28">
        <v>33.5</v>
      </c>
      <c r="Q75" s="28">
        <f>AVERAGE(2.5,30,164,127)</f>
        <v>80.875</v>
      </c>
      <c r="R75" s="28">
        <f>AVERAGE(316,93,29,151)</f>
        <v>147.25</v>
      </c>
      <c r="S75" s="28">
        <f>AVERAGE(168,103,171,129)</f>
        <v>142.75</v>
      </c>
      <c r="T75" s="28">
        <f>AVERAGE(31.5,316,168)</f>
        <v>171.83333333333334</v>
      </c>
      <c r="U75" s="28">
        <f>AVERAGE(30,93,103)</f>
        <v>75.333333333333329</v>
      </c>
      <c r="V75" s="28">
        <f>AVERAGE(164,29,171)</f>
        <v>121.33333333333333</v>
      </c>
      <c r="W75" s="28">
        <f>AVERAGE(127,151,129)</f>
        <v>135.66666666666666</v>
      </c>
      <c r="X75" s="28">
        <v>0</v>
      </c>
      <c r="Y75" s="28">
        <f>AVERAGE(0,3,0,0)</f>
        <v>0.75</v>
      </c>
      <c r="Z75" s="28">
        <f>AVERAGE(0.5,0,0,0)</f>
        <v>0.125</v>
      </c>
      <c r="AA75" s="28">
        <f>AVERAGE(2.5,0,4,0)</f>
        <v>1.625</v>
      </c>
      <c r="AB75" s="28">
        <f>AVERAGE(0,0.5,2.5)</f>
        <v>1</v>
      </c>
      <c r="AC75" s="28">
        <f>AVERAGE(3,0,0)</f>
        <v>1</v>
      </c>
      <c r="AD75" s="28">
        <f>AVERAGE(0,0,4)</f>
        <v>1.3333333333333333</v>
      </c>
      <c r="AE75" s="28">
        <v>0</v>
      </c>
      <c r="AF75" s="32">
        <v>14.46</v>
      </c>
      <c r="AG75" s="32">
        <v>0</v>
      </c>
      <c r="AH75" s="33">
        <v>56.84</v>
      </c>
      <c r="AI75" s="33">
        <v>4.0599999999999996</v>
      </c>
      <c r="AJ75" s="33">
        <v>2.2400000000000002</v>
      </c>
      <c r="AK75" t="s">
        <v>172</v>
      </c>
      <c r="AL75" t="s">
        <v>172</v>
      </c>
      <c r="AM75" t="s">
        <v>172</v>
      </c>
      <c r="AN75" t="s">
        <v>172</v>
      </c>
      <c r="AO75" t="s">
        <v>172</v>
      </c>
      <c r="AP75" t="s">
        <v>172</v>
      </c>
      <c r="AQ75" t="s">
        <v>172</v>
      </c>
      <c r="AR75" t="s">
        <v>172</v>
      </c>
      <c r="AS75" s="31">
        <v>1525</v>
      </c>
      <c r="AT75" s="31">
        <v>216</v>
      </c>
    </row>
    <row r="76" spans="1:46" x14ac:dyDescent="0.25">
      <c r="A76" s="9" t="s">
        <v>149</v>
      </c>
      <c r="B76" s="11">
        <v>77</v>
      </c>
      <c r="C76">
        <v>0</v>
      </c>
      <c r="D76">
        <v>1</v>
      </c>
      <c r="E76" t="s">
        <v>172</v>
      </c>
      <c r="G76">
        <v>0</v>
      </c>
      <c r="H76">
        <f>2/20</f>
        <v>0.1</v>
      </c>
      <c r="I76">
        <f>8/20</f>
        <v>0.4</v>
      </c>
      <c r="J76">
        <f>9/20</f>
        <v>0.45</v>
      </c>
      <c r="K76">
        <f>1/20</f>
        <v>0.05</v>
      </c>
      <c r="L76">
        <v>0</v>
      </c>
      <c r="M76">
        <v>0</v>
      </c>
      <c r="N76">
        <v>0</v>
      </c>
      <c r="O76">
        <f>17/20</f>
        <v>0.85</v>
      </c>
      <c r="P76" s="28">
        <v>9.5</v>
      </c>
      <c r="Q76" s="28">
        <f>AVERAGE(8,30,127,75)</f>
        <v>60</v>
      </c>
      <c r="R76" s="28">
        <f>AVERAGE(14.5,16.5,34,5)</f>
        <v>17.5</v>
      </c>
      <c r="S76" s="28">
        <f>AVERAGE(143,280,10,210)</f>
        <v>160.75</v>
      </c>
      <c r="T76" s="28">
        <f>AVERAGE(8,14.5,143)</f>
        <v>55.166666666666664</v>
      </c>
      <c r="U76" s="28">
        <f>AVERAGE(30,16.5,280)</f>
        <v>108.83333333333333</v>
      </c>
      <c r="V76" s="28">
        <f>AVERAGE(127,34,10)</f>
        <v>57</v>
      </c>
      <c r="W76" s="28">
        <f>AVERAGE(75,5,210)</f>
        <v>96.666666666666671</v>
      </c>
      <c r="X76" s="28">
        <v>2</v>
      </c>
      <c r="Y76" s="28">
        <f>AVERAGE(2,2.5,0.5,0.5)</f>
        <v>1.375</v>
      </c>
      <c r="Z76" s="28">
        <f>AVERAGE(0.5,2,1,2.5)</f>
        <v>1.5</v>
      </c>
      <c r="AA76" s="28">
        <f>AVERAGE(3.5,3,1,3)</f>
        <v>2.625</v>
      </c>
      <c r="AB76" s="28">
        <f>AVERAGE(2,0.5,3.5)</f>
        <v>2</v>
      </c>
      <c r="AC76" s="28">
        <f>AVERAGE(2.5,2,3)</f>
        <v>2.5</v>
      </c>
      <c r="AD76" s="28">
        <f>AVERAGE(0.5,1,1)</f>
        <v>0.83333333333333337</v>
      </c>
      <c r="AE76" s="28">
        <f>AVERAGE(0.5,2.5,3)</f>
        <v>2</v>
      </c>
      <c r="AF76" s="33">
        <v>97.4</v>
      </c>
      <c r="AG76" s="33">
        <v>95.58</v>
      </c>
      <c r="AH76" s="33">
        <v>77.64</v>
      </c>
      <c r="AI76" s="33">
        <v>99.48</v>
      </c>
      <c r="AJ76" s="33">
        <v>77.12</v>
      </c>
      <c r="AK76" t="s">
        <v>172</v>
      </c>
      <c r="AL76" t="s">
        <v>172</v>
      </c>
      <c r="AM76" t="s">
        <v>172</v>
      </c>
      <c r="AN76" t="s">
        <v>172</v>
      </c>
      <c r="AO76" t="s">
        <v>172</v>
      </c>
      <c r="AP76" t="s">
        <v>172</v>
      </c>
      <c r="AQ76" t="s">
        <v>172</v>
      </c>
      <c r="AR76" t="s">
        <v>172</v>
      </c>
      <c r="AS76" s="31">
        <v>382</v>
      </c>
      <c r="AT76" s="31">
        <v>118</v>
      </c>
    </row>
    <row r="77" spans="1:46" x14ac:dyDescent="0.25">
      <c r="A77" s="9" t="s">
        <v>150</v>
      </c>
      <c r="B77" s="11">
        <v>78</v>
      </c>
      <c r="C77">
        <v>0</v>
      </c>
      <c r="D77">
        <v>1</v>
      </c>
      <c r="E77" t="s">
        <v>172</v>
      </c>
      <c r="G77">
        <v>0</v>
      </c>
      <c r="H77">
        <f>6/20</f>
        <v>0.3</v>
      </c>
      <c r="I77">
        <f>9/20</f>
        <v>0.45</v>
      </c>
      <c r="J77">
        <f>3/20</f>
        <v>0.15</v>
      </c>
      <c r="K77">
        <v>0</v>
      </c>
      <c r="L77">
        <f>2/20</f>
        <v>0.1</v>
      </c>
      <c r="M77">
        <v>0</v>
      </c>
      <c r="N77">
        <v>0</v>
      </c>
      <c r="O77">
        <f>11/20</f>
        <v>0.55000000000000004</v>
      </c>
      <c r="P77" s="28">
        <v>104</v>
      </c>
      <c r="Q77" s="28">
        <f>AVERAGE(46,64,290,85)</f>
        <v>121.25</v>
      </c>
      <c r="R77" s="28">
        <f>AVERAGE(91,94,216,184)</f>
        <v>146.25</v>
      </c>
      <c r="S77" s="28">
        <f>AVERAGE(94,131,104,305)</f>
        <v>158.5</v>
      </c>
      <c r="T77" s="28">
        <f>AVERAGE(46,91,94)</f>
        <v>77</v>
      </c>
      <c r="U77" s="28">
        <f>AVERAGE(64,94,131)</f>
        <v>96.333333333333329</v>
      </c>
      <c r="V77" s="28">
        <f>AVERAGE(290,216,104)</f>
        <v>203.33333333333334</v>
      </c>
      <c r="W77" s="28">
        <f>AVERAGE(85,184,305)</f>
        <v>191.33333333333334</v>
      </c>
      <c r="X77" s="28">
        <v>0</v>
      </c>
      <c r="Y77" s="28">
        <f>AVERAGE(0,2,0,1)</f>
        <v>0.75</v>
      </c>
      <c r="Z77" s="28">
        <f>AVERAGE(0,2.5,0,4)</f>
        <v>1.625</v>
      </c>
      <c r="AA77" s="28">
        <f>AVERAGE(0,3,0,1)</f>
        <v>1</v>
      </c>
      <c r="AB77" s="28">
        <v>0</v>
      </c>
      <c r="AC77" s="28">
        <f>AVERAGE(2,2.5,3)</f>
        <v>2.5</v>
      </c>
      <c r="AD77" s="28">
        <v>0</v>
      </c>
      <c r="AE77" s="28">
        <f>AVERAGE(1,1,4)</f>
        <v>2</v>
      </c>
      <c r="AF77" s="31">
        <v>8.74</v>
      </c>
      <c r="AG77" s="31">
        <v>20.96</v>
      </c>
      <c r="AH77" s="31">
        <v>55.54</v>
      </c>
      <c r="AI77" s="31">
        <v>39.159999999999997</v>
      </c>
      <c r="AJ77" s="31">
        <v>65.680000000000007</v>
      </c>
      <c r="AK77" t="s">
        <v>172</v>
      </c>
      <c r="AL77" t="s">
        <v>172</v>
      </c>
      <c r="AM77" t="s">
        <v>172</v>
      </c>
      <c r="AN77" t="s">
        <v>172</v>
      </c>
      <c r="AO77" t="s">
        <v>172</v>
      </c>
      <c r="AP77" t="s">
        <v>172</v>
      </c>
      <c r="AQ77" t="s">
        <v>172</v>
      </c>
      <c r="AR77" t="s">
        <v>172</v>
      </c>
      <c r="AS77" s="31">
        <v>350</v>
      </c>
      <c r="AT77" s="31">
        <v>91</v>
      </c>
    </row>
    <row r="78" spans="1:46" x14ac:dyDescent="0.25">
      <c r="A78" s="9" t="s">
        <v>151</v>
      </c>
      <c r="B78" s="11">
        <v>79</v>
      </c>
      <c r="C78">
        <v>0</v>
      </c>
      <c r="D78">
        <v>1</v>
      </c>
      <c r="E78" t="s">
        <v>172</v>
      </c>
      <c r="G78">
        <v>0</v>
      </c>
      <c r="H78">
        <f>6/20</f>
        <v>0.3</v>
      </c>
      <c r="I78">
        <f>9/20</f>
        <v>0.45</v>
      </c>
      <c r="J78">
        <f>3/20</f>
        <v>0.15</v>
      </c>
      <c r="K78">
        <f>2/20</f>
        <v>0.1</v>
      </c>
      <c r="L78">
        <v>0</v>
      </c>
      <c r="M78">
        <v>0</v>
      </c>
      <c r="N78">
        <v>0</v>
      </c>
      <c r="O78">
        <f>9/20</f>
        <v>0.45</v>
      </c>
      <c r="P78" s="28">
        <v>91</v>
      </c>
      <c r="Q78" s="28">
        <f>AVERAGE(366,150,94,131)</f>
        <v>185.25</v>
      </c>
      <c r="R78" s="28">
        <f>AVERAGE(112,125,114,98)</f>
        <v>112.25</v>
      </c>
      <c r="S78" s="28">
        <f>AVERAGE(62,186,117,210)</f>
        <v>143.75</v>
      </c>
      <c r="T78" s="28">
        <f>AVERAGE(366,112,62)</f>
        <v>180</v>
      </c>
      <c r="U78" s="28">
        <f>AVERAGE(150,125,186)</f>
        <v>153.66666666666666</v>
      </c>
      <c r="V78" s="28">
        <f>AVERAGE(94,114,117)</f>
        <v>108.33333333333333</v>
      </c>
      <c r="W78" s="28">
        <f>AVERAGE(131,98,210)</f>
        <v>146.33333333333334</v>
      </c>
      <c r="X78" s="28">
        <v>1.5</v>
      </c>
      <c r="Y78" s="28">
        <f>AVERAGE(2,0,1,0)</f>
        <v>0.75</v>
      </c>
      <c r="Z78" s="28">
        <f>AVERAGE(3,2,1,0)</f>
        <v>1.5</v>
      </c>
      <c r="AA78" s="28">
        <f>AVERAGE(1,2,1,1.5)</f>
        <v>1.375</v>
      </c>
      <c r="AB78" s="28">
        <f>AVERAGE(2,3,1)</f>
        <v>2</v>
      </c>
      <c r="AC78" s="28">
        <f>AVERAGE(0,2,2)</f>
        <v>1.3333333333333333</v>
      </c>
      <c r="AD78" s="28">
        <v>1</v>
      </c>
      <c r="AE78" s="28">
        <f>1.5/3</f>
        <v>0.5</v>
      </c>
      <c r="AF78" s="31">
        <v>12.12</v>
      </c>
      <c r="AG78" s="31">
        <v>65.42</v>
      </c>
      <c r="AH78" s="31">
        <v>31.88</v>
      </c>
      <c r="AI78" s="31">
        <v>100</v>
      </c>
      <c r="AJ78" s="31">
        <v>25.64</v>
      </c>
      <c r="AK78" t="s">
        <v>172</v>
      </c>
      <c r="AL78" t="s">
        <v>172</v>
      </c>
      <c r="AM78" t="s">
        <v>172</v>
      </c>
      <c r="AN78" t="s">
        <v>172</v>
      </c>
      <c r="AO78" t="s">
        <v>172</v>
      </c>
      <c r="AP78" t="s">
        <v>172</v>
      </c>
      <c r="AQ78" t="s">
        <v>172</v>
      </c>
      <c r="AR78" t="s">
        <v>172</v>
      </c>
      <c r="AS78" s="31">
        <v>495</v>
      </c>
      <c r="AT78" s="31">
        <v>66</v>
      </c>
    </row>
    <row r="79" spans="1:46" x14ac:dyDescent="0.25">
      <c r="A79" s="7"/>
      <c r="B79" s="11"/>
    </row>
    <row r="80" spans="1:46" x14ac:dyDescent="0.25">
      <c r="A80" s="7"/>
      <c r="B80" s="11"/>
    </row>
    <row r="81" spans="1:2" x14ac:dyDescent="0.25">
      <c r="A81" s="7"/>
      <c r="B81" s="11"/>
    </row>
    <row r="82" spans="1:2" x14ac:dyDescent="0.25">
      <c r="A82" s="7"/>
      <c r="B82" s="11"/>
    </row>
    <row r="83" spans="1:2" x14ac:dyDescent="0.25">
      <c r="A83" s="7"/>
      <c r="B83" s="11"/>
    </row>
    <row r="84" spans="1:2" x14ac:dyDescent="0.25">
      <c r="A84" s="7"/>
      <c r="B84" s="11"/>
    </row>
    <row r="85" spans="1:2" x14ac:dyDescent="0.25">
      <c r="A85" s="7"/>
      <c r="B85" s="11"/>
    </row>
    <row r="86" spans="1:2" x14ac:dyDescent="0.25">
      <c r="A86" s="7"/>
      <c r="B86" s="11"/>
    </row>
    <row r="87" spans="1:2" x14ac:dyDescent="0.25">
      <c r="A87" s="7"/>
      <c r="B87" s="11"/>
    </row>
    <row r="88" spans="1:2" x14ac:dyDescent="0.25">
      <c r="A88" s="7"/>
      <c r="B88" s="11"/>
    </row>
    <row r="89" spans="1:2" x14ac:dyDescent="0.25">
      <c r="A89" s="7"/>
      <c r="B89" s="11"/>
    </row>
    <row r="90" spans="1:2" x14ac:dyDescent="0.25">
      <c r="A90" s="7"/>
      <c r="B90" s="11"/>
    </row>
    <row r="91" spans="1:2" x14ac:dyDescent="0.25">
      <c r="A91" s="7"/>
      <c r="B91" s="11"/>
    </row>
    <row r="92" spans="1:2" x14ac:dyDescent="0.25">
      <c r="A92" s="7"/>
      <c r="B92" s="11"/>
    </row>
    <row r="93" spans="1:2" x14ac:dyDescent="0.25">
      <c r="A93" s="7"/>
      <c r="B93" s="11"/>
    </row>
    <row r="94" spans="1:2" x14ac:dyDescent="0.25">
      <c r="A94" s="7"/>
      <c r="B94" s="11"/>
    </row>
    <row r="95" spans="1:2" x14ac:dyDescent="0.25">
      <c r="A95" s="7"/>
      <c r="B95" s="11"/>
    </row>
    <row r="96" spans="1:2" x14ac:dyDescent="0.25">
      <c r="A96" s="7"/>
      <c r="B96" s="11"/>
    </row>
    <row r="97" spans="1:2" x14ac:dyDescent="0.25">
      <c r="A97" s="7"/>
      <c r="B97" s="11"/>
    </row>
    <row r="98" spans="1:2" x14ac:dyDescent="0.25">
      <c r="A98" s="7"/>
      <c r="B98" s="11"/>
    </row>
    <row r="99" spans="1:2" x14ac:dyDescent="0.25">
      <c r="A99" s="7"/>
      <c r="B99" s="11"/>
    </row>
    <row r="100" spans="1:2" x14ac:dyDescent="0.25">
      <c r="A100" s="7"/>
      <c r="B100" s="11"/>
    </row>
    <row r="101" spans="1:2" x14ac:dyDescent="0.25">
      <c r="A101" s="7"/>
      <c r="B101" s="11"/>
    </row>
    <row r="102" spans="1:2" x14ac:dyDescent="0.25">
      <c r="A102" s="7"/>
      <c r="B102" s="11"/>
    </row>
    <row r="103" spans="1:2" x14ac:dyDescent="0.25">
      <c r="A103" s="7"/>
      <c r="B103" s="11"/>
    </row>
    <row r="104" spans="1:2" x14ac:dyDescent="0.25">
      <c r="A104" s="7"/>
      <c r="B104" s="11"/>
    </row>
    <row r="105" spans="1:2" x14ac:dyDescent="0.25">
      <c r="A105" s="7"/>
      <c r="B105" s="11"/>
    </row>
    <row r="106" spans="1:2" x14ac:dyDescent="0.25">
      <c r="A106" s="7"/>
      <c r="B106" s="11"/>
    </row>
    <row r="107" spans="1:2" x14ac:dyDescent="0.25">
      <c r="A107" s="7"/>
      <c r="B107" s="11"/>
    </row>
    <row r="108" spans="1:2" x14ac:dyDescent="0.25">
      <c r="A108" s="7"/>
      <c r="B108" s="11"/>
    </row>
    <row r="109" spans="1:2" x14ac:dyDescent="0.25">
      <c r="A109" s="7"/>
      <c r="B109" s="11"/>
    </row>
    <row r="110" spans="1:2" x14ac:dyDescent="0.25">
      <c r="A110" s="7"/>
      <c r="B110" s="11"/>
    </row>
    <row r="111" spans="1:2" x14ac:dyDescent="0.25">
      <c r="A111" s="7"/>
      <c r="B111" s="11"/>
    </row>
    <row r="112" spans="1:2" x14ac:dyDescent="0.25">
      <c r="A112" s="7"/>
      <c r="B112" s="11"/>
    </row>
    <row r="113" spans="1:2" x14ac:dyDescent="0.25">
      <c r="A113" s="7"/>
      <c r="B113" s="11"/>
    </row>
    <row r="114" spans="1:2" x14ac:dyDescent="0.25">
      <c r="A114" s="7"/>
      <c r="B114" s="11"/>
    </row>
    <row r="115" spans="1:2" x14ac:dyDescent="0.25">
      <c r="A115" s="7"/>
      <c r="B115" s="11"/>
    </row>
    <row r="116" spans="1:2" x14ac:dyDescent="0.25">
      <c r="A116" s="7"/>
      <c r="B116" s="11"/>
    </row>
    <row r="117" spans="1:2" x14ac:dyDescent="0.25">
      <c r="A117" s="7"/>
      <c r="B117" s="11"/>
    </row>
    <row r="118" spans="1:2" x14ac:dyDescent="0.25">
      <c r="A118" s="7"/>
      <c r="B118" s="11"/>
    </row>
    <row r="119" spans="1:2" x14ac:dyDescent="0.25">
      <c r="A119" s="7"/>
      <c r="B119" s="11"/>
    </row>
    <row r="120" spans="1:2" x14ac:dyDescent="0.25">
      <c r="A120" s="8"/>
      <c r="B120" s="11"/>
    </row>
    <row r="121" spans="1:2" x14ac:dyDescent="0.25">
      <c r="A121" s="8"/>
      <c r="B121" s="11"/>
    </row>
    <row r="122" spans="1:2" x14ac:dyDescent="0.25">
      <c r="A122" s="8"/>
      <c r="B122" s="11"/>
    </row>
    <row r="123" spans="1:2" x14ac:dyDescent="0.25">
      <c r="A123" s="8"/>
      <c r="B123" s="11"/>
    </row>
    <row r="124" spans="1:2" x14ac:dyDescent="0.25">
      <c r="A124" s="8"/>
      <c r="B124" s="11"/>
    </row>
    <row r="125" spans="1:2" x14ac:dyDescent="0.25">
      <c r="A125" s="8"/>
      <c r="B125" s="11"/>
    </row>
    <row r="126" spans="1:2" x14ac:dyDescent="0.25">
      <c r="A126" s="8"/>
      <c r="B126" s="11"/>
    </row>
    <row r="127" spans="1:2" x14ac:dyDescent="0.25">
      <c r="A127" s="8"/>
      <c r="B127" s="11"/>
    </row>
    <row r="128" spans="1:2" x14ac:dyDescent="0.25">
      <c r="A128" s="8"/>
      <c r="B128" s="11"/>
    </row>
    <row r="129" spans="1:2" x14ac:dyDescent="0.25">
      <c r="A129" s="8"/>
      <c r="B129" s="11"/>
    </row>
    <row r="130" spans="1:2" x14ac:dyDescent="0.25">
      <c r="A130" s="8"/>
      <c r="B130" s="11"/>
    </row>
    <row r="131" spans="1:2" x14ac:dyDescent="0.25">
      <c r="A131" s="8"/>
      <c r="B131" s="11"/>
    </row>
    <row r="132" spans="1:2" x14ac:dyDescent="0.25">
      <c r="A132" s="8"/>
      <c r="B132" s="11"/>
    </row>
    <row r="133" spans="1:2" x14ac:dyDescent="0.25">
      <c r="A133" s="8"/>
      <c r="B133" s="11"/>
    </row>
    <row r="134" spans="1:2" x14ac:dyDescent="0.25">
      <c r="A134" s="8"/>
      <c r="B134" s="11"/>
    </row>
    <row r="135" spans="1:2" x14ac:dyDescent="0.25">
      <c r="A135" s="8"/>
      <c r="B135" s="11"/>
    </row>
    <row r="136" spans="1:2" x14ac:dyDescent="0.25">
      <c r="A136" s="8"/>
      <c r="B136" s="11"/>
    </row>
    <row r="137" spans="1:2" x14ac:dyDescent="0.25">
      <c r="A137" s="8"/>
      <c r="B137" s="11"/>
    </row>
    <row r="138" spans="1:2" x14ac:dyDescent="0.25">
      <c r="A138" s="8"/>
      <c r="B138" s="11"/>
    </row>
    <row r="139" spans="1:2" x14ac:dyDescent="0.25">
      <c r="A139" s="8"/>
      <c r="B139" s="11"/>
    </row>
    <row r="140" spans="1:2" x14ac:dyDescent="0.25">
      <c r="A140" s="8"/>
      <c r="B140" s="11"/>
    </row>
    <row r="141" spans="1:2" x14ac:dyDescent="0.25">
      <c r="A141" s="8"/>
      <c r="B141" s="11"/>
    </row>
    <row r="142" spans="1:2" x14ac:dyDescent="0.25">
      <c r="A142" s="8"/>
      <c r="B142" s="11"/>
    </row>
    <row r="143" spans="1:2" x14ac:dyDescent="0.25">
      <c r="A143" s="8"/>
      <c r="B143" s="11"/>
    </row>
    <row r="144" spans="1:2" x14ac:dyDescent="0.25">
      <c r="A144" s="8"/>
      <c r="B144" s="11"/>
    </row>
    <row r="145" spans="1:2" x14ac:dyDescent="0.25">
      <c r="A145" s="8"/>
      <c r="B145" s="11"/>
    </row>
    <row r="146" spans="1:2" x14ac:dyDescent="0.25">
      <c r="A146" s="8"/>
      <c r="B146" s="11"/>
    </row>
    <row r="147" spans="1:2" x14ac:dyDescent="0.25">
      <c r="A147" s="8"/>
      <c r="B147" s="11"/>
    </row>
    <row r="148" spans="1:2" x14ac:dyDescent="0.25">
      <c r="A148" s="8"/>
      <c r="B148" s="11"/>
    </row>
    <row r="149" spans="1:2" x14ac:dyDescent="0.25">
      <c r="A149" s="8"/>
      <c r="B149" s="11"/>
    </row>
    <row r="150" spans="1:2" x14ac:dyDescent="0.25">
      <c r="A150" s="9"/>
      <c r="B150" s="11"/>
    </row>
    <row r="151" spans="1:2" x14ac:dyDescent="0.25">
      <c r="A151" s="9"/>
      <c r="B151" s="11"/>
    </row>
    <row r="152" spans="1:2" x14ac:dyDescent="0.25">
      <c r="A152" s="9"/>
      <c r="B152" s="11"/>
    </row>
    <row r="153" spans="1:2" x14ac:dyDescent="0.25">
      <c r="A153" s="9"/>
      <c r="B153" s="11"/>
    </row>
    <row r="154" spans="1:2" x14ac:dyDescent="0.25">
      <c r="A154" s="9"/>
      <c r="B154" s="11"/>
    </row>
    <row r="155" spans="1:2" x14ac:dyDescent="0.25">
      <c r="A155" s="9"/>
      <c r="B155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6" sqref="D6"/>
    </sheetView>
  </sheetViews>
  <sheetFormatPr defaultRowHeight="15" x14ac:dyDescent="0.25"/>
  <cols>
    <col min="1" max="1" width="14.25" bestFit="1" customWidth="1"/>
    <col min="2" max="2" width="46.25" style="37" bestFit="1" customWidth="1"/>
  </cols>
  <sheetData>
    <row r="1" spans="1:2" x14ac:dyDescent="0.25">
      <c r="A1" s="34" t="s">
        <v>0</v>
      </c>
      <c r="B1" s="37" t="s">
        <v>165</v>
      </c>
    </row>
    <row r="2" spans="1:2" x14ac:dyDescent="0.25">
      <c r="A2" s="34" t="s">
        <v>1</v>
      </c>
      <c r="B2" s="37" t="s">
        <v>166</v>
      </c>
    </row>
    <row r="3" spans="1:2" x14ac:dyDescent="0.25">
      <c r="A3" s="34" t="s">
        <v>2</v>
      </c>
      <c r="B3" s="37" t="s">
        <v>167</v>
      </c>
    </row>
    <row r="4" spans="1:2" ht="30" x14ac:dyDescent="0.25">
      <c r="A4" s="34" t="s">
        <v>5</v>
      </c>
      <c r="B4" s="37" t="s">
        <v>170</v>
      </c>
    </row>
    <row r="5" spans="1:2" x14ac:dyDescent="0.25">
      <c r="A5" s="34" t="s">
        <v>6</v>
      </c>
      <c r="B5" s="37" t="s">
        <v>258</v>
      </c>
    </row>
    <row r="6" spans="1:2" x14ac:dyDescent="0.25">
      <c r="A6" s="34" t="s">
        <v>3</v>
      </c>
      <c r="B6" s="37" t="s">
        <v>168</v>
      </c>
    </row>
    <row r="7" spans="1:2" x14ac:dyDescent="0.25">
      <c r="A7" s="34" t="s">
        <v>4</v>
      </c>
      <c r="B7" s="37" t="s">
        <v>169</v>
      </c>
    </row>
    <row r="8" spans="1:2" x14ac:dyDescent="0.25">
      <c r="A8" s="35" t="s">
        <v>171</v>
      </c>
      <c r="B8" s="37" t="s">
        <v>175</v>
      </c>
    </row>
    <row r="9" spans="1:2" x14ac:dyDescent="0.25">
      <c r="A9" s="35" t="s">
        <v>173</v>
      </c>
      <c r="B9" s="37" t="s">
        <v>176</v>
      </c>
    </row>
    <row r="10" spans="1:2" x14ac:dyDescent="0.25">
      <c r="A10" s="35" t="s">
        <v>174</v>
      </c>
      <c r="B10" s="37" t="s">
        <v>177</v>
      </c>
    </row>
    <row r="11" spans="1:2" x14ac:dyDescent="0.25">
      <c r="A11" s="36" t="s">
        <v>178</v>
      </c>
      <c r="B11" s="37" t="s">
        <v>218</v>
      </c>
    </row>
    <row r="12" spans="1:2" x14ac:dyDescent="0.25">
      <c r="A12" s="36" t="s">
        <v>179</v>
      </c>
      <c r="B12" s="37" t="s">
        <v>223</v>
      </c>
    </row>
    <row r="13" spans="1:2" x14ac:dyDescent="0.25">
      <c r="A13" s="36" t="s">
        <v>180</v>
      </c>
      <c r="B13" s="37" t="s">
        <v>224</v>
      </c>
    </row>
    <row r="14" spans="1:2" x14ac:dyDescent="0.25">
      <c r="A14" s="36" t="s">
        <v>181</v>
      </c>
      <c r="B14" s="37" t="s">
        <v>219</v>
      </c>
    </row>
    <row r="15" spans="1:2" x14ac:dyDescent="0.25">
      <c r="A15" s="36" t="s">
        <v>182</v>
      </c>
      <c r="B15" s="37" t="s">
        <v>220</v>
      </c>
    </row>
    <row r="16" spans="1:2" x14ac:dyDescent="0.25">
      <c r="A16" s="36" t="s">
        <v>183</v>
      </c>
      <c r="B16" s="37" t="s">
        <v>225</v>
      </c>
    </row>
    <row r="17" spans="1:2" x14ac:dyDescent="0.25">
      <c r="A17" s="36" t="s">
        <v>184</v>
      </c>
      <c r="B17" s="37" t="s">
        <v>221</v>
      </c>
    </row>
    <row r="18" spans="1:2" x14ac:dyDescent="0.25">
      <c r="A18" s="36" t="s">
        <v>185</v>
      </c>
      <c r="B18" s="37" t="s">
        <v>222</v>
      </c>
    </row>
    <row r="19" spans="1:2" x14ac:dyDescent="0.25">
      <c r="A19" s="36" t="s">
        <v>217</v>
      </c>
      <c r="B19" s="37" t="s">
        <v>226</v>
      </c>
    </row>
    <row r="20" spans="1:2" x14ac:dyDescent="0.25">
      <c r="A20" s="36" t="s">
        <v>186</v>
      </c>
      <c r="B20" s="37" t="s">
        <v>227</v>
      </c>
    </row>
    <row r="21" spans="1:2" ht="30" x14ac:dyDescent="0.25">
      <c r="A21" s="36" t="s">
        <v>187</v>
      </c>
      <c r="B21" s="37" t="s">
        <v>228</v>
      </c>
    </row>
    <row r="22" spans="1:2" ht="30" x14ac:dyDescent="0.25">
      <c r="A22" s="36" t="s">
        <v>188</v>
      </c>
      <c r="B22" s="37" t="s">
        <v>229</v>
      </c>
    </row>
    <row r="23" spans="1:2" ht="30" x14ac:dyDescent="0.25">
      <c r="A23" s="36" t="s">
        <v>189</v>
      </c>
      <c r="B23" s="37" t="s">
        <v>230</v>
      </c>
    </row>
    <row r="24" spans="1:2" ht="30" x14ac:dyDescent="0.25">
      <c r="A24" s="36" t="s">
        <v>190</v>
      </c>
      <c r="B24" s="37" t="s">
        <v>231</v>
      </c>
    </row>
    <row r="25" spans="1:2" ht="30" x14ac:dyDescent="0.25">
      <c r="A25" s="36" t="s">
        <v>191</v>
      </c>
      <c r="B25" s="37" t="s">
        <v>233</v>
      </c>
    </row>
    <row r="26" spans="1:2" ht="30" x14ac:dyDescent="0.25">
      <c r="A26" s="36" t="s">
        <v>192</v>
      </c>
      <c r="B26" s="37" t="s">
        <v>234</v>
      </c>
    </row>
    <row r="27" spans="1:2" ht="30" x14ac:dyDescent="0.25">
      <c r="A27" s="36" t="s">
        <v>193</v>
      </c>
      <c r="B27" s="37" t="s">
        <v>232</v>
      </c>
    </row>
    <row r="28" spans="1:2" x14ac:dyDescent="0.25">
      <c r="A28" s="36" t="s">
        <v>194</v>
      </c>
      <c r="B28" s="37" t="s">
        <v>235</v>
      </c>
    </row>
    <row r="29" spans="1:2" x14ac:dyDescent="0.25">
      <c r="A29" s="36" t="s">
        <v>195</v>
      </c>
      <c r="B29" s="37" t="s">
        <v>236</v>
      </c>
    </row>
    <row r="30" spans="1:2" x14ac:dyDescent="0.25">
      <c r="A30" s="36" t="s">
        <v>196</v>
      </c>
      <c r="B30" s="37" t="s">
        <v>237</v>
      </c>
    </row>
    <row r="31" spans="1:2" x14ac:dyDescent="0.25">
      <c r="A31" s="36" t="s">
        <v>197</v>
      </c>
      <c r="B31" s="37" t="s">
        <v>238</v>
      </c>
    </row>
    <row r="32" spans="1:2" ht="30" x14ac:dyDescent="0.25">
      <c r="A32" s="36" t="s">
        <v>198</v>
      </c>
      <c r="B32" s="37" t="s">
        <v>239</v>
      </c>
    </row>
    <row r="33" spans="1:2" x14ac:dyDescent="0.25">
      <c r="A33" s="36" t="s">
        <v>199</v>
      </c>
      <c r="B33" s="37" t="s">
        <v>240</v>
      </c>
    </row>
    <row r="34" spans="1:2" ht="30" x14ac:dyDescent="0.25">
      <c r="A34" s="36" t="s">
        <v>200</v>
      </c>
      <c r="B34" s="37" t="s">
        <v>241</v>
      </c>
    </row>
    <row r="35" spans="1:2" ht="30" x14ac:dyDescent="0.25">
      <c r="A35" s="36" t="s">
        <v>201</v>
      </c>
      <c r="B35" s="37" t="s">
        <v>242</v>
      </c>
    </row>
    <row r="36" spans="1:2" ht="30" x14ac:dyDescent="0.25">
      <c r="A36" s="36" t="s">
        <v>202</v>
      </c>
      <c r="B36" s="37" t="s">
        <v>243</v>
      </c>
    </row>
    <row r="37" spans="1:2" x14ac:dyDescent="0.25">
      <c r="A37" s="36" t="s">
        <v>203</v>
      </c>
      <c r="B37" s="37" t="s">
        <v>244</v>
      </c>
    </row>
    <row r="38" spans="1:2" ht="30" x14ac:dyDescent="0.25">
      <c r="A38" s="36" t="s">
        <v>204</v>
      </c>
      <c r="B38" s="37" t="s">
        <v>245</v>
      </c>
    </row>
    <row r="39" spans="1:2" ht="30" x14ac:dyDescent="0.25">
      <c r="A39" s="36" t="s">
        <v>205</v>
      </c>
      <c r="B39" s="37" t="s">
        <v>246</v>
      </c>
    </row>
    <row r="40" spans="1:2" x14ac:dyDescent="0.25">
      <c r="A40" s="36" t="s">
        <v>206</v>
      </c>
      <c r="B40" s="37" t="s">
        <v>247</v>
      </c>
    </row>
    <row r="41" spans="1:2" ht="30" x14ac:dyDescent="0.25">
      <c r="A41" s="36" t="s">
        <v>207</v>
      </c>
      <c r="B41" s="37" t="s">
        <v>248</v>
      </c>
    </row>
    <row r="42" spans="1:2" ht="30" x14ac:dyDescent="0.25">
      <c r="A42" s="36" t="s">
        <v>208</v>
      </c>
      <c r="B42" s="37" t="s">
        <v>249</v>
      </c>
    </row>
    <row r="43" spans="1:2" ht="30" x14ac:dyDescent="0.25">
      <c r="A43" s="36" t="s">
        <v>209</v>
      </c>
      <c r="B43" s="37" t="s">
        <v>250</v>
      </c>
    </row>
    <row r="44" spans="1:2" ht="30" x14ac:dyDescent="0.25">
      <c r="A44" s="36" t="s">
        <v>210</v>
      </c>
      <c r="B44" s="37" t="s">
        <v>251</v>
      </c>
    </row>
    <row r="45" spans="1:2" ht="30" x14ac:dyDescent="0.25">
      <c r="A45" s="36" t="s">
        <v>211</v>
      </c>
      <c r="B45" s="37" t="s">
        <v>252</v>
      </c>
    </row>
    <row r="46" spans="1:2" ht="30" x14ac:dyDescent="0.25">
      <c r="A46" s="36" t="s">
        <v>212</v>
      </c>
      <c r="B46" s="37" t="s">
        <v>253</v>
      </c>
    </row>
    <row r="47" spans="1:2" ht="30" x14ac:dyDescent="0.25">
      <c r="A47" s="36" t="s">
        <v>213</v>
      </c>
      <c r="B47" s="37" t="s">
        <v>254</v>
      </c>
    </row>
    <row r="48" spans="1:2" ht="30" x14ac:dyDescent="0.25">
      <c r="A48" s="36" t="s">
        <v>214</v>
      </c>
      <c r="B48" s="37" t="s">
        <v>255</v>
      </c>
    </row>
    <row r="49" spans="1:2" ht="30" x14ac:dyDescent="0.25">
      <c r="A49" s="35" t="s">
        <v>215</v>
      </c>
      <c r="B49" s="37" t="s">
        <v>256</v>
      </c>
    </row>
    <row r="50" spans="1:2" ht="30" x14ac:dyDescent="0.25">
      <c r="A50" s="35" t="s">
        <v>216</v>
      </c>
      <c r="B50" s="3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2015 point count data</vt:lpstr>
      <vt:lpstr>2016 point count data</vt:lpstr>
      <vt:lpstr>2015 point count variables</vt:lpstr>
      <vt:lpstr>2016 point count variables</vt:lpstr>
      <vt:lpstr>2015 habitat covariates</vt:lpstr>
      <vt:lpstr>2016 habitat covariates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 Griffin</dc:creator>
  <cp:lastModifiedBy>Meta Griffin</cp:lastModifiedBy>
  <dcterms:created xsi:type="dcterms:W3CDTF">2016-10-16T20:03:17Z</dcterms:created>
  <dcterms:modified xsi:type="dcterms:W3CDTF">2016-10-21T18:05:02Z</dcterms:modified>
</cp:coreProperties>
</file>