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SERProjects\ESS\SWEP 2021-23\Quality reports\"/>
    </mc:Choice>
  </mc:AlternateContent>
  <xr:revisionPtr revIDLastSave="0" documentId="13_ncr:1_{653EAEC8-2704-4A93-85BE-55DB9CCACD42}" xr6:coauthVersionLast="47" xr6:coauthVersionMax="47" xr10:uidLastSave="{00000000-0000-0000-0000-000000000000}"/>
  <bookViews>
    <workbookView xWindow="28680" yWindow="-120" windowWidth="29040" windowHeight="15840" xr2:uid="{A329C4E8-85FC-4774-9974-7A13C88348D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U71" i="1"/>
  <c r="U70" i="1"/>
  <c r="U69" i="1"/>
  <c r="R70" i="1"/>
  <c r="T70" i="1" s="1"/>
  <c r="J71" i="1"/>
  <c r="K71" i="1" s="1"/>
  <c r="K70" i="1"/>
  <c r="K69" i="1"/>
  <c r="E70" i="1"/>
  <c r="E69" i="1"/>
  <c r="J61" i="1" l="1"/>
  <c r="E61" i="1"/>
  <c r="P61" i="1"/>
  <c r="T59" i="1"/>
  <c r="U59" i="1" s="1"/>
  <c r="S60" i="1"/>
  <c r="R60" i="1"/>
  <c r="S62" i="1"/>
  <c r="R62" i="1"/>
  <c r="T65" i="1"/>
  <c r="U65" i="1"/>
  <c r="V65" i="1" s="1"/>
  <c r="R63" i="1"/>
  <c r="S63" i="1"/>
  <c r="M43" i="1"/>
  <c r="T51" i="1"/>
  <c r="M53" i="1"/>
  <c r="T60" i="1" l="1"/>
  <c r="U60" i="1" s="1"/>
  <c r="V60" i="1" s="1"/>
  <c r="T62" i="1"/>
  <c r="U62" i="1" s="1"/>
  <c r="V62" i="1" s="1"/>
  <c r="V59" i="1"/>
  <c r="T63" i="1"/>
  <c r="U63" i="1" s="1"/>
  <c r="V63" i="1" s="1"/>
  <c r="M37" i="1"/>
  <c r="U61" i="1" l="1"/>
  <c r="V61" i="1" s="1"/>
  <c r="R64" i="1"/>
  <c r="T64" i="1" s="1"/>
  <c r="U64" i="1" s="1"/>
  <c r="V64" i="1" s="1"/>
  <c r="J12" i="1"/>
  <c r="T54" i="1"/>
  <c r="U54" i="1" s="1"/>
  <c r="V54" i="1" s="1"/>
  <c r="E54" i="1"/>
  <c r="T52" i="1"/>
  <c r="U52" i="1" s="1"/>
  <c r="U51" i="1"/>
  <c r="P53" i="1"/>
  <c r="E52" i="1"/>
  <c r="E51" i="1"/>
  <c r="B53" i="1"/>
  <c r="T49" i="1"/>
  <c r="U49" i="1" s="1"/>
  <c r="U48" i="1"/>
  <c r="T45" i="1"/>
  <c r="U45" i="1" s="1"/>
  <c r="V45" i="1" s="1"/>
  <c r="T33" i="1"/>
  <c r="U33" i="1" s="1"/>
  <c r="V33" i="1" s="1"/>
  <c r="V31" i="1"/>
  <c r="E53" i="1" l="1"/>
  <c r="U53" i="1"/>
  <c r="V53" i="1" s="1"/>
  <c r="U50" i="1"/>
  <c r="V50" i="1" s="1"/>
  <c r="J25" i="1" l="1"/>
  <c r="T32" i="1" l="1"/>
  <c r="T44" i="1"/>
  <c r="T42" i="1"/>
  <c r="T34" i="1"/>
  <c r="U34" i="1" l="1"/>
  <c r="V34" i="1" s="1"/>
  <c r="U55" i="1"/>
  <c r="V55" i="1" s="1"/>
  <c r="U41" i="1"/>
  <c r="V41" i="1" s="1"/>
  <c r="U42" i="1"/>
  <c r="V42" i="1" s="1"/>
  <c r="J43" i="1"/>
  <c r="K43" i="1" s="1"/>
  <c r="U43" i="1" l="1"/>
  <c r="V43" i="1" s="1"/>
  <c r="P40" i="1"/>
  <c r="U38" i="1"/>
  <c r="T39" i="1"/>
  <c r="U39" i="1" s="1"/>
  <c r="J40" i="1"/>
  <c r="K40" i="1" s="1"/>
  <c r="U47" i="1"/>
  <c r="V47" i="1" s="1"/>
  <c r="U46" i="1"/>
  <c r="V46" i="1" s="1"/>
  <c r="U32" i="1"/>
  <c r="V32" i="1" s="1"/>
  <c r="U30" i="1"/>
  <c r="V30" i="1" s="1"/>
  <c r="P37" i="1"/>
  <c r="T36" i="1"/>
  <c r="U36" i="1" s="1"/>
  <c r="T35" i="1"/>
  <c r="U35" i="1" s="1"/>
  <c r="J37" i="1"/>
  <c r="K37" i="1" s="1"/>
  <c r="B37" i="1"/>
  <c r="U44" i="1"/>
  <c r="V44" i="1" s="1"/>
  <c r="T22" i="1"/>
  <c r="U22" i="1" s="1"/>
  <c r="V22" i="1" s="1"/>
  <c r="T24" i="1"/>
  <c r="U24" i="1" s="1"/>
  <c r="T23" i="1"/>
  <c r="U23" i="1" s="1"/>
  <c r="P25" i="1"/>
  <c r="M25" i="1"/>
  <c r="E25" i="1"/>
  <c r="M18" i="1"/>
  <c r="M21" i="1"/>
  <c r="E21" i="1"/>
  <c r="P21" i="1"/>
  <c r="T20" i="1"/>
  <c r="U20" i="1" s="1"/>
  <c r="T19" i="1"/>
  <c r="U19" i="1" s="1"/>
  <c r="S19" i="1"/>
  <c r="R19" i="1"/>
  <c r="E18" i="1"/>
  <c r="B21" i="1"/>
  <c r="P18" i="1"/>
  <c r="T16" i="1"/>
  <c r="U16" i="1" s="1"/>
  <c r="V16" i="1" s="1"/>
  <c r="T17" i="1"/>
  <c r="U17" i="1" s="1"/>
  <c r="V17" i="1" s="1"/>
  <c r="E12" i="1"/>
  <c r="P12" i="1"/>
  <c r="S10" i="1"/>
  <c r="T11" i="1"/>
  <c r="U11" i="1" s="1"/>
  <c r="V11" i="1" s="1"/>
  <c r="R10" i="1"/>
  <c r="R9" i="1"/>
  <c r="S9" i="1"/>
  <c r="R8" i="1"/>
  <c r="S8" i="1"/>
  <c r="T14" i="1"/>
  <c r="U14" i="1" s="1"/>
  <c r="V14" i="1" s="1"/>
  <c r="T7" i="1"/>
  <c r="U7" i="1" s="1"/>
  <c r="V7" i="1" s="1"/>
  <c r="T6" i="1"/>
  <c r="U6" i="1" s="1"/>
  <c r="V6" i="1" s="1"/>
  <c r="P15" i="1"/>
  <c r="T13" i="1"/>
  <c r="U13" i="1" s="1"/>
  <c r="V13" i="1" s="1"/>
  <c r="S13" i="1"/>
  <c r="R13" i="1"/>
  <c r="U40" i="1" l="1"/>
  <c r="V40" i="1" s="1"/>
  <c r="T10" i="1"/>
  <c r="U10" i="1" s="1"/>
  <c r="U37" i="1"/>
  <c r="V37" i="1" s="1"/>
  <c r="U18" i="1"/>
  <c r="V18" i="1" s="1"/>
  <c r="U21" i="1"/>
  <c r="V21" i="1" s="1"/>
  <c r="U25" i="1"/>
  <c r="V25" i="1" s="1"/>
  <c r="T9" i="1"/>
  <c r="U9" i="1" s="1"/>
  <c r="V9" i="1" s="1"/>
  <c r="T8" i="1"/>
  <c r="U8" i="1" s="1"/>
  <c r="V8" i="1" s="1"/>
  <c r="U15" i="1"/>
  <c r="V15" i="1" s="1"/>
  <c r="U12" i="1" l="1"/>
  <c r="V12" i="1" s="1"/>
  <c r="V10" i="1"/>
</calcChain>
</file>

<file path=xl/sharedStrings.xml><?xml version="1.0" encoding="utf-8"?>
<sst xmlns="http://schemas.openxmlformats.org/spreadsheetml/2006/main" count="83" uniqueCount="70">
  <si>
    <t>1st release countries</t>
  </si>
  <si>
    <t>Predicted</t>
  </si>
  <si>
    <t>Actual</t>
  </si>
  <si>
    <t>n_net</t>
  </si>
  <si>
    <t>deffp</t>
  </si>
  <si>
    <t>roh</t>
  </si>
  <si>
    <t>b_bar</t>
  </si>
  <si>
    <t>deffc</t>
  </si>
  <si>
    <t>deff</t>
  </si>
  <si>
    <t>neff</t>
  </si>
  <si>
    <t>BG</t>
  </si>
  <si>
    <t>CZ</t>
  </si>
  <si>
    <t>EE</t>
  </si>
  <si>
    <t>FI</t>
  </si>
  <si>
    <t>FR</t>
  </si>
  <si>
    <t>HR</t>
  </si>
  <si>
    <t>HU</t>
  </si>
  <si>
    <t>LT</t>
  </si>
  <si>
    <t>SK</t>
  </si>
  <si>
    <t>SI</t>
  </si>
  <si>
    <t>n_gross</t>
  </si>
  <si>
    <t>ri</t>
  </si>
  <si>
    <t>rr</t>
  </si>
  <si>
    <t>HR-D1</t>
  </si>
  <si>
    <t>HR-D2</t>
  </si>
  <si>
    <t>FR-1</t>
  </si>
  <si>
    <t>FR-2</t>
  </si>
  <si>
    <t>HU-1</t>
  </si>
  <si>
    <t>HU-2</t>
  </si>
  <si>
    <t>LT-1</t>
  </si>
  <si>
    <t>LT-2</t>
  </si>
  <si>
    <t>SK-1</t>
  </si>
  <si>
    <t>SK-2</t>
  </si>
  <si>
    <t>2nd release countries</t>
  </si>
  <si>
    <t>ME</t>
  </si>
  <si>
    <t>IS</t>
  </si>
  <si>
    <t>IS-1</t>
  </si>
  <si>
    <t>IS-2</t>
  </si>
  <si>
    <t>AT</t>
  </si>
  <si>
    <t>DE</t>
  </si>
  <si>
    <t>NL</t>
  </si>
  <si>
    <t>NO</t>
  </si>
  <si>
    <t>IT-1</t>
  </si>
  <si>
    <t>IT-2</t>
  </si>
  <si>
    <t>IT</t>
  </si>
  <si>
    <t>SE</t>
  </si>
  <si>
    <t>GR</t>
  </si>
  <si>
    <t>MK</t>
  </si>
  <si>
    <t>PT-1</t>
  </si>
  <si>
    <t>PT-2</t>
  </si>
  <si>
    <t>ES</t>
  </si>
  <si>
    <t>PL</t>
  </si>
  <si>
    <t>PL-2</t>
  </si>
  <si>
    <t>PL-1</t>
  </si>
  <si>
    <t>PT</t>
  </si>
  <si>
    <t>RS</t>
  </si>
  <si>
    <t>CH</t>
  </si>
  <si>
    <t>IL</t>
  </si>
  <si>
    <t>CY</t>
  </si>
  <si>
    <t>IE</t>
  </si>
  <si>
    <t>GB</t>
  </si>
  <si>
    <t>LV</t>
  </si>
  <si>
    <t>BE</t>
  </si>
  <si>
    <t>3rd release countries (provisional - awaiting final data for calculation of roh and deffc)</t>
  </si>
  <si>
    <t>ESS10 neff estimates (for 3rd release countries, these are preliminary prior to roh estimation)</t>
  </si>
  <si>
    <t>BE-1</t>
  </si>
  <si>
    <t>BE-2</t>
  </si>
  <si>
    <t>4th release country (provisional - awaiting final data for calculation of roh and deffc)</t>
  </si>
  <si>
    <t>CY-1</t>
  </si>
  <si>
    <t>CY-2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</si>
</sst>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1" fontId="0" fillId="3" borderId="0" xfId="0" applyNumberFormat="1" applyFill="1"/>
    <xf numFmtId="1" fontId="0" fillId="3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4" borderId="0" xfId="0" applyFill="1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1" fontId="0" fillId="0" borderId="0" xfId="0" applyNumberFormat="1" applyFont="1"/>
    <xf numFmtId="1" fontId="0" fillId="0" borderId="0" xfId="0" applyNumberFormat="1" applyFill="1" applyAlignment="1">
      <alignment horizontal="right"/>
    </xf>
    <xf numFmtId="164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F43-D8CC-41DF-A67A-98E81968C9DE}">
  <dimension ref="A1:AB71"/>
  <sheetViews>
    <sheetView tabSelected="1" workbookViewId="0">
      <pane ySplit="4" topLeftCell="A47" activePane="bottomLeft" state="frozen"/>
      <selection pane="bottomLeft" activeCell="W68" sqref="W68"/>
    </sheetView>
  </sheetViews>
  <sheetFormatPr defaultRowHeight="15" x14ac:dyDescent="0.25"/>
  <cols>
    <col min="2" max="11" width="8.140625" customWidth="1"/>
    <col min="12" max="12" width="2" customWidth="1"/>
    <col min="13" max="22" width="8.140625" customWidth="1"/>
  </cols>
  <sheetData>
    <row r="1" spans="1:27" x14ac:dyDescent="0.25">
      <c r="A1" t="s">
        <v>64</v>
      </c>
    </row>
    <row r="3" spans="1:27" x14ac:dyDescent="0.25">
      <c r="B3" s="6"/>
      <c r="C3" s="6"/>
      <c r="D3" s="6"/>
      <c r="E3" s="6" t="s">
        <v>1</v>
      </c>
      <c r="F3" s="6"/>
      <c r="G3" s="6"/>
      <c r="H3" s="6"/>
      <c r="I3" s="6"/>
      <c r="J3" s="6"/>
      <c r="K3" s="6"/>
      <c r="M3" s="6"/>
      <c r="N3" s="6"/>
      <c r="O3" s="6"/>
      <c r="P3" s="6" t="s">
        <v>2</v>
      </c>
      <c r="Q3" s="6"/>
      <c r="R3" s="6"/>
      <c r="S3" s="6"/>
      <c r="T3" s="6"/>
      <c r="U3" s="6"/>
      <c r="V3" s="6"/>
    </row>
    <row r="4" spans="1:27" x14ac:dyDescent="0.25">
      <c r="B4" t="s">
        <v>20</v>
      </c>
      <c r="C4" t="s">
        <v>21</v>
      </c>
      <c r="D4" t="s">
        <v>22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  <c r="M4" t="s">
        <v>20</v>
      </c>
      <c r="N4" t="s">
        <v>21</v>
      </c>
      <c r="O4" t="s">
        <v>22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3" t="s">
        <v>9</v>
      </c>
      <c r="W4" s="3"/>
      <c r="X4" s="3"/>
      <c r="Y4" s="3"/>
      <c r="Z4" s="3"/>
      <c r="AA4" s="3"/>
    </row>
    <row r="5" spans="1:27" x14ac:dyDescent="0.25">
      <c r="A5" s="1" t="s">
        <v>0</v>
      </c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t="s">
        <v>10</v>
      </c>
      <c r="B6">
        <v>3848</v>
      </c>
      <c r="C6" s="8">
        <v>4.8000000000000001E-2</v>
      </c>
      <c r="D6" s="8">
        <v>0.69399999999999995</v>
      </c>
      <c r="E6" s="3">
        <v>2548</v>
      </c>
      <c r="F6" s="7">
        <v>1.147</v>
      </c>
      <c r="G6" s="7">
        <v>0.14499999999999999</v>
      </c>
      <c r="H6" s="7">
        <v>5.28</v>
      </c>
      <c r="I6" s="7">
        <v>1.621</v>
      </c>
      <c r="J6" s="7">
        <v>1.859</v>
      </c>
      <c r="K6" s="4">
        <v>1366</v>
      </c>
      <c r="L6" s="4"/>
      <c r="M6" s="5">
        <v>3848</v>
      </c>
      <c r="N6" s="9">
        <v>0.03</v>
      </c>
      <c r="O6" s="9">
        <v>0.72899999999999998</v>
      </c>
      <c r="P6" s="5">
        <v>2720</v>
      </c>
      <c r="Q6" s="5">
        <v>1.603</v>
      </c>
      <c r="R6" s="9">
        <v>0.14299999999999999</v>
      </c>
      <c r="S6" s="9">
        <v>5.66</v>
      </c>
      <c r="T6" s="9">
        <f t="shared" ref="T6:T11" si="0">1+((S6-1)*R6)</f>
        <v>1.66638</v>
      </c>
      <c r="U6" s="9">
        <f>Q6*T6</f>
        <v>2.6712071399999999</v>
      </c>
      <c r="V6" s="10">
        <f>P6/U6</f>
        <v>1018.2662210164652</v>
      </c>
      <c r="W6" s="3"/>
      <c r="X6" s="3"/>
      <c r="Y6" s="3"/>
      <c r="Z6" s="3"/>
      <c r="AA6" s="3"/>
    </row>
    <row r="7" spans="1:27" x14ac:dyDescent="0.25">
      <c r="A7" t="s">
        <v>11</v>
      </c>
      <c r="B7">
        <v>3402</v>
      </c>
      <c r="C7" s="8">
        <v>1E-3</v>
      </c>
      <c r="D7" s="8">
        <v>0.67</v>
      </c>
      <c r="E7" s="3">
        <v>2277</v>
      </c>
      <c r="F7" s="7">
        <v>1.1859999999999999</v>
      </c>
      <c r="G7" s="7">
        <v>0.13</v>
      </c>
      <c r="H7" s="7">
        <v>4.0199999999999996</v>
      </c>
      <c r="I7" s="7">
        <v>1.393</v>
      </c>
      <c r="J7" s="7">
        <v>1.651</v>
      </c>
      <c r="K7" s="4">
        <v>1379</v>
      </c>
      <c r="L7" s="4"/>
      <c r="M7" s="5">
        <v>3402</v>
      </c>
      <c r="N7" s="9">
        <v>0.06</v>
      </c>
      <c r="O7" s="9">
        <v>0.72850000000000004</v>
      </c>
      <c r="P7" s="5">
        <v>2477</v>
      </c>
      <c r="Q7" s="5">
        <v>1.2230000000000001</v>
      </c>
      <c r="R7" s="9">
        <v>5.6599999999999998E-2</v>
      </c>
      <c r="S7" s="9">
        <v>4.3689999999999998</v>
      </c>
      <c r="T7" s="9">
        <f t="shared" si="0"/>
        <v>1.1906854</v>
      </c>
      <c r="U7" s="9">
        <f t="shared" ref="U7:U24" si="1">Q7*T7</f>
        <v>1.4562082442000002</v>
      </c>
      <c r="V7" s="10">
        <f t="shared" ref="V7:V22" si="2">P7/U7</f>
        <v>1700.9929794490308</v>
      </c>
      <c r="W7" s="3"/>
      <c r="X7" s="3"/>
      <c r="Y7" s="3"/>
      <c r="Z7" s="3"/>
      <c r="AA7" s="3"/>
    </row>
    <row r="8" spans="1:27" x14ac:dyDescent="0.25">
      <c r="A8" t="s">
        <v>12</v>
      </c>
      <c r="B8">
        <v>3300</v>
      </c>
      <c r="C8" s="8">
        <v>0.05</v>
      </c>
      <c r="D8" s="8">
        <v>0.64</v>
      </c>
      <c r="E8" s="3">
        <v>2000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4">
        <v>2000</v>
      </c>
      <c r="L8" s="4"/>
      <c r="M8" s="5">
        <v>3300</v>
      </c>
      <c r="N8" s="9">
        <v>4.48E-2</v>
      </c>
      <c r="O8" s="9">
        <v>0.49180000000000001</v>
      </c>
      <c r="P8" s="5">
        <v>1550</v>
      </c>
      <c r="Q8" s="9">
        <v>1.0000009999999999</v>
      </c>
      <c r="R8" s="9">
        <f t="shared" ref="R8:S10" si="3">G8</f>
        <v>0</v>
      </c>
      <c r="S8" s="9">
        <f t="shared" si="3"/>
        <v>1</v>
      </c>
      <c r="T8" s="9">
        <f t="shared" si="0"/>
        <v>1</v>
      </c>
      <c r="U8" s="9">
        <f t="shared" si="1"/>
        <v>1.0000009999999999</v>
      </c>
      <c r="V8" s="10">
        <f t="shared" si="2"/>
        <v>1549.9984500015501</v>
      </c>
      <c r="W8" s="3"/>
      <c r="X8" s="3"/>
      <c r="Y8" s="3"/>
      <c r="Z8" s="3"/>
      <c r="AA8" s="3"/>
    </row>
    <row r="9" spans="1:27" x14ac:dyDescent="0.25">
      <c r="A9" t="s">
        <v>13</v>
      </c>
      <c r="B9">
        <v>3900</v>
      </c>
      <c r="C9" s="8">
        <v>0.02</v>
      </c>
      <c r="D9" s="8">
        <v>0.55000000000000004</v>
      </c>
      <c r="E9" s="3">
        <v>2102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4">
        <v>2102</v>
      </c>
      <c r="L9" s="4"/>
      <c r="M9" s="5">
        <v>3900</v>
      </c>
      <c r="N9" s="9">
        <v>5.7700000000000001E-2</v>
      </c>
      <c r="O9" s="9">
        <v>0.42909999999999998</v>
      </c>
      <c r="P9" s="5">
        <v>1577</v>
      </c>
      <c r="Q9" s="9">
        <v>1</v>
      </c>
      <c r="R9" s="9">
        <f t="shared" si="3"/>
        <v>0</v>
      </c>
      <c r="S9" s="9">
        <f t="shared" si="3"/>
        <v>1</v>
      </c>
      <c r="T9" s="9">
        <f t="shared" si="0"/>
        <v>1</v>
      </c>
      <c r="U9" s="9">
        <f t="shared" si="1"/>
        <v>1</v>
      </c>
      <c r="V9" s="10">
        <f t="shared" si="2"/>
        <v>1577</v>
      </c>
      <c r="W9" s="3"/>
      <c r="X9" s="3"/>
      <c r="Y9" s="3"/>
      <c r="Z9" s="3"/>
      <c r="AA9" s="3"/>
    </row>
    <row r="10" spans="1:27" x14ac:dyDescent="0.25">
      <c r="A10" t="s">
        <v>25</v>
      </c>
      <c r="B10">
        <v>389</v>
      </c>
      <c r="C10" s="8">
        <v>4.8000000000000001E-2</v>
      </c>
      <c r="D10" s="8">
        <v>0.35</v>
      </c>
      <c r="E10" s="3">
        <v>155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4">
        <v>130</v>
      </c>
      <c r="L10" s="4"/>
      <c r="M10" s="5">
        <v>465</v>
      </c>
      <c r="N10" s="9">
        <v>0.1118</v>
      </c>
      <c r="O10" s="9">
        <v>0.28810000000000002</v>
      </c>
      <c r="P10" s="5">
        <v>119</v>
      </c>
      <c r="Q10" s="9">
        <v>1.0002055999999999</v>
      </c>
      <c r="R10" s="9">
        <f t="shared" si="3"/>
        <v>0</v>
      </c>
      <c r="S10" s="9">
        <f t="shared" si="3"/>
        <v>1</v>
      </c>
      <c r="T10" s="9">
        <f t="shared" si="0"/>
        <v>1</v>
      </c>
      <c r="U10" s="9">
        <f t="shared" si="1"/>
        <v>1.0002055999999999</v>
      </c>
      <c r="V10" s="10">
        <f t="shared" si="2"/>
        <v>118.97553862925784</v>
      </c>
      <c r="W10" s="3"/>
      <c r="X10" s="3"/>
      <c r="Y10" s="3"/>
      <c r="Z10" s="3"/>
      <c r="AA10" s="3"/>
    </row>
    <row r="11" spans="1:27" x14ac:dyDescent="0.25">
      <c r="A11" t="s">
        <v>26</v>
      </c>
      <c r="B11">
        <v>4064</v>
      </c>
      <c r="C11" s="8">
        <v>5.0999999999999997E-2</v>
      </c>
      <c r="D11" s="8">
        <v>0.435</v>
      </c>
      <c r="E11" s="3">
        <v>1677</v>
      </c>
      <c r="F11" s="7">
        <v>1</v>
      </c>
      <c r="G11" s="7">
        <v>0.03</v>
      </c>
      <c r="H11" s="7">
        <v>6.6050000000000004</v>
      </c>
      <c r="I11" s="7">
        <v>1.1679999999999999</v>
      </c>
      <c r="J11" s="7">
        <v>1.1679999999999999</v>
      </c>
      <c r="K11" s="4">
        <v>1436</v>
      </c>
      <c r="L11" s="4"/>
      <c r="M11" s="5">
        <v>4821</v>
      </c>
      <c r="N11" s="9">
        <v>7.9399999999999998E-2</v>
      </c>
      <c r="O11" s="9">
        <v>0.41870000000000002</v>
      </c>
      <c r="P11" s="5">
        <v>1858</v>
      </c>
      <c r="Q11" s="9">
        <v>1.0001597</v>
      </c>
      <c r="R11" s="9">
        <v>2.3199999999999998E-2</v>
      </c>
      <c r="S11" s="9">
        <v>7.3149600000000001</v>
      </c>
      <c r="T11" s="9">
        <f t="shared" si="0"/>
        <v>1.1465070719999999</v>
      </c>
      <c r="U11" s="9">
        <f t="shared" si="1"/>
        <v>1.1466901691793983</v>
      </c>
      <c r="V11" s="10">
        <f t="shared" si="2"/>
        <v>1620.315626608741</v>
      </c>
      <c r="W11" s="3"/>
      <c r="X11" s="3"/>
      <c r="Y11" s="3"/>
      <c r="Z11" s="3"/>
      <c r="AA11" s="3"/>
    </row>
    <row r="12" spans="1:27" x14ac:dyDescent="0.25">
      <c r="A12" t="s">
        <v>14</v>
      </c>
      <c r="B12">
        <v>4453</v>
      </c>
      <c r="C12" s="8"/>
      <c r="D12" s="8"/>
      <c r="E12" s="4">
        <f>E10+E11</f>
        <v>1832</v>
      </c>
      <c r="F12" s="7"/>
      <c r="G12" s="7"/>
      <c r="H12" s="7"/>
      <c r="I12" s="7"/>
      <c r="J12" s="9">
        <f>(0.086*J10)+(0.914*J11)</f>
        <v>1.1535520000000001</v>
      </c>
      <c r="K12" s="4">
        <v>1566</v>
      </c>
      <c r="L12" s="4"/>
      <c r="M12" s="5">
        <v>5286</v>
      </c>
      <c r="N12" s="9"/>
      <c r="O12" s="9"/>
      <c r="P12" s="5">
        <f>P10+P11</f>
        <v>1977</v>
      </c>
      <c r="Q12" s="5"/>
      <c r="R12" s="5"/>
      <c r="S12" s="9"/>
      <c r="T12" s="9"/>
      <c r="U12" s="9">
        <f>(0.086*U10)+(0.914*U11)</f>
        <v>1.1340924962299701</v>
      </c>
      <c r="V12" s="10">
        <f t="shared" si="2"/>
        <v>1743.2440533484546</v>
      </c>
      <c r="W12" s="3"/>
      <c r="X12" s="3"/>
      <c r="Y12" s="3"/>
      <c r="Z12" s="3"/>
      <c r="AA12" s="3"/>
    </row>
    <row r="13" spans="1:27" x14ac:dyDescent="0.25">
      <c r="A13" t="s">
        <v>23</v>
      </c>
      <c r="B13">
        <v>1836</v>
      </c>
      <c r="C13" s="8">
        <v>0.09</v>
      </c>
      <c r="D13" s="8">
        <v>0.45</v>
      </c>
      <c r="E13" s="3">
        <v>751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4">
        <v>751</v>
      </c>
      <c r="L13" s="4"/>
      <c r="M13" s="2">
        <v>1836</v>
      </c>
      <c r="N13" s="9">
        <v>0.24560000000000001</v>
      </c>
      <c r="O13" s="9">
        <v>0.49030000000000001</v>
      </c>
      <c r="P13" s="5">
        <v>679</v>
      </c>
      <c r="Q13" s="5">
        <v>1.004</v>
      </c>
      <c r="R13" s="9">
        <f>G13</f>
        <v>0</v>
      </c>
      <c r="S13" s="9">
        <f>H13</f>
        <v>1</v>
      </c>
      <c r="T13" s="9">
        <f>I13</f>
        <v>1</v>
      </c>
      <c r="U13" s="9">
        <f t="shared" si="1"/>
        <v>1.004</v>
      </c>
      <c r="V13" s="10">
        <f t="shared" si="2"/>
        <v>676.29482071713142</v>
      </c>
      <c r="W13" s="3"/>
      <c r="X13" s="3"/>
      <c r="Y13" s="3"/>
      <c r="Z13" s="3"/>
      <c r="AA13" s="3"/>
    </row>
    <row r="14" spans="1:27" x14ac:dyDescent="0.25">
      <c r="A14" t="s">
        <v>24</v>
      </c>
      <c r="B14">
        <v>2104</v>
      </c>
      <c r="C14" s="8">
        <v>0.09</v>
      </c>
      <c r="D14" s="8">
        <v>0.45</v>
      </c>
      <c r="E14" s="3">
        <v>862</v>
      </c>
      <c r="F14" s="7">
        <v>1.01</v>
      </c>
      <c r="G14" s="7">
        <v>6.0999999999999999E-2</v>
      </c>
      <c r="H14" s="7">
        <v>3.2759999999999998</v>
      </c>
      <c r="I14" s="7">
        <v>1.139</v>
      </c>
      <c r="J14" s="7">
        <v>1.1499999999999999</v>
      </c>
      <c r="K14" s="4">
        <v>749</v>
      </c>
      <c r="L14" s="4"/>
      <c r="M14" s="2">
        <v>2104</v>
      </c>
      <c r="N14" s="9">
        <v>0.192</v>
      </c>
      <c r="O14" s="9">
        <v>0.53820000000000001</v>
      </c>
      <c r="P14" s="5">
        <v>915</v>
      </c>
      <c r="Q14" s="5">
        <v>1.014</v>
      </c>
      <c r="R14" s="9">
        <v>7.7499999999999999E-2</v>
      </c>
      <c r="S14" s="9">
        <v>3.4790000000000001</v>
      </c>
      <c r="T14" s="9">
        <f>1+((S14-1)*R14)</f>
        <v>1.1921225</v>
      </c>
      <c r="U14" s="9">
        <f t="shared" si="1"/>
        <v>1.208812215</v>
      </c>
      <c r="V14" s="10">
        <f t="shared" si="2"/>
        <v>756.94139143026439</v>
      </c>
      <c r="W14" s="3"/>
      <c r="X14" s="3"/>
      <c r="Y14" s="3"/>
      <c r="Z14" s="3"/>
      <c r="AA14" s="3"/>
    </row>
    <row r="15" spans="1:27" x14ac:dyDescent="0.25">
      <c r="A15" t="s">
        <v>15</v>
      </c>
      <c r="B15">
        <v>3940</v>
      </c>
      <c r="C15" s="8"/>
      <c r="D15" s="8"/>
      <c r="E15" s="3">
        <v>1613</v>
      </c>
      <c r="F15" s="7"/>
      <c r="G15" s="7"/>
      <c r="H15" s="7"/>
      <c r="I15" s="7"/>
      <c r="J15" s="7">
        <v>1.075</v>
      </c>
      <c r="K15" s="4">
        <v>1500</v>
      </c>
      <c r="L15" s="4"/>
      <c r="M15" s="2">
        <v>3940</v>
      </c>
      <c r="N15" s="9"/>
      <c r="O15" s="9"/>
      <c r="P15" s="5">
        <f>P13+P14</f>
        <v>1594</v>
      </c>
      <c r="Q15" s="5"/>
      <c r="R15" s="5"/>
      <c r="S15" s="9"/>
      <c r="T15" s="9"/>
      <c r="U15" s="9">
        <f>(0.5001*U13)+(0.4999*U14)</f>
        <v>1.1063856262785001</v>
      </c>
      <c r="V15" s="10">
        <f t="shared" si="2"/>
        <v>1440.7273215955151</v>
      </c>
      <c r="W15" s="3"/>
      <c r="X15" s="3"/>
      <c r="Y15" s="3"/>
      <c r="Z15" s="3"/>
      <c r="AA15" s="3"/>
    </row>
    <row r="16" spans="1:27" x14ac:dyDescent="0.25">
      <c r="A16" t="s">
        <v>27</v>
      </c>
      <c r="B16">
        <v>2300</v>
      </c>
      <c r="C16" s="8">
        <v>4.5999999999999999E-2</v>
      </c>
      <c r="D16" s="8">
        <v>0.39400000000000002</v>
      </c>
      <c r="E16" s="3">
        <v>865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4">
        <v>865</v>
      </c>
      <c r="L16" s="4"/>
      <c r="M16" s="2">
        <v>2300</v>
      </c>
      <c r="N16" s="9">
        <v>9.3899999999999997E-2</v>
      </c>
      <c r="O16" s="9">
        <v>0.4304</v>
      </c>
      <c r="P16" s="5">
        <v>897</v>
      </c>
      <c r="Q16" s="9">
        <v>1.0151600000000001</v>
      </c>
      <c r="R16" s="9">
        <v>0</v>
      </c>
      <c r="S16" s="9">
        <v>1</v>
      </c>
      <c r="T16" s="9">
        <f>1+((S16-1)*R16)</f>
        <v>1</v>
      </c>
      <c r="U16" s="9">
        <f t="shared" si="1"/>
        <v>1.0151600000000001</v>
      </c>
      <c r="V16" s="10">
        <f t="shared" si="2"/>
        <v>883.60455494700341</v>
      </c>
      <c r="W16" s="3"/>
      <c r="X16" s="3"/>
      <c r="Y16" s="3"/>
      <c r="Z16" s="3"/>
      <c r="AA16" s="3"/>
    </row>
    <row r="17" spans="1:27" x14ac:dyDescent="0.25">
      <c r="A17" t="s">
        <v>28</v>
      </c>
      <c r="B17">
        <v>2400</v>
      </c>
      <c r="C17" s="8">
        <v>3.9E-2</v>
      </c>
      <c r="D17" s="8">
        <v>0.40799999999999997</v>
      </c>
      <c r="E17" s="3">
        <v>941</v>
      </c>
      <c r="F17" s="7">
        <v>1</v>
      </c>
      <c r="G17" s="7">
        <v>0.12</v>
      </c>
      <c r="H17" s="7">
        <v>6.3</v>
      </c>
      <c r="I17" s="7">
        <v>1.633</v>
      </c>
      <c r="J17" s="7">
        <v>1.633</v>
      </c>
      <c r="K17" s="4">
        <v>576</v>
      </c>
      <c r="L17" s="4"/>
      <c r="M17" s="2">
        <v>2400</v>
      </c>
      <c r="N17" s="9">
        <v>0.1638</v>
      </c>
      <c r="O17" s="9">
        <v>0.4753</v>
      </c>
      <c r="P17" s="5">
        <v>954</v>
      </c>
      <c r="Q17" s="9">
        <v>1.0001632</v>
      </c>
      <c r="R17" s="9">
        <v>0.1207</v>
      </c>
      <c r="S17" s="9">
        <v>6.36</v>
      </c>
      <c r="T17" s="9">
        <f>1+((S17-1)*R17)</f>
        <v>1.6469520000000002</v>
      </c>
      <c r="U17" s="9">
        <f t="shared" si="1"/>
        <v>1.6472207825664003</v>
      </c>
      <c r="V17" s="10">
        <f t="shared" si="2"/>
        <v>579.15733585734051</v>
      </c>
      <c r="W17" s="3"/>
      <c r="X17" s="3"/>
      <c r="Y17" s="3"/>
      <c r="Z17" s="3"/>
      <c r="AA17" s="3"/>
    </row>
    <row r="18" spans="1:27" x14ac:dyDescent="0.25">
      <c r="A18" t="s">
        <v>16</v>
      </c>
      <c r="B18" s="11">
        <v>4700</v>
      </c>
      <c r="C18" s="12"/>
      <c r="D18" s="12"/>
      <c r="E18" s="4">
        <f>E16+E17</f>
        <v>1806</v>
      </c>
      <c r="F18" s="7"/>
      <c r="G18" s="7"/>
      <c r="H18" s="7"/>
      <c r="I18" s="7"/>
      <c r="J18" s="7">
        <v>1.2529999999999999</v>
      </c>
      <c r="K18" s="4">
        <v>1441</v>
      </c>
      <c r="L18" s="4"/>
      <c r="M18" s="5">
        <f>M16+M17</f>
        <v>4700</v>
      </c>
      <c r="N18" s="9"/>
      <c r="O18" s="9"/>
      <c r="P18" s="5">
        <f>P16+P17</f>
        <v>1851</v>
      </c>
      <c r="Q18" s="5"/>
      <c r="R18" s="5"/>
      <c r="S18" s="9"/>
      <c r="T18" s="9"/>
      <c r="U18" s="9">
        <f>(0.6*U16)+(0.4*U17)</f>
        <v>1.26798431302656</v>
      </c>
      <c r="V18" s="10">
        <f t="shared" si="2"/>
        <v>1459.7972395903196</v>
      </c>
      <c r="W18" s="3"/>
      <c r="X18" s="3"/>
      <c r="Y18" s="3"/>
      <c r="Z18" s="3"/>
      <c r="AA18" s="3"/>
    </row>
    <row r="19" spans="1:27" x14ac:dyDescent="0.25">
      <c r="A19" t="s">
        <v>29</v>
      </c>
      <c r="B19" s="11">
        <v>3358</v>
      </c>
      <c r="C19" s="12">
        <v>0.26</v>
      </c>
      <c r="D19" s="12">
        <v>0.47</v>
      </c>
      <c r="E19" s="4">
        <v>1168</v>
      </c>
      <c r="F19" s="7">
        <v>1.2030000000000001</v>
      </c>
      <c r="G19" s="7">
        <v>0</v>
      </c>
      <c r="H19" s="7">
        <v>1</v>
      </c>
      <c r="I19" s="7">
        <v>1</v>
      </c>
      <c r="J19" s="7">
        <v>1.2030000000000001</v>
      </c>
      <c r="K19" s="4">
        <v>971</v>
      </c>
      <c r="L19" s="4"/>
      <c r="M19" s="5">
        <v>3654</v>
      </c>
      <c r="N19" s="9">
        <v>0.19650000000000001</v>
      </c>
      <c r="O19" s="9">
        <v>0.32900000000000001</v>
      </c>
      <c r="P19" s="5">
        <v>966</v>
      </c>
      <c r="Q19" s="5">
        <v>1.2595000000000001</v>
      </c>
      <c r="R19" s="9">
        <f>G19</f>
        <v>0</v>
      </c>
      <c r="S19" s="9">
        <f>H19</f>
        <v>1</v>
      </c>
      <c r="T19" s="9">
        <f>I19</f>
        <v>1</v>
      </c>
      <c r="U19" s="9">
        <f t="shared" si="1"/>
        <v>1.2595000000000001</v>
      </c>
      <c r="V19" s="10"/>
      <c r="W19" s="3"/>
      <c r="X19" s="3"/>
      <c r="Y19" s="3"/>
      <c r="Z19" s="3"/>
      <c r="AA19" s="3"/>
    </row>
    <row r="20" spans="1:27" x14ac:dyDescent="0.25">
      <c r="A20" t="s">
        <v>30</v>
      </c>
      <c r="B20" s="11">
        <v>1968</v>
      </c>
      <c r="C20" s="12">
        <v>0.29899999999999999</v>
      </c>
      <c r="D20" s="12">
        <v>0.59</v>
      </c>
      <c r="E20" s="4">
        <v>814</v>
      </c>
      <c r="F20" s="7">
        <v>1.2150000000000001</v>
      </c>
      <c r="G20" s="7">
        <v>0.113</v>
      </c>
      <c r="H20" s="7">
        <v>3.3090000000000002</v>
      </c>
      <c r="I20" s="7">
        <v>1.2609999999999999</v>
      </c>
      <c r="J20" s="7">
        <v>1.532</v>
      </c>
      <c r="K20" s="4">
        <v>529</v>
      </c>
      <c r="L20" s="4"/>
      <c r="M20" s="5">
        <v>2176</v>
      </c>
      <c r="N20" s="9">
        <v>0.29920000000000002</v>
      </c>
      <c r="O20" s="9">
        <v>0.4551</v>
      </c>
      <c r="P20" s="5">
        <v>694</v>
      </c>
      <c r="Q20" s="5">
        <v>1.2757000000000001</v>
      </c>
      <c r="R20" s="9">
        <v>7.2499999999999995E-2</v>
      </c>
      <c r="S20" s="9">
        <v>2.8210999999999999</v>
      </c>
      <c r="T20" s="9">
        <f>1+((S20-1)*R20)</f>
        <v>1.1320297500000001</v>
      </c>
      <c r="U20" s="9">
        <f t="shared" si="1"/>
        <v>1.4441303520750002</v>
      </c>
      <c r="V20" s="10"/>
      <c r="W20" s="3"/>
      <c r="X20" s="3"/>
      <c r="Y20" s="3"/>
      <c r="Z20" s="3"/>
      <c r="AA20" s="3"/>
    </row>
    <row r="21" spans="1:27" x14ac:dyDescent="0.25">
      <c r="A21" t="s">
        <v>17</v>
      </c>
      <c r="B21" s="4">
        <f>B19+B20</f>
        <v>5326</v>
      </c>
      <c r="C21" s="12"/>
      <c r="D21" s="12"/>
      <c r="E21" s="4">
        <f>E19+E20</f>
        <v>1982</v>
      </c>
      <c r="F21" s="7"/>
      <c r="G21" s="7"/>
      <c r="H21" s="7"/>
      <c r="I21" s="7"/>
      <c r="J21" s="7"/>
      <c r="K21" s="4">
        <v>1500</v>
      </c>
      <c r="L21" s="4"/>
      <c r="M21" s="5">
        <f>M19+M20</f>
        <v>5830</v>
      </c>
      <c r="N21" s="9"/>
      <c r="O21" s="9"/>
      <c r="P21" s="5">
        <f>P19+P20</f>
        <v>1660</v>
      </c>
      <c r="Q21" s="5"/>
      <c r="R21" s="5"/>
      <c r="S21" s="9"/>
      <c r="T21" s="9"/>
      <c r="U21" s="9">
        <f>(0.647*U19)+(0.353*U20)</f>
        <v>1.3246745142824752</v>
      </c>
      <c r="V21" s="10">
        <f t="shared" si="2"/>
        <v>1253.1380215306381</v>
      </c>
      <c r="W21" s="3"/>
      <c r="X21" s="3"/>
      <c r="Y21" s="3"/>
      <c r="Z21" s="3"/>
      <c r="AA21" s="3"/>
    </row>
    <row r="22" spans="1:27" x14ac:dyDescent="0.25">
      <c r="A22" t="s">
        <v>19</v>
      </c>
      <c r="B22" s="11">
        <v>2400</v>
      </c>
      <c r="C22" s="12">
        <v>2.5999999999999999E-2</v>
      </c>
      <c r="D22" s="12">
        <v>0.55000000000000004</v>
      </c>
      <c r="E22" s="4">
        <v>1286</v>
      </c>
      <c r="F22" s="7">
        <v>1</v>
      </c>
      <c r="G22" s="7">
        <v>0.06</v>
      </c>
      <c r="H22" s="7">
        <v>4.29</v>
      </c>
      <c r="I22" s="7">
        <v>1.1970000000000001</v>
      </c>
      <c r="J22" s="7">
        <v>1.1970000000000001</v>
      </c>
      <c r="K22" s="4">
        <v>1075</v>
      </c>
      <c r="L22" s="4"/>
      <c r="M22" s="5">
        <v>2400</v>
      </c>
      <c r="N22" s="9">
        <v>0.1017</v>
      </c>
      <c r="O22" s="9">
        <v>0.58069999999999999</v>
      </c>
      <c r="P22" s="5">
        <v>1252</v>
      </c>
      <c r="Q22" s="9">
        <v>1</v>
      </c>
      <c r="R22" s="9">
        <v>3.0800000000000001E-2</v>
      </c>
      <c r="S22" s="9">
        <v>4.17333</v>
      </c>
      <c r="T22" s="9">
        <f>1+((S22-1)*R22)</f>
        <v>1.0977385639999999</v>
      </c>
      <c r="U22" s="9">
        <f t="shared" si="1"/>
        <v>1.0977385639999999</v>
      </c>
      <c r="V22" s="10">
        <f t="shared" si="2"/>
        <v>1140.5265707691765</v>
      </c>
      <c r="W22" s="3"/>
      <c r="X22" s="3"/>
      <c r="Y22" s="3"/>
      <c r="Z22" s="3"/>
      <c r="AA22" s="3"/>
    </row>
    <row r="23" spans="1:27" x14ac:dyDescent="0.25">
      <c r="A23" t="s">
        <v>31</v>
      </c>
      <c r="B23" s="11">
        <v>2575</v>
      </c>
      <c r="C23" s="12">
        <v>4.5999999999999999E-2</v>
      </c>
      <c r="D23" s="12">
        <v>0.54</v>
      </c>
      <c r="E23" s="4">
        <v>1327</v>
      </c>
      <c r="F23" s="7">
        <v>1.2649999999999999</v>
      </c>
      <c r="G23" s="7">
        <v>0.16</v>
      </c>
      <c r="H23" s="7">
        <v>3</v>
      </c>
      <c r="I23" s="7">
        <v>1.32</v>
      </c>
      <c r="J23" s="7">
        <v>1.67</v>
      </c>
      <c r="K23" s="4">
        <v>795</v>
      </c>
      <c r="L23" s="4"/>
      <c r="M23" s="5">
        <v>2676</v>
      </c>
      <c r="N23" s="9">
        <v>3.7400000000000003E-2</v>
      </c>
      <c r="O23" s="9">
        <v>0.44180000000000003</v>
      </c>
      <c r="P23" s="5">
        <v>1138</v>
      </c>
      <c r="Q23" s="5">
        <v>1.2430000000000001</v>
      </c>
      <c r="R23" s="9">
        <v>0.13647000000000001</v>
      </c>
      <c r="S23" s="9">
        <v>2.5516000000000001</v>
      </c>
      <c r="T23" s="9">
        <f>1+((S23-1)*R23)</f>
        <v>1.2117468520000001</v>
      </c>
      <c r="U23" s="9">
        <f t="shared" si="1"/>
        <v>1.5062013370360003</v>
      </c>
      <c r="V23" s="10"/>
      <c r="W23" s="3"/>
      <c r="X23" s="3"/>
      <c r="Y23" s="3"/>
      <c r="Z23" s="3"/>
      <c r="AA23" s="3"/>
    </row>
    <row r="24" spans="1:27" x14ac:dyDescent="0.25">
      <c r="A24" t="s">
        <v>32</v>
      </c>
      <c r="B24" s="11">
        <v>585</v>
      </c>
      <c r="C24" s="12">
        <v>5.0999999999999997E-2</v>
      </c>
      <c r="D24" s="12">
        <v>0.59</v>
      </c>
      <c r="E24" s="4">
        <v>328</v>
      </c>
      <c r="F24" s="7">
        <v>1.2649999999999999</v>
      </c>
      <c r="G24" s="7">
        <v>0.16</v>
      </c>
      <c r="H24" s="7">
        <v>3.26</v>
      </c>
      <c r="I24" s="7">
        <v>1.3615999999999999</v>
      </c>
      <c r="J24" s="7">
        <v>1.722</v>
      </c>
      <c r="K24" s="4">
        <v>190</v>
      </c>
      <c r="L24" s="4"/>
      <c r="M24" s="5">
        <v>582</v>
      </c>
      <c r="N24" s="9">
        <v>3.09E-2</v>
      </c>
      <c r="O24" s="9">
        <v>0.4965</v>
      </c>
      <c r="P24" s="5">
        <v>280</v>
      </c>
      <c r="Q24" s="5">
        <v>1.4750000000000001</v>
      </c>
      <c r="R24" s="9">
        <v>0.17130000000000001</v>
      </c>
      <c r="S24" s="9">
        <v>2.8866000000000001</v>
      </c>
      <c r="T24" s="9">
        <f>1+((S24-1)*R24)</f>
        <v>1.3231745800000001</v>
      </c>
      <c r="U24" s="9">
        <f t="shared" si="1"/>
        <v>1.9516825055000002</v>
      </c>
      <c r="V24" s="10"/>
      <c r="W24" s="3"/>
      <c r="X24" s="3"/>
      <c r="Y24" s="3"/>
      <c r="Z24" s="3"/>
      <c r="AA24" s="3"/>
    </row>
    <row r="25" spans="1:27" x14ac:dyDescent="0.25">
      <c r="A25" t="s">
        <v>18</v>
      </c>
      <c r="B25" s="11">
        <v>3160</v>
      </c>
      <c r="C25" s="12"/>
      <c r="D25" s="12"/>
      <c r="E25" s="4">
        <f>E23+E24</f>
        <v>1655</v>
      </c>
      <c r="F25" s="7"/>
      <c r="G25" s="7"/>
      <c r="H25" s="7"/>
      <c r="I25" s="7"/>
      <c r="J25" s="14">
        <f>(0.815*J23)+(0.185*J24)</f>
        <v>1.6796199999999999</v>
      </c>
      <c r="K25" s="4">
        <v>985</v>
      </c>
      <c r="L25" s="4"/>
      <c r="M25" s="5">
        <f>M23+M24</f>
        <v>3258</v>
      </c>
      <c r="N25" s="9"/>
      <c r="O25" s="9"/>
      <c r="P25" s="5">
        <f>P23+P24</f>
        <v>1418</v>
      </c>
      <c r="Q25" s="5"/>
      <c r="R25" s="5"/>
      <c r="S25" s="5"/>
      <c r="T25" s="5"/>
      <c r="U25" s="9">
        <f>(0.815*U23)+(0.185*U24)</f>
        <v>1.5886153532018403</v>
      </c>
      <c r="V25" s="10">
        <f t="shared" ref="V25" si="4">P25/U25</f>
        <v>892.60121850266239</v>
      </c>
      <c r="W25" s="3"/>
      <c r="X25" s="3"/>
      <c r="Y25" s="3"/>
      <c r="Z25" s="3"/>
      <c r="AA25" s="3"/>
    </row>
    <row r="26" spans="1:27" x14ac:dyDescent="0.25">
      <c r="C26" s="8"/>
      <c r="D26" s="8"/>
      <c r="E26" s="3"/>
      <c r="F26" s="7"/>
      <c r="G26" s="7"/>
      <c r="H26" s="3"/>
      <c r="I26" s="7"/>
      <c r="J26" s="7"/>
      <c r="K26" s="4"/>
      <c r="L26" s="4"/>
      <c r="M26" s="5"/>
      <c r="N26" s="9"/>
      <c r="O26" s="9"/>
      <c r="P26" s="5"/>
      <c r="Q26" s="5"/>
      <c r="R26" s="5"/>
      <c r="S26" s="5"/>
      <c r="T26" s="5"/>
      <c r="U26" s="5"/>
      <c r="V26" s="5"/>
      <c r="W26" s="3"/>
      <c r="X26" s="3"/>
      <c r="Y26" s="3"/>
      <c r="Z26" s="3"/>
      <c r="AA26" s="3"/>
    </row>
    <row r="27" spans="1:27" x14ac:dyDescent="0.25">
      <c r="C27" s="8"/>
      <c r="D27" s="8"/>
      <c r="E27" s="3"/>
      <c r="F27" s="7"/>
      <c r="G27" s="7"/>
      <c r="H27" s="3"/>
      <c r="I27" s="7"/>
      <c r="J27" s="7"/>
      <c r="K27" s="3"/>
      <c r="L27" s="3"/>
      <c r="M27" s="3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" t="s">
        <v>33</v>
      </c>
      <c r="C28" s="8"/>
      <c r="D28" s="8"/>
      <c r="E28" s="3"/>
      <c r="F28" s="7"/>
      <c r="G28" s="7"/>
      <c r="H28" s="3"/>
      <c r="I28" s="7"/>
      <c r="J28" s="7"/>
      <c r="K28" s="3"/>
      <c r="L28" s="3"/>
      <c r="M28" s="3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C29" s="8"/>
      <c r="D29" s="8"/>
      <c r="E29" s="3"/>
      <c r="F29" s="7"/>
      <c r="G29" s="7"/>
      <c r="H29" s="3"/>
      <c r="I29" s="7"/>
      <c r="J29" s="7"/>
      <c r="K29" s="3"/>
      <c r="L29" s="3"/>
      <c r="M29" s="3"/>
      <c r="N29" s="7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t="s">
        <v>38</v>
      </c>
      <c r="B30">
        <v>6000</v>
      </c>
      <c r="C30" s="8">
        <v>0.03</v>
      </c>
      <c r="D30" s="8">
        <v>0.32</v>
      </c>
      <c r="E30" s="3">
        <v>1862</v>
      </c>
      <c r="F30" s="7">
        <v>1.25</v>
      </c>
      <c r="G30" s="7">
        <v>0</v>
      </c>
      <c r="H30" s="7">
        <v>1</v>
      </c>
      <c r="I30" s="7">
        <v>1</v>
      </c>
      <c r="J30" s="7">
        <v>1.25</v>
      </c>
      <c r="K30" s="3">
        <v>1490</v>
      </c>
      <c r="L30" s="3"/>
      <c r="M30" s="5">
        <v>6000</v>
      </c>
      <c r="N30" s="9">
        <v>1.2500000000000001E-2</v>
      </c>
      <c r="O30" s="9">
        <v>0.32219999999999999</v>
      </c>
      <c r="P30" s="5">
        <v>1909</v>
      </c>
      <c r="Q30" s="9">
        <v>1.2265999999999999</v>
      </c>
      <c r="R30" s="9">
        <v>0</v>
      </c>
      <c r="S30" s="9">
        <v>1</v>
      </c>
      <c r="T30" s="9">
        <v>1</v>
      </c>
      <c r="U30" s="9">
        <f t="shared" ref="U30:U39" si="5">Q30*T30</f>
        <v>1.2265999999999999</v>
      </c>
      <c r="V30" s="10">
        <f t="shared" ref="V30:V40" si="6">P30/U30</f>
        <v>1556.3345834012719</v>
      </c>
      <c r="W30" s="3"/>
      <c r="X30" s="3"/>
      <c r="Y30" s="3"/>
      <c r="Z30" s="3"/>
      <c r="AA30" s="3"/>
    </row>
    <row r="31" spans="1:27" x14ac:dyDescent="0.25">
      <c r="A31" t="s">
        <v>56</v>
      </c>
      <c r="B31">
        <v>3100</v>
      </c>
      <c r="C31" s="8">
        <v>0.03</v>
      </c>
      <c r="D31" s="8">
        <v>0.499</v>
      </c>
      <c r="E31" s="3">
        <v>1500</v>
      </c>
      <c r="F31" s="7">
        <v>1</v>
      </c>
      <c r="G31" s="7">
        <v>0</v>
      </c>
      <c r="H31" s="7">
        <v>1</v>
      </c>
      <c r="I31" s="7">
        <v>1</v>
      </c>
      <c r="J31" s="7">
        <v>1</v>
      </c>
      <c r="K31" s="3">
        <v>1500</v>
      </c>
      <c r="L31" s="3"/>
      <c r="M31" s="5">
        <v>3102</v>
      </c>
      <c r="N31" s="9">
        <v>8.9999999999999993E-3</v>
      </c>
      <c r="O31" s="9">
        <v>0.496</v>
      </c>
      <c r="P31" s="5">
        <v>1523</v>
      </c>
      <c r="Q31" s="9">
        <v>1</v>
      </c>
      <c r="R31" s="9">
        <v>0</v>
      </c>
      <c r="S31" s="9">
        <v>1</v>
      </c>
      <c r="T31" s="9">
        <v>1</v>
      </c>
      <c r="U31" s="9">
        <v>1</v>
      </c>
      <c r="V31" s="10">
        <f t="shared" si="6"/>
        <v>1523</v>
      </c>
      <c r="W31" s="3"/>
      <c r="X31" s="3"/>
      <c r="Y31" s="3"/>
      <c r="Z31" s="3"/>
      <c r="AA31" s="3"/>
    </row>
    <row r="32" spans="1:27" x14ac:dyDescent="0.25">
      <c r="A32" t="s">
        <v>39</v>
      </c>
      <c r="B32">
        <v>24000</v>
      </c>
      <c r="C32" s="8">
        <v>0.02</v>
      </c>
      <c r="D32" s="8">
        <v>0.3</v>
      </c>
      <c r="E32" s="3">
        <v>7056</v>
      </c>
      <c r="F32" s="7">
        <v>1</v>
      </c>
      <c r="G32" s="7">
        <v>0.04</v>
      </c>
      <c r="H32" s="7">
        <v>35.28</v>
      </c>
      <c r="I32" s="7">
        <v>2.371</v>
      </c>
      <c r="J32" s="7">
        <v>2.371</v>
      </c>
      <c r="K32" s="3">
        <v>2976</v>
      </c>
      <c r="L32" s="3"/>
      <c r="M32" s="5">
        <v>23997</v>
      </c>
      <c r="N32" s="9">
        <v>4.1000000000000003E-3</v>
      </c>
      <c r="O32" s="9">
        <v>0.3715</v>
      </c>
      <c r="P32" s="5">
        <v>8877</v>
      </c>
      <c r="Q32" s="9">
        <v>1.0021</v>
      </c>
      <c r="R32" s="9">
        <v>1.044E-2</v>
      </c>
      <c r="S32" s="9">
        <v>44.384999999999998</v>
      </c>
      <c r="T32" s="9">
        <f>1+((S32-1)*R32)</f>
        <v>1.4529394</v>
      </c>
      <c r="U32" s="9">
        <f t="shared" si="5"/>
        <v>1.45599057274</v>
      </c>
      <c r="V32" s="10">
        <f t="shared" si="6"/>
        <v>6096.8801352158125</v>
      </c>
      <c r="W32" s="3"/>
      <c r="X32" s="3"/>
      <c r="Y32" s="3"/>
      <c r="Z32" s="3"/>
      <c r="AA32" s="3"/>
    </row>
    <row r="33" spans="1:28" x14ac:dyDescent="0.25">
      <c r="A33" t="s">
        <v>50</v>
      </c>
      <c r="B33">
        <v>3367</v>
      </c>
      <c r="C33" s="8">
        <v>4.5999999999999999E-2</v>
      </c>
      <c r="D33" s="8">
        <v>0.54</v>
      </c>
      <c r="E33" s="3">
        <v>1735</v>
      </c>
      <c r="F33" s="7">
        <v>1</v>
      </c>
      <c r="G33" s="7">
        <v>5.8999999999999997E-2</v>
      </c>
      <c r="H33" s="7">
        <v>3.6059999999999999</v>
      </c>
      <c r="I33" s="7">
        <v>1.1539999999999999</v>
      </c>
      <c r="J33" s="7">
        <v>1.1539999999999999</v>
      </c>
      <c r="K33" s="3">
        <v>1500</v>
      </c>
      <c r="L33" s="3"/>
      <c r="M33" s="5">
        <v>6734</v>
      </c>
      <c r="N33" s="9">
        <v>3.0000000000000001E-3</v>
      </c>
      <c r="O33" s="9">
        <v>0.38200000000000001</v>
      </c>
      <c r="P33" s="5">
        <v>2562</v>
      </c>
      <c r="Q33" s="9">
        <v>1.0189999999999999</v>
      </c>
      <c r="R33" s="9">
        <v>1.4E-2</v>
      </c>
      <c r="S33" s="9">
        <v>5.3259999999999996</v>
      </c>
      <c r="T33" s="9">
        <f>1+((S33-1)*R33)</f>
        <v>1.0605640000000001</v>
      </c>
      <c r="U33" s="9">
        <f t="shared" ref="U33" si="7">Q33*T33</f>
        <v>1.0807147159999999</v>
      </c>
      <c r="V33" s="10">
        <f t="shared" ref="V33" si="8">P33/U33</f>
        <v>2370.6533852732327</v>
      </c>
      <c r="W33" s="3"/>
      <c r="X33" s="3"/>
      <c r="Y33" s="3"/>
      <c r="Z33" s="3"/>
      <c r="AA33" s="3"/>
    </row>
    <row r="34" spans="1:28" x14ac:dyDescent="0.25">
      <c r="A34" t="s">
        <v>46</v>
      </c>
      <c r="B34">
        <v>5684</v>
      </c>
      <c r="C34" s="8">
        <v>0.02</v>
      </c>
      <c r="D34" s="8">
        <v>0.5</v>
      </c>
      <c r="E34" s="3">
        <v>2785</v>
      </c>
      <c r="F34" s="7">
        <v>1.268</v>
      </c>
      <c r="G34" s="7">
        <v>3.5999999999999997E-2</v>
      </c>
      <c r="H34" s="7">
        <v>13.72</v>
      </c>
      <c r="I34" s="7">
        <v>1.458</v>
      </c>
      <c r="J34" s="7">
        <v>1.849</v>
      </c>
      <c r="K34" s="3">
        <v>1500</v>
      </c>
      <c r="L34" s="3"/>
      <c r="M34" s="5">
        <v>5684</v>
      </c>
      <c r="N34" s="9">
        <v>1.2500000000000001E-2</v>
      </c>
      <c r="O34" s="9">
        <v>0.51429999999999998</v>
      </c>
      <c r="P34" s="5">
        <v>2887</v>
      </c>
      <c r="Q34" s="9">
        <v>1.492</v>
      </c>
      <c r="R34" s="9">
        <v>0.14199999999999999</v>
      </c>
      <c r="S34" s="9">
        <v>14.222</v>
      </c>
      <c r="T34" s="9">
        <f>1+((S34-1)*R34)</f>
        <v>2.8775239999999997</v>
      </c>
      <c r="U34" s="9">
        <f t="shared" ref="U34" si="9">Q34*T34</f>
        <v>4.2932658079999992</v>
      </c>
      <c r="V34" s="10">
        <f t="shared" ref="V34" si="10">P34/U34</f>
        <v>672.44846443479298</v>
      </c>
      <c r="W34" s="3"/>
      <c r="X34" s="3"/>
      <c r="Y34" s="3"/>
      <c r="Z34" s="3"/>
      <c r="AA34" s="3"/>
    </row>
    <row r="35" spans="1:28" x14ac:dyDescent="0.25">
      <c r="A35" t="s">
        <v>36</v>
      </c>
      <c r="B35">
        <v>2290</v>
      </c>
      <c r="C35" s="8">
        <v>0.03</v>
      </c>
      <c r="D35" s="8">
        <v>0.38</v>
      </c>
      <c r="E35" s="3">
        <v>844</v>
      </c>
      <c r="F35" s="7">
        <v>1</v>
      </c>
      <c r="G35" s="7">
        <v>0</v>
      </c>
      <c r="H35" s="7">
        <v>1</v>
      </c>
      <c r="I35" s="7">
        <v>1</v>
      </c>
      <c r="J35" s="7">
        <v>1</v>
      </c>
      <c r="K35" s="3">
        <v>844</v>
      </c>
      <c r="L35" s="3"/>
      <c r="M35" s="2">
        <v>2290</v>
      </c>
      <c r="N35" s="9">
        <v>7.1999999999999995E-2</v>
      </c>
      <c r="O35" s="9">
        <v>0.34599999999999997</v>
      </c>
      <c r="P35" s="5">
        <v>735</v>
      </c>
      <c r="Q35" s="9">
        <v>1</v>
      </c>
      <c r="R35" s="9">
        <v>0</v>
      </c>
      <c r="S35" s="9">
        <v>1</v>
      </c>
      <c r="T35" s="9">
        <f>1+((S35-1)*G35)</f>
        <v>1</v>
      </c>
      <c r="U35" s="9">
        <f t="shared" si="5"/>
        <v>1</v>
      </c>
      <c r="V35" s="10"/>
      <c r="W35" s="3"/>
      <c r="X35" s="3"/>
      <c r="Y35" s="3"/>
      <c r="Z35" s="3"/>
      <c r="AA35" s="3"/>
    </row>
    <row r="36" spans="1:28" x14ac:dyDescent="0.25">
      <c r="A36" t="s">
        <v>37</v>
      </c>
      <c r="B36">
        <v>468</v>
      </c>
      <c r="C36" s="8">
        <v>0.02</v>
      </c>
      <c r="D36" s="8">
        <v>0.4</v>
      </c>
      <c r="E36" s="3">
        <v>183</v>
      </c>
      <c r="F36" s="7">
        <v>1</v>
      </c>
      <c r="G36" s="7">
        <v>0.02</v>
      </c>
      <c r="H36" s="7">
        <v>15.29</v>
      </c>
      <c r="I36" s="7">
        <v>1.208</v>
      </c>
      <c r="J36" s="7">
        <v>1.208</v>
      </c>
      <c r="K36" s="3">
        <v>152</v>
      </c>
      <c r="L36" s="3"/>
      <c r="M36" s="2">
        <v>468</v>
      </c>
      <c r="N36" s="9">
        <v>5.0999999999999997E-2</v>
      </c>
      <c r="O36" s="9">
        <v>0.38500000000000001</v>
      </c>
      <c r="P36" s="5">
        <v>171</v>
      </c>
      <c r="Q36" s="9">
        <v>1</v>
      </c>
      <c r="R36" s="9">
        <v>1.8599999999999998E-2</v>
      </c>
      <c r="S36" s="9">
        <v>14.25</v>
      </c>
      <c r="T36" s="9">
        <f>1+((32/44)*(S36-1)*G36)</f>
        <v>1.1927272727272729</v>
      </c>
      <c r="U36" s="9">
        <f t="shared" si="5"/>
        <v>1.1927272727272729</v>
      </c>
      <c r="V36" s="10"/>
      <c r="W36" s="3"/>
      <c r="X36" s="3"/>
      <c r="Y36" s="3"/>
      <c r="Z36" s="3"/>
      <c r="AA36" s="3"/>
    </row>
    <row r="37" spans="1:28" x14ac:dyDescent="0.25">
      <c r="A37" t="s">
        <v>35</v>
      </c>
      <c r="B37" s="4">
        <f>B35+B36</f>
        <v>2758</v>
      </c>
      <c r="C37" s="8"/>
      <c r="D37" s="8"/>
      <c r="E37" s="3">
        <v>1027</v>
      </c>
      <c r="F37" s="7"/>
      <c r="G37" s="7"/>
      <c r="H37" s="3"/>
      <c r="I37" s="7"/>
      <c r="J37" s="14">
        <f>(0.85*J35)+(0.15*J36)</f>
        <v>1.0311999999999999</v>
      </c>
      <c r="K37" s="13">
        <f>E37/J37</f>
        <v>995.92707525213359</v>
      </c>
      <c r="L37" s="3"/>
      <c r="M37" s="5">
        <f>M35+M36</f>
        <v>2758</v>
      </c>
      <c r="N37" s="9"/>
      <c r="O37" s="9"/>
      <c r="P37" s="5">
        <f>P35+P36</f>
        <v>906</v>
      </c>
      <c r="Q37" s="5"/>
      <c r="R37" s="9"/>
      <c r="S37" s="5"/>
      <c r="T37" s="5"/>
      <c r="U37" s="9">
        <f>(0.85*U35)+(0.15*U36)</f>
        <v>1.028909090909091</v>
      </c>
      <c r="V37" s="10">
        <f t="shared" si="6"/>
        <v>880.54426577133756</v>
      </c>
      <c r="W37" s="3"/>
      <c r="X37" s="3"/>
      <c r="Y37" s="3"/>
      <c r="Z37" s="3"/>
      <c r="AA37" s="3"/>
    </row>
    <row r="38" spans="1:28" hidden="1" x14ac:dyDescent="0.25">
      <c r="A38" s="15" t="s">
        <v>42</v>
      </c>
      <c r="B38" s="16">
        <v>486</v>
      </c>
      <c r="C38" s="17">
        <v>3.2000000000000001E-2</v>
      </c>
      <c r="D38" s="17">
        <v>0.49</v>
      </c>
      <c r="E38" s="16">
        <v>231</v>
      </c>
      <c r="F38" s="18">
        <v>1</v>
      </c>
      <c r="G38" s="18">
        <v>0</v>
      </c>
      <c r="H38" s="18">
        <v>1</v>
      </c>
      <c r="I38" s="18">
        <v>1</v>
      </c>
      <c r="J38" s="18">
        <v>1</v>
      </c>
      <c r="K38" s="19">
        <v>231</v>
      </c>
      <c r="L38" s="16"/>
      <c r="M38" s="16">
        <v>486</v>
      </c>
      <c r="N38" s="18">
        <v>5.8000000000000003E-2</v>
      </c>
      <c r="O38" s="18">
        <v>0.63100000000000001</v>
      </c>
      <c r="P38" s="16">
        <v>289</v>
      </c>
      <c r="Q38" s="18">
        <v>1</v>
      </c>
      <c r="R38" s="18">
        <v>0</v>
      </c>
      <c r="S38" s="18">
        <v>1</v>
      </c>
      <c r="T38" s="18">
        <v>1</v>
      </c>
      <c r="U38" s="18">
        <f t="shared" si="5"/>
        <v>1</v>
      </c>
      <c r="V38" s="20"/>
      <c r="W38" s="3"/>
      <c r="X38" s="3"/>
      <c r="Y38" s="3"/>
      <c r="Z38" s="3"/>
      <c r="AA38" s="3"/>
    </row>
    <row r="39" spans="1:28" hidden="1" x14ac:dyDescent="0.25">
      <c r="A39" s="15" t="s">
        <v>43</v>
      </c>
      <c r="B39" s="16">
        <v>4975</v>
      </c>
      <c r="C39" s="17">
        <v>3.9E-2</v>
      </c>
      <c r="D39" s="17">
        <v>0.5</v>
      </c>
      <c r="E39" s="16">
        <v>2390</v>
      </c>
      <c r="F39" s="18">
        <v>1</v>
      </c>
      <c r="G39" s="18">
        <v>9.5000000000000001E-2</v>
      </c>
      <c r="H39" s="16">
        <v>12.01</v>
      </c>
      <c r="I39" s="18">
        <v>2.0459999999999998</v>
      </c>
      <c r="J39" s="18">
        <v>2.0459999999999998</v>
      </c>
      <c r="K39" s="19">
        <v>1168</v>
      </c>
      <c r="L39" s="16"/>
      <c r="M39" s="16">
        <v>4975</v>
      </c>
      <c r="N39" s="18">
        <v>5.6000000000000001E-2</v>
      </c>
      <c r="O39" s="18">
        <v>0.55600000000000005</v>
      </c>
      <c r="P39" s="16">
        <v>2614</v>
      </c>
      <c r="Q39" s="18">
        <v>1.0029999999999999</v>
      </c>
      <c r="R39" s="18"/>
      <c r="S39" s="18">
        <v>13.135999999999999</v>
      </c>
      <c r="T39" s="18">
        <f>1+((S39-1)*G39)</f>
        <v>2.1529199999999999</v>
      </c>
      <c r="U39" s="18">
        <f t="shared" si="5"/>
        <v>2.1593787599999996</v>
      </c>
      <c r="V39" s="20"/>
      <c r="W39" s="3"/>
      <c r="X39" s="3"/>
      <c r="Y39" s="3"/>
      <c r="Z39" s="3"/>
      <c r="AA39" s="3"/>
    </row>
    <row r="40" spans="1:28" hidden="1" x14ac:dyDescent="0.25">
      <c r="A40" s="15" t="s">
        <v>44</v>
      </c>
      <c r="B40" s="16">
        <v>5461</v>
      </c>
      <c r="C40" s="17"/>
      <c r="D40" s="17"/>
      <c r="E40" s="16">
        <v>2621</v>
      </c>
      <c r="F40" s="18"/>
      <c r="G40" s="18"/>
      <c r="H40" s="16"/>
      <c r="I40" s="18"/>
      <c r="J40" s="18">
        <f>(0.15*J38)+(0.85*J39)</f>
        <v>1.8890999999999998</v>
      </c>
      <c r="K40" s="19">
        <f>E40/J40</f>
        <v>1387.433169234027</v>
      </c>
      <c r="L40" s="16"/>
      <c r="M40" s="16"/>
      <c r="N40" s="18"/>
      <c r="O40" s="18"/>
      <c r="P40" s="16">
        <f>P38+P39</f>
        <v>2903</v>
      </c>
      <c r="Q40" s="16"/>
      <c r="R40" s="18"/>
      <c r="S40" s="16"/>
      <c r="T40" s="16"/>
      <c r="U40" s="18">
        <f>(0.15*U38)+(0.85*U39)</f>
        <v>1.9854719459999994</v>
      </c>
      <c r="V40" s="20">
        <f t="shared" si="6"/>
        <v>1462.1208855901914</v>
      </c>
      <c r="W40" s="3"/>
      <c r="X40" s="3"/>
      <c r="Y40" s="3"/>
      <c r="Z40" s="3"/>
      <c r="AA40" s="3"/>
    </row>
    <row r="41" spans="1:28" x14ac:dyDescent="0.25">
      <c r="A41" t="s">
        <v>42</v>
      </c>
      <c r="B41" s="4">
        <v>486</v>
      </c>
      <c r="C41" s="8">
        <v>3.2000000000000001E-2</v>
      </c>
      <c r="D41" s="8">
        <v>0.49</v>
      </c>
      <c r="E41" s="3">
        <v>231</v>
      </c>
      <c r="F41" s="7">
        <v>1</v>
      </c>
      <c r="G41" s="7">
        <v>0</v>
      </c>
      <c r="H41" s="7">
        <v>1</v>
      </c>
      <c r="I41" s="7">
        <v>1</v>
      </c>
      <c r="J41" s="14">
        <v>1</v>
      </c>
      <c r="K41" s="13">
        <v>231</v>
      </c>
      <c r="L41" s="3"/>
      <c r="M41" s="5">
        <v>486</v>
      </c>
      <c r="N41" s="9">
        <v>5.7599999999999998E-2</v>
      </c>
      <c r="O41" s="9">
        <v>0.54800000000000004</v>
      </c>
      <c r="P41" s="5">
        <v>251</v>
      </c>
      <c r="Q41" s="9">
        <v>1</v>
      </c>
      <c r="R41" s="9">
        <v>0</v>
      </c>
      <c r="S41" s="9">
        <v>1</v>
      </c>
      <c r="T41" s="9">
        <v>1</v>
      </c>
      <c r="U41" s="9">
        <f t="shared" ref="U41:U42" si="11">Q41*T41</f>
        <v>1</v>
      </c>
      <c r="V41" s="10">
        <f t="shared" ref="V41:V43" si="12">P41/U41</f>
        <v>251</v>
      </c>
      <c r="W41" s="3"/>
      <c r="X41" s="3"/>
      <c r="Y41" s="3"/>
      <c r="Z41" s="3"/>
      <c r="AA41" s="3"/>
    </row>
    <row r="42" spans="1:28" x14ac:dyDescent="0.25">
      <c r="A42" t="s">
        <v>43</v>
      </c>
      <c r="B42" s="4">
        <v>4975</v>
      </c>
      <c r="C42" s="8">
        <v>3.9E-2</v>
      </c>
      <c r="D42" s="8">
        <v>0.5</v>
      </c>
      <c r="E42" s="3">
        <v>2390</v>
      </c>
      <c r="F42" s="7">
        <v>1</v>
      </c>
      <c r="G42" s="7">
        <v>9.5000000000000001E-2</v>
      </c>
      <c r="H42" s="3">
        <v>12.01</v>
      </c>
      <c r="I42" s="7">
        <v>2.0459999999999998</v>
      </c>
      <c r="J42" s="14">
        <v>2.0459999999999998</v>
      </c>
      <c r="K42" s="13">
        <v>1168</v>
      </c>
      <c r="L42" s="3"/>
      <c r="M42" s="5">
        <v>4975</v>
      </c>
      <c r="N42" s="9">
        <v>5.57E-2</v>
      </c>
      <c r="O42" s="9">
        <v>0.50849999999999995</v>
      </c>
      <c r="P42" s="5">
        <v>2389</v>
      </c>
      <c r="Q42" s="9">
        <v>1.0029999999999999</v>
      </c>
      <c r="R42" s="9">
        <v>7.3499999999999996E-2</v>
      </c>
      <c r="S42" s="9">
        <v>12.005000000000001</v>
      </c>
      <c r="T42" s="9">
        <f>1+((S42-1)*R42)</f>
        <v>1.8088674999999999</v>
      </c>
      <c r="U42" s="9">
        <f t="shared" si="11"/>
        <v>1.8142941024999997</v>
      </c>
      <c r="V42" s="10">
        <f t="shared" si="12"/>
        <v>1316.765565576213</v>
      </c>
      <c r="W42" s="3"/>
      <c r="X42" s="3"/>
      <c r="Y42" s="3"/>
      <c r="Z42" s="3"/>
      <c r="AA42" s="3"/>
    </row>
    <row r="43" spans="1:28" x14ac:dyDescent="0.25">
      <c r="A43" t="s">
        <v>44</v>
      </c>
      <c r="B43" s="4">
        <v>5461</v>
      </c>
      <c r="C43" s="8"/>
      <c r="D43" s="8"/>
      <c r="E43" s="3">
        <v>2621</v>
      </c>
      <c r="F43" s="7"/>
      <c r="G43" s="7"/>
      <c r="H43" s="3"/>
      <c r="I43" s="7"/>
      <c r="J43" s="14">
        <f>(0.15*J41)+(0.85*J42)</f>
        <v>1.8890999999999998</v>
      </c>
      <c r="K43" s="13">
        <f>E43/J43</f>
        <v>1387.433169234027</v>
      </c>
      <c r="L43" s="3"/>
      <c r="M43" s="5">
        <f>M41+M42</f>
        <v>5461</v>
      </c>
      <c r="N43" s="9"/>
      <c r="O43" s="9"/>
      <c r="P43" s="5">
        <v>2640</v>
      </c>
      <c r="Q43" s="5"/>
      <c r="R43" s="9"/>
      <c r="S43" s="5"/>
      <c r="T43" s="5"/>
      <c r="U43" s="9">
        <f>(0.15*U41)+(0.85*U42)</f>
        <v>1.6921499871249996</v>
      </c>
      <c r="V43" s="10">
        <f t="shared" si="12"/>
        <v>1560.1453890534956</v>
      </c>
      <c r="W43" s="3"/>
      <c r="X43" s="3"/>
      <c r="Y43" s="3"/>
      <c r="Z43" s="3"/>
      <c r="AA43" s="3"/>
    </row>
    <row r="44" spans="1:28" x14ac:dyDescent="0.25">
      <c r="A44" t="s">
        <v>34</v>
      </c>
      <c r="B44">
        <v>2250</v>
      </c>
      <c r="C44" s="8">
        <v>4.2999999999999997E-2</v>
      </c>
      <c r="D44" s="8">
        <v>0.6</v>
      </c>
      <c r="E44" s="3">
        <v>1292</v>
      </c>
      <c r="F44" s="7">
        <v>1.2609999999999999</v>
      </c>
      <c r="G44" s="7">
        <v>0.14899999999999999</v>
      </c>
      <c r="H44" s="7">
        <v>2.871</v>
      </c>
      <c r="I44" s="7">
        <v>1.2789999999999999</v>
      </c>
      <c r="J44" s="7">
        <v>1.613</v>
      </c>
      <c r="K44" s="3">
        <v>800</v>
      </c>
      <c r="L44" s="3"/>
      <c r="M44" s="5">
        <v>2250</v>
      </c>
      <c r="N44" s="9">
        <v>8.8999999999999996E-2</v>
      </c>
      <c r="O44" s="9">
        <v>0.65400000000000003</v>
      </c>
      <c r="P44" s="5">
        <v>1340</v>
      </c>
      <c r="Q44" s="9">
        <v>1.246</v>
      </c>
      <c r="R44" s="9">
        <v>0.17849699999999999</v>
      </c>
      <c r="S44" s="5">
        <v>2.9780000000000002</v>
      </c>
      <c r="T44" s="9">
        <f>1+((S44-1)*R44)</f>
        <v>1.3530670659999999</v>
      </c>
      <c r="U44" s="9">
        <f t="shared" ref="U44:U46" si="13">Q44*T44</f>
        <v>1.6859215642359999</v>
      </c>
      <c r="V44" s="10">
        <f t="shared" ref="V44:V46" si="14">P44/U44</f>
        <v>794.81752201635823</v>
      </c>
      <c r="W44" s="3"/>
      <c r="X44" s="3"/>
      <c r="Y44" s="3"/>
      <c r="Z44" s="3"/>
      <c r="AA44" s="3"/>
    </row>
    <row r="45" spans="1:28" x14ac:dyDescent="0.25">
      <c r="A45" t="s">
        <v>47</v>
      </c>
      <c r="B45" s="4">
        <v>2580</v>
      </c>
      <c r="C45" s="8">
        <v>0.06</v>
      </c>
      <c r="D45" s="8">
        <v>0.55000000000000004</v>
      </c>
      <c r="E45" s="3">
        <v>1334</v>
      </c>
      <c r="F45" s="7">
        <v>1.2090000000000001</v>
      </c>
      <c r="G45" s="7">
        <v>5.6000000000000001E-2</v>
      </c>
      <c r="H45" s="7">
        <v>7.7549999999999999</v>
      </c>
      <c r="I45" s="7">
        <v>1.3779999999999999</v>
      </c>
      <c r="J45" s="7">
        <v>1.6659999999999999</v>
      </c>
      <c r="K45" s="3">
        <v>801</v>
      </c>
      <c r="L45" s="3"/>
      <c r="M45" s="5">
        <v>2580</v>
      </c>
      <c r="N45" s="9">
        <v>0.03</v>
      </c>
      <c r="O45" s="9">
        <v>0.57399999999999995</v>
      </c>
      <c r="P45" s="5">
        <v>1436</v>
      </c>
      <c r="Q45" s="9">
        <v>1.641</v>
      </c>
      <c r="R45" s="9">
        <v>0.14369999999999999</v>
      </c>
      <c r="S45" s="5">
        <v>8.3490000000000002</v>
      </c>
      <c r="T45" s="9">
        <f>1+((S45-1)*R45)</f>
        <v>2.0560513</v>
      </c>
      <c r="U45" s="9">
        <f t="shared" ref="U45" si="15">Q45*T45</f>
        <v>3.3739801833</v>
      </c>
      <c r="V45" s="10">
        <f t="shared" ref="V45" si="16">P45/U45</f>
        <v>425.61008719247627</v>
      </c>
      <c r="W45" s="3"/>
      <c r="X45" s="3"/>
      <c r="Y45" s="3"/>
      <c r="Z45" s="3"/>
      <c r="AA45" s="3"/>
    </row>
    <row r="46" spans="1:28" x14ac:dyDescent="0.25">
      <c r="A46" t="s">
        <v>40</v>
      </c>
      <c r="B46">
        <v>3693</v>
      </c>
      <c r="C46" s="8">
        <v>2.5000000000000001E-2</v>
      </c>
      <c r="D46" s="8">
        <v>0.5</v>
      </c>
      <c r="E46" s="3">
        <v>1800</v>
      </c>
      <c r="F46" s="7">
        <v>1</v>
      </c>
      <c r="G46" s="7">
        <v>0</v>
      </c>
      <c r="H46" s="7">
        <v>1</v>
      </c>
      <c r="I46" s="7">
        <v>1</v>
      </c>
      <c r="J46" s="7">
        <v>1</v>
      </c>
      <c r="K46" s="3">
        <v>1800</v>
      </c>
      <c r="L46" s="3"/>
      <c r="M46" s="5">
        <v>4187</v>
      </c>
      <c r="N46" s="9">
        <v>1.9099999999999999E-2</v>
      </c>
      <c r="O46" s="9">
        <v>0.3589</v>
      </c>
      <c r="P46" s="5">
        <v>1474</v>
      </c>
      <c r="Q46" s="9">
        <v>1.0044</v>
      </c>
      <c r="R46" s="9">
        <v>0</v>
      </c>
      <c r="S46" s="9">
        <v>1</v>
      </c>
      <c r="T46" s="9">
        <v>1</v>
      </c>
      <c r="U46" s="9">
        <f t="shared" si="13"/>
        <v>1.0044</v>
      </c>
      <c r="V46" s="10">
        <f t="shared" si="14"/>
        <v>1467.5428116288333</v>
      </c>
      <c r="W46" s="3"/>
      <c r="X46" s="3"/>
      <c r="Y46" s="3"/>
      <c r="Z46" s="3"/>
      <c r="AA46" s="3"/>
      <c r="AB46" s="21"/>
    </row>
    <row r="47" spans="1:28" x14ac:dyDescent="0.25">
      <c r="A47" t="s">
        <v>41</v>
      </c>
      <c r="B47">
        <v>3448</v>
      </c>
      <c r="C47" s="8">
        <v>0.03</v>
      </c>
      <c r="D47" s="8">
        <v>0.45</v>
      </c>
      <c r="E47" s="3">
        <v>1504</v>
      </c>
      <c r="F47" s="7">
        <v>1</v>
      </c>
      <c r="G47" s="7">
        <v>0</v>
      </c>
      <c r="H47" s="7">
        <v>1</v>
      </c>
      <c r="I47" s="7">
        <v>1</v>
      </c>
      <c r="J47" s="7">
        <v>1</v>
      </c>
      <c r="K47" s="3">
        <v>1504</v>
      </c>
      <c r="L47" s="3"/>
      <c r="M47" s="5">
        <v>3881</v>
      </c>
      <c r="N47" s="9">
        <v>0.1512</v>
      </c>
      <c r="O47" s="9">
        <v>0.42959999999999998</v>
      </c>
      <c r="P47" s="5">
        <v>1415</v>
      </c>
      <c r="Q47" s="9">
        <v>1.0001500000000001</v>
      </c>
      <c r="R47" s="9">
        <v>0</v>
      </c>
      <c r="S47" s="9">
        <v>1</v>
      </c>
      <c r="T47" s="9">
        <v>1</v>
      </c>
      <c r="U47" s="9">
        <f t="shared" ref="U47:U55" si="17">Q47*T47</f>
        <v>1.0001500000000001</v>
      </c>
      <c r="V47" s="10">
        <f t="shared" ref="V47:V55" si="18">P47/U47</f>
        <v>1414.7877818327249</v>
      </c>
      <c r="W47" s="3"/>
      <c r="X47" s="3"/>
      <c r="Y47" s="3"/>
      <c r="Z47" s="3"/>
      <c r="AA47" s="3"/>
    </row>
    <row r="48" spans="1:28" x14ac:dyDescent="0.25">
      <c r="A48" t="s">
        <v>53</v>
      </c>
      <c r="B48">
        <v>3324</v>
      </c>
      <c r="C48" s="8">
        <v>8.8999999999999996E-2</v>
      </c>
      <c r="D48" s="8">
        <v>0.3</v>
      </c>
      <c r="E48" s="3">
        <v>908</v>
      </c>
      <c r="F48" s="7">
        <v>1.002</v>
      </c>
      <c r="G48" s="7">
        <v>0</v>
      </c>
      <c r="H48" s="7">
        <v>1</v>
      </c>
      <c r="I48" s="7">
        <v>1</v>
      </c>
      <c r="J48" s="7">
        <v>1.002</v>
      </c>
      <c r="K48" s="3">
        <v>905</v>
      </c>
      <c r="L48" s="3"/>
      <c r="M48" s="2">
        <v>3324</v>
      </c>
      <c r="N48" s="9">
        <v>0.04</v>
      </c>
      <c r="O48" s="9">
        <v>0.39</v>
      </c>
      <c r="P48" s="5">
        <v>1245</v>
      </c>
      <c r="Q48" s="9">
        <v>1</v>
      </c>
      <c r="R48" s="9">
        <v>0</v>
      </c>
      <c r="S48" s="9">
        <v>1</v>
      </c>
      <c r="T48" s="9">
        <v>1</v>
      </c>
      <c r="U48" s="9">
        <f t="shared" ref="U48:U49" si="19">Q48*T48</f>
        <v>1</v>
      </c>
      <c r="V48" s="10"/>
      <c r="W48" s="3"/>
      <c r="X48" s="3"/>
      <c r="Y48" s="3"/>
      <c r="Z48" s="3"/>
      <c r="AA48" s="3"/>
    </row>
    <row r="49" spans="1:27" x14ac:dyDescent="0.25">
      <c r="A49" t="s">
        <v>52</v>
      </c>
      <c r="B49">
        <v>2404</v>
      </c>
      <c r="C49" s="8">
        <v>8.8999999999999996E-2</v>
      </c>
      <c r="D49" s="8">
        <v>0.3</v>
      </c>
      <c r="E49" s="3">
        <v>657</v>
      </c>
      <c r="F49" s="7">
        <v>1.0049999999999999</v>
      </c>
      <c r="G49" s="7">
        <v>0.12</v>
      </c>
      <c r="H49" s="7">
        <v>1.82</v>
      </c>
      <c r="I49" s="7">
        <v>1.0980000000000001</v>
      </c>
      <c r="J49" s="7">
        <v>1.103</v>
      </c>
      <c r="K49" s="3">
        <v>595</v>
      </c>
      <c r="L49" s="3"/>
      <c r="M49" s="2">
        <v>2404</v>
      </c>
      <c r="N49" s="9">
        <v>4.5999999999999999E-2</v>
      </c>
      <c r="O49" s="9">
        <v>0.36499999999999999</v>
      </c>
      <c r="P49" s="5">
        <v>838</v>
      </c>
      <c r="Q49" s="9">
        <v>1</v>
      </c>
      <c r="R49" s="9">
        <v>4.7E-2</v>
      </c>
      <c r="S49" s="9">
        <v>1.3939999999999999</v>
      </c>
      <c r="T49" s="9">
        <f>1+((S49-1)*R49)</f>
        <v>1.018518</v>
      </c>
      <c r="U49" s="9">
        <f t="shared" si="19"/>
        <v>1.018518</v>
      </c>
      <c r="V49" s="10"/>
      <c r="W49" s="3"/>
      <c r="X49" s="3"/>
      <c r="Y49" s="3"/>
      <c r="Z49" s="3"/>
      <c r="AA49" s="3"/>
    </row>
    <row r="50" spans="1:27" x14ac:dyDescent="0.25">
      <c r="A50" t="s">
        <v>51</v>
      </c>
      <c r="B50">
        <v>5728</v>
      </c>
      <c r="C50" s="8"/>
      <c r="D50" s="8"/>
      <c r="E50" s="3">
        <v>1565</v>
      </c>
      <c r="F50" s="7"/>
      <c r="G50" s="7"/>
      <c r="H50" s="7"/>
      <c r="I50" s="7"/>
      <c r="J50" s="7"/>
      <c r="K50" s="3"/>
      <c r="L50" s="3"/>
      <c r="M50" s="2">
        <v>5728</v>
      </c>
      <c r="N50" s="9"/>
      <c r="O50" s="9"/>
      <c r="P50" s="5">
        <v>2083</v>
      </c>
      <c r="Q50" s="9"/>
      <c r="R50" s="9"/>
      <c r="S50" s="9"/>
      <c r="T50" s="9"/>
      <c r="U50" s="9">
        <f>(0.604*U48)+(0.396*U49)</f>
        <v>1.007333128</v>
      </c>
      <c r="V50" s="10">
        <f t="shared" ref="V50" si="20">P50/U50</f>
        <v>2067.8362917892641</v>
      </c>
      <c r="W50" s="3"/>
      <c r="X50" s="3"/>
      <c r="Y50" s="3"/>
      <c r="Z50" s="3"/>
      <c r="AA50" s="3"/>
    </row>
    <row r="51" spans="1:27" x14ac:dyDescent="0.25">
      <c r="A51" t="s">
        <v>48</v>
      </c>
      <c r="B51">
        <v>2584</v>
      </c>
      <c r="C51" s="8">
        <v>0.33100000000000002</v>
      </c>
      <c r="D51" s="8">
        <v>0.48</v>
      </c>
      <c r="E51" s="22">
        <f>B51*(1-C51)*D51</f>
        <v>829.77408000000003</v>
      </c>
      <c r="F51" s="7">
        <v>1.2010000000000001</v>
      </c>
      <c r="G51" s="7">
        <v>3.6999999999999998E-2</v>
      </c>
      <c r="H51" s="7">
        <v>5.49</v>
      </c>
      <c r="I51" s="7">
        <v>1.1659999999999999</v>
      </c>
      <c r="J51" s="7">
        <v>1.401</v>
      </c>
      <c r="K51" s="3">
        <v>592</v>
      </c>
      <c r="L51" s="3"/>
      <c r="M51" s="2">
        <v>2584</v>
      </c>
      <c r="N51" s="9">
        <v>0.30769999999999997</v>
      </c>
      <c r="O51" s="9">
        <v>0.53380000000000005</v>
      </c>
      <c r="P51" s="5">
        <v>955</v>
      </c>
      <c r="Q51" s="9">
        <v>1.2010000000000001</v>
      </c>
      <c r="R51" s="9">
        <v>3.1E-2</v>
      </c>
      <c r="S51" s="9">
        <v>6.2830000000000004</v>
      </c>
      <c r="T51" s="9">
        <f>1+((S51-1)*R51)</f>
        <v>1.1637729999999999</v>
      </c>
      <c r="U51" s="9">
        <f t="shared" ref="U51:U52" si="21">Q51*T51</f>
        <v>1.397691373</v>
      </c>
      <c r="V51" s="10"/>
      <c r="W51" s="3"/>
      <c r="X51" s="3"/>
      <c r="Y51" s="3"/>
      <c r="Z51" s="3"/>
      <c r="AA51" s="3"/>
    </row>
    <row r="52" spans="1:27" x14ac:dyDescent="0.25">
      <c r="A52" t="s">
        <v>49</v>
      </c>
      <c r="B52">
        <v>2670</v>
      </c>
      <c r="C52" s="8">
        <v>0.215</v>
      </c>
      <c r="D52" s="8">
        <v>0.38</v>
      </c>
      <c r="E52" s="22">
        <f>B52*(1-C52)*D52</f>
        <v>796.46100000000013</v>
      </c>
      <c r="F52" s="7">
        <v>1.2030000000000001</v>
      </c>
      <c r="G52" s="7">
        <v>0</v>
      </c>
      <c r="H52" s="7">
        <v>1</v>
      </c>
      <c r="I52" s="7">
        <v>1</v>
      </c>
      <c r="J52" s="7">
        <v>1.2030000000000001</v>
      </c>
      <c r="K52" s="3">
        <v>662</v>
      </c>
      <c r="L52" s="3"/>
      <c r="M52" s="2">
        <v>2670</v>
      </c>
      <c r="N52" s="9">
        <v>0.20069999999999999</v>
      </c>
      <c r="O52" s="9">
        <v>0.4133</v>
      </c>
      <c r="P52" s="5">
        <v>883</v>
      </c>
      <c r="Q52" s="9">
        <v>1.194</v>
      </c>
      <c r="R52" s="9">
        <v>0</v>
      </c>
      <c r="S52" s="9">
        <v>1</v>
      </c>
      <c r="T52" s="9">
        <f>1+((S52-1)*R52)</f>
        <v>1</v>
      </c>
      <c r="U52" s="9">
        <f t="shared" si="21"/>
        <v>1.194</v>
      </c>
      <c r="V52" s="10"/>
      <c r="W52" s="3"/>
      <c r="X52" s="3"/>
      <c r="Y52" s="3"/>
      <c r="Z52" s="3"/>
      <c r="AA52" s="3"/>
    </row>
    <row r="53" spans="1:27" x14ac:dyDescent="0.25">
      <c r="A53" t="s">
        <v>54</v>
      </c>
      <c r="B53">
        <f>B51+B52</f>
        <v>5254</v>
      </c>
      <c r="C53" s="8"/>
      <c r="D53" s="8"/>
      <c r="E53" s="13">
        <f>E51+E52</f>
        <v>1626.2350800000002</v>
      </c>
      <c r="F53" s="7"/>
      <c r="G53" s="7"/>
      <c r="H53" s="7"/>
      <c r="I53" s="7"/>
      <c r="J53" s="7"/>
      <c r="K53" s="3">
        <v>1254</v>
      </c>
      <c r="L53" s="3"/>
      <c r="M53" s="2">
        <f>M51+M52</f>
        <v>5254</v>
      </c>
      <c r="N53" s="9"/>
      <c r="O53" s="9"/>
      <c r="P53" s="23">
        <f>P51+P52</f>
        <v>1838</v>
      </c>
      <c r="Q53" s="9"/>
      <c r="R53" s="9"/>
      <c r="S53" s="9"/>
      <c r="T53" s="9"/>
      <c r="U53" s="9">
        <f>(0.472*U51)+(0.528*U52)</f>
        <v>1.290142328056</v>
      </c>
      <c r="V53" s="10">
        <f t="shared" ref="V53" si="22">P53/U53</f>
        <v>1424.6490174223782</v>
      </c>
      <c r="W53" s="3"/>
      <c r="X53" s="3"/>
      <c r="Y53" s="3"/>
      <c r="Z53" s="3"/>
      <c r="AA53" s="3"/>
    </row>
    <row r="54" spans="1:27" x14ac:dyDescent="0.25">
      <c r="A54" t="s">
        <v>55</v>
      </c>
      <c r="B54">
        <v>5194</v>
      </c>
      <c r="C54" s="8">
        <v>1.4999999999999999E-2</v>
      </c>
      <c r="D54" s="8">
        <v>0.39</v>
      </c>
      <c r="E54" s="22">
        <f>B54*(1-C54)*D54</f>
        <v>1995.2751000000001</v>
      </c>
      <c r="F54" s="7">
        <v>1.33</v>
      </c>
      <c r="G54" s="7">
        <v>0</v>
      </c>
      <c r="H54" s="7">
        <v>1</v>
      </c>
      <c r="I54" s="7">
        <v>1</v>
      </c>
      <c r="J54" s="7">
        <v>1.33</v>
      </c>
      <c r="K54" s="3">
        <v>1500</v>
      </c>
      <c r="L54" s="3"/>
      <c r="M54" s="5">
        <v>5194</v>
      </c>
      <c r="N54" s="9">
        <v>0.114</v>
      </c>
      <c r="O54" s="9">
        <v>0.34439999999999998</v>
      </c>
      <c r="P54" s="5">
        <v>1585</v>
      </c>
      <c r="Q54" s="9">
        <v>1.2746</v>
      </c>
      <c r="R54" s="9">
        <v>0</v>
      </c>
      <c r="S54" s="9">
        <v>1</v>
      </c>
      <c r="T54" s="9">
        <f>1+((S54-1)*R54)</f>
        <v>1</v>
      </c>
      <c r="U54" s="9">
        <f t="shared" ref="U54" si="23">Q54*T54</f>
        <v>1.2746</v>
      </c>
      <c r="V54" s="10">
        <f t="shared" si="18"/>
        <v>1243.527381139181</v>
      </c>
      <c r="W54" s="3"/>
      <c r="X54" s="3"/>
      <c r="Y54" s="3"/>
      <c r="Z54" s="3"/>
      <c r="AA54" s="3"/>
    </row>
    <row r="55" spans="1:27" x14ac:dyDescent="0.25">
      <c r="A55" t="s">
        <v>45</v>
      </c>
      <c r="B55">
        <v>6250</v>
      </c>
      <c r="C55" s="8">
        <v>0.04</v>
      </c>
      <c r="D55" s="8">
        <v>0.3</v>
      </c>
      <c r="E55" s="3">
        <v>1800</v>
      </c>
      <c r="F55" s="7">
        <v>1</v>
      </c>
      <c r="G55" s="7">
        <v>0</v>
      </c>
      <c r="H55" s="7">
        <v>1</v>
      </c>
      <c r="I55" s="7">
        <v>1</v>
      </c>
      <c r="J55" s="7">
        <v>1</v>
      </c>
      <c r="K55" s="3">
        <v>1800</v>
      </c>
      <c r="M55" s="5">
        <v>6251</v>
      </c>
      <c r="N55" s="24">
        <v>6.8500000000000005E-2</v>
      </c>
      <c r="O55" s="24">
        <v>0.39300000000000002</v>
      </c>
      <c r="P55" s="5">
        <v>2289</v>
      </c>
      <c r="Q55" s="9">
        <v>1</v>
      </c>
      <c r="R55" s="24">
        <v>0</v>
      </c>
      <c r="S55" s="9">
        <v>1</v>
      </c>
      <c r="T55" s="24">
        <v>1</v>
      </c>
      <c r="U55" s="9">
        <f t="shared" si="17"/>
        <v>1</v>
      </c>
      <c r="V55" s="10">
        <f t="shared" si="18"/>
        <v>2289</v>
      </c>
    </row>
    <row r="56" spans="1:27" x14ac:dyDescent="0.25">
      <c r="T56" s="8"/>
    </row>
    <row r="57" spans="1:27" x14ac:dyDescent="0.25">
      <c r="A57" s="1" t="s">
        <v>63</v>
      </c>
      <c r="T57" s="8"/>
    </row>
    <row r="58" spans="1:27" x14ac:dyDescent="0.25">
      <c r="T58" s="8"/>
    </row>
    <row r="59" spans="1:27" x14ac:dyDescent="0.25">
      <c r="A59" t="s">
        <v>65</v>
      </c>
      <c r="B59">
        <v>1661</v>
      </c>
      <c r="C59">
        <v>6.4000000000000001E-2</v>
      </c>
      <c r="D59">
        <v>0.52200000000000002</v>
      </c>
      <c r="E59">
        <v>811</v>
      </c>
      <c r="F59" s="8">
        <v>1</v>
      </c>
      <c r="G59" s="8">
        <v>0</v>
      </c>
      <c r="H59" s="8">
        <v>1</v>
      </c>
      <c r="I59" s="8">
        <v>1</v>
      </c>
      <c r="J59" s="8">
        <v>1</v>
      </c>
      <c r="K59" s="13">
        <v>811</v>
      </c>
      <c r="M59" s="2">
        <v>1661</v>
      </c>
      <c r="N59" s="2">
        <v>0.1057</v>
      </c>
      <c r="O59" s="24">
        <v>0.37569999999999998</v>
      </c>
      <c r="P59" s="2">
        <v>555</v>
      </c>
      <c r="Q59" s="24">
        <v>1.0003</v>
      </c>
      <c r="R59" s="24">
        <v>0</v>
      </c>
      <c r="S59" s="24">
        <v>1</v>
      </c>
      <c r="T59" s="9">
        <f>1+((S59-1)*R59)</f>
        <v>1</v>
      </c>
      <c r="U59" s="9">
        <f t="shared" ref="U59" si="24">Q59*T59</f>
        <v>1.0003</v>
      </c>
      <c r="V59" s="10">
        <f t="shared" ref="V59" si="25">P59/U59</f>
        <v>554.83354993501951</v>
      </c>
    </row>
    <row r="60" spans="1:27" x14ac:dyDescent="0.25">
      <c r="A60" t="s">
        <v>66</v>
      </c>
      <c r="B60">
        <v>1870</v>
      </c>
      <c r="C60">
        <v>3.6999999999999998E-2</v>
      </c>
      <c r="D60">
        <v>0.624</v>
      </c>
      <c r="E60">
        <v>1124</v>
      </c>
      <c r="F60" s="8">
        <v>1</v>
      </c>
      <c r="G60" s="8">
        <v>0.04</v>
      </c>
      <c r="H60" s="8">
        <v>6.0090000000000003</v>
      </c>
      <c r="I60" s="8">
        <v>1.2</v>
      </c>
      <c r="J60" s="8">
        <v>1.2</v>
      </c>
      <c r="K60">
        <v>937</v>
      </c>
      <c r="M60" s="2">
        <v>1870</v>
      </c>
      <c r="N60" s="2">
        <v>6.4699999999999994E-2</v>
      </c>
      <c r="O60" s="24">
        <v>0.44700000000000001</v>
      </c>
      <c r="P60" s="2">
        <v>786</v>
      </c>
      <c r="Q60" s="24">
        <v>1.0006999999999999</v>
      </c>
      <c r="R60" s="24">
        <f>G60</f>
        <v>0.04</v>
      </c>
      <c r="S60" s="24">
        <f>P60/187</f>
        <v>4.2032085561497325</v>
      </c>
      <c r="T60" s="9">
        <f>1+((S60-1)*R60)</f>
        <v>1.1281283422459893</v>
      </c>
      <c r="U60" s="9">
        <f t="shared" ref="U60" si="26">Q60*T60</f>
        <v>1.1289180320855614</v>
      </c>
      <c r="V60" s="10">
        <f t="shared" ref="V60:V61" si="27">P60/U60</f>
        <v>696.24186846226985</v>
      </c>
    </row>
    <row r="61" spans="1:27" x14ac:dyDescent="0.25">
      <c r="A61" t="s">
        <v>62</v>
      </c>
      <c r="B61">
        <v>3531</v>
      </c>
      <c r="C61" s="8"/>
      <c r="D61" s="8"/>
      <c r="E61" s="26">
        <f>E59+E60</f>
        <v>1935</v>
      </c>
      <c r="F61" s="8"/>
      <c r="G61" s="8"/>
      <c r="H61" s="8"/>
      <c r="I61" s="8"/>
      <c r="J61" s="21">
        <f>(0.458*J59)+(0.542*J60)</f>
        <v>1.1084000000000001</v>
      </c>
      <c r="K61">
        <v>1746</v>
      </c>
      <c r="M61" s="2">
        <v>3531</v>
      </c>
      <c r="N61" s="2"/>
      <c r="O61" s="24"/>
      <c r="P61" s="2">
        <f>P59+P60</f>
        <v>1341</v>
      </c>
      <c r="Q61" s="2"/>
      <c r="R61" s="2"/>
      <c r="S61" s="2"/>
      <c r="T61" s="24"/>
      <c r="U61" s="9">
        <f>(0.458*U59)+(0.542*U60)</f>
        <v>1.0700109733903744</v>
      </c>
      <c r="V61" s="10">
        <f t="shared" si="27"/>
        <v>1253.2581752418721</v>
      </c>
    </row>
    <row r="62" spans="1:27" x14ac:dyDescent="0.25">
      <c r="A62" t="s">
        <v>60</v>
      </c>
      <c r="B62">
        <v>5930</v>
      </c>
      <c r="C62" s="8">
        <v>8.6999999999999994E-2</v>
      </c>
      <c r="D62" s="8">
        <v>0.42399999999999999</v>
      </c>
      <c r="E62">
        <v>2296</v>
      </c>
      <c r="F62" s="8">
        <v>1.23</v>
      </c>
      <c r="G62" s="8">
        <v>0.05</v>
      </c>
      <c r="H62" s="8">
        <v>5.87</v>
      </c>
      <c r="I62" s="8">
        <v>1.244</v>
      </c>
      <c r="J62" s="8">
        <v>1.53</v>
      </c>
      <c r="K62" s="13">
        <v>1500</v>
      </c>
      <c r="M62" s="2">
        <v>5885</v>
      </c>
      <c r="N62" s="2">
        <v>6.25E-2</v>
      </c>
      <c r="O62" s="24">
        <v>0.20830000000000001</v>
      </c>
      <c r="P62" s="2">
        <v>1149</v>
      </c>
      <c r="Q62" s="2">
        <v>1.2350000000000001</v>
      </c>
      <c r="R62" s="24">
        <f>G62</f>
        <v>0.05</v>
      </c>
      <c r="S62" s="24">
        <f>P62/391</f>
        <v>2.9386189258312019</v>
      </c>
      <c r="T62" s="9">
        <f>1+((S62-1)*R62)</f>
        <v>1.0969309462915602</v>
      </c>
      <c r="U62" s="9">
        <f t="shared" ref="U62" si="28">Q62*T62</f>
        <v>1.3547097186700769</v>
      </c>
      <c r="V62" s="10">
        <f t="shared" ref="V62" si="29">P62/U62</f>
        <v>848.15217914578568</v>
      </c>
    </row>
    <row r="63" spans="1:27" x14ac:dyDescent="0.25">
      <c r="A63" t="s">
        <v>59</v>
      </c>
      <c r="B63">
        <v>3750</v>
      </c>
      <c r="C63" s="8">
        <v>0.08</v>
      </c>
      <c r="D63" s="8">
        <v>0.65</v>
      </c>
      <c r="E63">
        <v>2243</v>
      </c>
      <c r="F63" s="8">
        <v>1.2509999999999999</v>
      </c>
      <c r="G63" s="8">
        <v>0.08</v>
      </c>
      <c r="H63" s="8">
        <v>3.5880000000000001</v>
      </c>
      <c r="I63" s="8">
        <v>1.2070000000000001</v>
      </c>
      <c r="J63" s="8">
        <v>1.51</v>
      </c>
      <c r="K63">
        <v>1485</v>
      </c>
      <c r="M63" s="2">
        <v>5000</v>
      </c>
      <c r="N63" s="2">
        <v>6.3200000000000006E-2</v>
      </c>
      <c r="O63" s="24">
        <v>0.4</v>
      </c>
      <c r="P63" s="2">
        <v>1770</v>
      </c>
      <c r="Q63" s="24">
        <v>1.764</v>
      </c>
      <c r="R63" s="24">
        <f>G63</f>
        <v>0.08</v>
      </c>
      <c r="S63" s="2">
        <f>P63/625</f>
        <v>2.8319999999999999</v>
      </c>
      <c r="T63" s="9">
        <f>1+((S63-1)*R63)</f>
        <v>1.14656</v>
      </c>
      <c r="U63" s="9">
        <f t="shared" ref="U63" si="30">Q63*T63</f>
        <v>2.0225318400000001</v>
      </c>
      <c r="V63" s="10">
        <f t="shared" ref="V63" si="31">P63/U63</f>
        <v>875.14073449642206</v>
      </c>
    </row>
    <row r="64" spans="1:27" x14ac:dyDescent="0.25">
      <c r="A64" t="s">
        <v>57</v>
      </c>
      <c r="B64">
        <v>4000</v>
      </c>
      <c r="C64" s="8">
        <v>0.02</v>
      </c>
      <c r="D64" s="8">
        <v>0.55000000000000004</v>
      </c>
      <c r="E64">
        <v>2156</v>
      </c>
      <c r="F64" s="8">
        <v>1.2250000000000001</v>
      </c>
      <c r="G64" s="8">
        <v>0.153</v>
      </c>
      <c r="H64" s="8">
        <v>8.6240000000000006</v>
      </c>
      <c r="I64" s="8">
        <v>2.1659999999999999</v>
      </c>
      <c r="J64" s="8">
        <v>2.653</v>
      </c>
      <c r="K64">
        <v>813</v>
      </c>
      <c r="M64" s="2">
        <v>4000</v>
      </c>
      <c r="N64" s="2">
        <v>7.7999999999999996E-3</v>
      </c>
      <c r="O64" s="2">
        <v>0.30499999999999999</v>
      </c>
      <c r="P64" s="2">
        <v>1211</v>
      </c>
      <c r="Q64" s="2">
        <v>1.232</v>
      </c>
      <c r="R64" s="2">
        <f>G64</f>
        <v>0.153</v>
      </c>
      <c r="S64" s="2">
        <v>4.8440000000000003</v>
      </c>
      <c r="T64" s="9">
        <f>1+((S64-1)*R64)</f>
        <v>1.5881319999999999</v>
      </c>
      <c r="U64" s="9">
        <f t="shared" ref="U64" si="32">Q64*T64</f>
        <v>1.9565786239999998</v>
      </c>
      <c r="V64" s="10">
        <f t="shared" ref="V64" si="33">P64/U64</f>
        <v>618.93756026233689</v>
      </c>
    </row>
    <row r="65" spans="1:22" x14ac:dyDescent="0.25">
      <c r="A65" t="s">
        <v>61</v>
      </c>
      <c r="B65">
        <v>4400</v>
      </c>
      <c r="C65" s="8">
        <v>0.03</v>
      </c>
      <c r="D65" s="8">
        <v>0.25</v>
      </c>
      <c r="E65">
        <v>1067</v>
      </c>
      <c r="F65" s="8">
        <v>1</v>
      </c>
      <c r="G65" s="8">
        <v>0</v>
      </c>
      <c r="H65" s="8">
        <v>1</v>
      </c>
      <c r="I65" s="8">
        <v>1</v>
      </c>
      <c r="J65" s="8">
        <v>1</v>
      </c>
      <c r="K65">
        <v>1067</v>
      </c>
      <c r="M65" s="23">
        <v>4400</v>
      </c>
      <c r="N65" s="25">
        <v>3.0000000000000001E-3</v>
      </c>
      <c r="O65" s="2">
        <v>0.247</v>
      </c>
      <c r="P65" s="2">
        <v>1056</v>
      </c>
      <c r="Q65" s="24">
        <v>1.0000599999999999</v>
      </c>
      <c r="R65" s="24">
        <v>0</v>
      </c>
      <c r="S65" s="24">
        <v>1</v>
      </c>
      <c r="T65" s="9">
        <f>1+((S65-1)*R65)</f>
        <v>1</v>
      </c>
      <c r="U65" s="9">
        <f t="shared" ref="U65" si="34">Q65*T65</f>
        <v>1.0000599999999999</v>
      </c>
      <c r="V65" s="10">
        <f t="shared" ref="V65" si="35">P65/U65</f>
        <v>1055.9366438013719</v>
      </c>
    </row>
    <row r="67" spans="1:22" x14ac:dyDescent="0.25">
      <c r="A67" s="1" t="s">
        <v>67</v>
      </c>
    </row>
    <row r="68" spans="1:22" x14ac:dyDescent="0.25">
      <c r="A68" s="1"/>
    </row>
    <row r="69" spans="1:22" x14ac:dyDescent="0.25">
      <c r="A69" s="27" t="s">
        <v>68</v>
      </c>
      <c r="B69" s="27">
        <v>3722</v>
      </c>
      <c r="C69" s="8">
        <v>8.4000000000000005E-2</v>
      </c>
      <c r="D69" s="29">
        <v>0.2</v>
      </c>
      <c r="E69" s="22">
        <f>B69*(1-C69)*D69</f>
        <v>681.87040000000013</v>
      </c>
      <c r="F69" s="29">
        <v>1.26</v>
      </c>
      <c r="G69" s="29">
        <v>0</v>
      </c>
      <c r="H69" s="29">
        <v>1</v>
      </c>
      <c r="I69" s="29">
        <v>1</v>
      </c>
      <c r="J69" s="29">
        <v>1.26</v>
      </c>
      <c r="K69" s="30">
        <f>E69/J69</f>
        <v>541.16698412698418</v>
      </c>
      <c r="L69" s="27"/>
      <c r="M69" s="28">
        <v>4089</v>
      </c>
      <c r="N69" s="28">
        <v>1.2E-2</v>
      </c>
      <c r="O69" s="28">
        <v>0.151</v>
      </c>
      <c r="P69" s="28">
        <v>610</v>
      </c>
      <c r="Q69" s="32">
        <v>1.2110000000000001</v>
      </c>
      <c r="R69" s="32">
        <v>0</v>
      </c>
      <c r="S69" s="32">
        <v>1</v>
      </c>
      <c r="T69" s="32">
        <v>1</v>
      </c>
      <c r="U69" s="9">
        <f t="shared" ref="U69:U70" si="36">Q69*T69</f>
        <v>1.2110000000000001</v>
      </c>
      <c r="V69" s="10">
        <f t="shared" ref="V69:V71" si="37">P69/U69</f>
        <v>503.71593724194878</v>
      </c>
    </row>
    <row r="70" spans="1:22" x14ac:dyDescent="0.25">
      <c r="A70" s="27" t="s">
        <v>69</v>
      </c>
      <c r="B70" s="27">
        <v>1778</v>
      </c>
      <c r="C70" s="8">
        <v>8.4000000000000005E-2</v>
      </c>
      <c r="D70" s="29">
        <v>0.222</v>
      </c>
      <c r="E70" s="22">
        <f>B70*(1-C70)*D70</f>
        <v>361.55985600000002</v>
      </c>
      <c r="F70" s="29">
        <v>1.26</v>
      </c>
      <c r="G70" s="29">
        <v>0.03</v>
      </c>
      <c r="H70" s="29">
        <v>7.532</v>
      </c>
      <c r="I70" s="29">
        <v>1.196</v>
      </c>
      <c r="J70" s="29">
        <v>1.5069999999999999</v>
      </c>
      <c r="K70" s="30">
        <f>E70/J70</f>
        <v>239.92027604512279</v>
      </c>
      <c r="L70" s="27"/>
      <c r="M70" s="28">
        <v>1951</v>
      </c>
      <c r="N70" s="28">
        <v>1.6E-2</v>
      </c>
      <c r="O70" s="28">
        <v>0.13800000000000001</v>
      </c>
      <c r="P70" s="28">
        <v>265</v>
      </c>
      <c r="Q70" s="32">
        <v>1.4370000000000001</v>
      </c>
      <c r="R70" s="32">
        <f>G70</f>
        <v>0.03</v>
      </c>
      <c r="S70" s="32">
        <v>5.52</v>
      </c>
      <c r="T70" s="9">
        <f>1+((S70-1)*R70)</f>
        <v>1.1355999999999999</v>
      </c>
      <c r="U70" s="9">
        <f t="shared" si="36"/>
        <v>1.6318572</v>
      </c>
      <c r="V70" s="10">
        <f t="shared" si="37"/>
        <v>162.3916602506641</v>
      </c>
    </row>
    <row r="71" spans="1:22" x14ac:dyDescent="0.25">
      <c r="A71" t="s">
        <v>58</v>
      </c>
      <c r="B71">
        <v>5500</v>
      </c>
      <c r="D71" s="8"/>
      <c r="E71">
        <v>1044</v>
      </c>
      <c r="F71" s="8"/>
      <c r="G71" s="8"/>
      <c r="H71" s="8"/>
      <c r="I71" s="8"/>
      <c r="J71" s="14">
        <f>(0.677*J69)+(0.323*J70)</f>
        <v>1.3397810000000001</v>
      </c>
      <c r="K71" s="31">
        <f t="shared" ref="K71" si="38">E71/J71</f>
        <v>779.23182967962668</v>
      </c>
      <c r="M71" s="23">
        <v>6040</v>
      </c>
      <c r="N71" s="24"/>
      <c r="O71" s="24"/>
      <c r="P71" s="23">
        <v>875</v>
      </c>
      <c r="Q71" s="24"/>
      <c r="R71" s="24"/>
      <c r="S71" s="24"/>
      <c r="T71" s="9"/>
      <c r="U71" s="9">
        <f>(0.677*U69)+(0.323*U70)</f>
        <v>1.3469368756</v>
      </c>
      <c r="V71" s="10">
        <f t="shared" si="37"/>
        <v>649.62212843881548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Lynn</dc:creator>
  <cp:lastModifiedBy>Peter Lynn</cp:lastModifiedBy>
  <dcterms:created xsi:type="dcterms:W3CDTF">2022-09-15T13:19:16Z</dcterms:created>
  <dcterms:modified xsi:type="dcterms:W3CDTF">2023-05-23T10:03:18Z</dcterms:modified>
</cp:coreProperties>
</file>