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jeune1102\Desktop\"/>
    </mc:Choice>
  </mc:AlternateContent>
  <xr:revisionPtr revIDLastSave="0" documentId="8_{DAEDDA82-70D2-42C5-B6F4-C0FBB0082A2E}" xr6:coauthVersionLast="44" xr6:coauthVersionMax="44" xr10:uidLastSave="{00000000-0000-0000-0000-000000000000}"/>
  <workbookProtection workbookAlgorithmName="SHA-512" workbookHashValue="q9qklc48MgN/UGSBtsvCt877EWkU0icd4dXj4jTlA3SfQnkw356XKLZ0iO1xHm7tUDmkLRte5uVml75YQJEPKA==" workbookSaltValue="Zj8r7w3A0/+MqavwM6Ly6w==" workbookSpinCount="100000" lockStructure="1"/>
  <bookViews>
    <workbookView minimized="1" xWindow="11865" yWindow="1860" windowWidth="9315" windowHeight="7875" xr2:uid="{00000000-000D-0000-FFFF-FFFF00000000}"/>
  </bookViews>
  <sheets>
    <sheet name="Feuil1" sheetId="1" r:id="rId1"/>
    <sheet name="Feuil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G7" i="2" l="1"/>
  <c r="F7" i="2" l="1"/>
  <c r="X9" i="2" l="1"/>
  <c r="B4" i="2" l="1"/>
  <c r="J11" i="1"/>
  <c r="A11" i="2" l="1"/>
  <c r="B11" i="2" s="1"/>
  <c r="C11" i="2" l="1"/>
  <c r="D11" i="2" s="1"/>
  <c r="E11" i="2" s="1"/>
  <c r="B59" i="2" s="1"/>
  <c r="B129" i="2" l="1"/>
  <c r="F129" i="2" s="1"/>
  <c r="B53" i="2"/>
  <c r="F53" i="2" s="1"/>
  <c r="B26" i="2"/>
  <c r="F26" i="2" s="1"/>
  <c r="B73" i="2"/>
  <c r="F73" i="2" s="1"/>
  <c r="B134" i="2"/>
  <c r="F134" i="2" s="1"/>
  <c r="B96" i="2"/>
  <c r="F96" i="2" s="1"/>
  <c r="B116" i="2"/>
  <c r="F116" i="2" s="1"/>
  <c r="B120" i="2"/>
  <c r="F120" i="2" s="1"/>
  <c r="B86" i="2"/>
  <c r="F86" i="2" s="1"/>
  <c r="B118" i="2"/>
  <c r="F118" i="2" s="1"/>
  <c r="B49" i="2"/>
  <c r="F49" i="2" s="1"/>
  <c r="B117" i="2"/>
  <c r="B74" i="2"/>
  <c r="F74" i="2" s="1"/>
  <c r="B32" i="2"/>
  <c r="F32" i="2" s="1"/>
  <c r="B94" i="2"/>
  <c r="F94" i="2" s="1"/>
  <c r="B52" i="2"/>
  <c r="B77" i="2"/>
  <c r="F77" i="2" s="1"/>
  <c r="B30" i="2"/>
  <c r="F30" i="2" s="1"/>
  <c r="B98" i="2"/>
  <c r="F98" i="2" s="1"/>
  <c r="B34" i="2"/>
  <c r="F34" i="2" s="1"/>
  <c r="B81" i="2"/>
  <c r="B65" i="2"/>
  <c r="F65" i="2" s="1"/>
  <c r="B76" i="2"/>
  <c r="B92" i="2"/>
  <c r="F92" i="2" s="1"/>
  <c r="B38" i="2"/>
  <c r="F38" i="2" s="1"/>
  <c r="B128" i="2"/>
  <c r="B106" i="2"/>
  <c r="F106" i="2" s="1"/>
  <c r="B85" i="2"/>
  <c r="B64" i="2"/>
  <c r="F64" i="2" s="1"/>
  <c r="B42" i="2"/>
  <c r="F42" i="2" s="1"/>
  <c r="B126" i="2"/>
  <c r="F126" i="2" s="1"/>
  <c r="B105" i="2"/>
  <c r="F105" i="2" s="1"/>
  <c r="B84" i="2"/>
  <c r="F84" i="2" s="1"/>
  <c r="B62" i="2"/>
  <c r="F62" i="2" s="1"/>
  <c r="B41" i="2"/>
  <c r="F41" i="2" s="1"/>
  <c r="B130" i="2"/>
  <c r="B109" i="2"/>
  <c r="F109" i="2" s="1"/>
  <c r="B88" i="2"/>
  <c r="F88" i="2" s="1"/>
  <c r="B56" i="2"/>
  <c r="F56" i="2" s="1"/>
  <c r="B131" i="2"/>
  <c r="B107" i="2"/>
  <c r="F107" i="2" s="1"/>
  <c r="B102" i="2"/>
  <c r="F102" i="2" s="1"/>
  <c r="B60" i="2"/>
  <c r="F60" i="2" s="1"/>
  <c r="B108" i="2"/>
  <c r="F108" i="2" s="1"/>
  <c r="B124" i="2"/>
  <c r="F124" i="2" s="1"/>
  <c r="B97" i="2"/>
  <c r="D96" i="2" s="1"/>
  <c r="E96" i="2" s="1"/>
  <c r="B54" i="2"/>
  <c r="B113" i="2"/>
  <c r="B70" i="2"/>
  <c r="F70" i="2" s="1"/>
  <c r="B44" i="2"/>
  <c r="F44" i="2" s="1"/>
  <c r="B33" i="2"/>
  <c r="F33" i="2" s="1"/>
  <c r="B133" i="2"/>
  <c r="F133" i="2" s="1"/>
  <c r="B122" i="2"/>
  <c r="F122" i="2" s="1"/>
  <c r="B112" i="2"/>
  <c r="F112" i="2" s="1"/>
  <c r="B101" i="2"/>
  <c r="F101" i="2" s="1"/>
  <c r="B90" i="2"/>
  <c r="F90" i="2" s="1"/>
  <c r="B80" i="2"/>
  <c r="C80" i="2" s="1"/>
  <c r="I80" i="2" s="1"/>
  <c r="B69" i="2"/>
  <c r="B58" i="2"/>
  <c r="F58" i="2" s="1"/>
  <c r="B48" i="2"/>
  <c r="B37" i="2"/>
  <c r="F37" i="2" s="1"/>
  <c r="B132" i="2"/>
  <c r="F132" i="2" s="1"/>
  <c r="B121" i="2"/>
  <c r="F121" i="2" s="1"/>
  <c r="B110" i="2"/>
  <c r="F110" i="2" s="1"/>
  <c r="B100" i="2"/>
  <c r="F100" i="2" s="1"/>
  <c r="B89" i="2"/>
  <c r="F89" i="2" s="1"/>
  <c r="B78" i="2"/>
  <c r="F78" i="2" s="1"/>
  <c r="B68" i="2"/>
  <c r="B57" i="2"/>
  <c r="B46" i="2"/>
  <c r="F46" i="2" s="1"/>
  <c r="B36" i="2"/>
  <c r="F36" i="2" s="1"/>
  <c r="B136" i="2"/>
  <c r="C136" i="2" s="1"/>
  <c r="I136" i="2" s="1"/>
  <c r="J136" i="2" s="1"/>
  <c r="K136" i="2" s="1"/>
  <c r="B125" i="2"/>
  <c r="D124" i="2" s="1"/>
  <c r="E124" i="2" s="1"/>
  <c r="B114" i="2"/>
  <c r="B104" i="2"/>
  <c r="F104" i="2" s="1"/>
  <c r="B93" i="2"/>
  <c r="D92" i="2" s="1"/>
  <c r="E92" i="2" s="1"/>
  <c r="B82" i="2"/>
  <c r="D81" i="2" s="1"/>
  <c r="E81" i="2" s="1"/>
  <c r="B66" i="2"/>
  <c r="B45" i="2"/>
  <c r="F45" i="2" s="1"/>
  <c r="B28" i="2"/>
  <c r="F28" i="2" s="1"/>
  <c r="B123" i="2"/>
  <c r="F123" i="2" s="1"/>
  <c r="B83" i="2"/>
  <c r="F83" i="2" s="1"/>
  <c r="B115" i="2"/>
  <c r="F115" i="2" s="1"/>
  <c r="B95" i="2"/>
  <c r="B67" i="2"/>
  <c r="F67" i="2" s="1"/>
  <c r="B72" i="2"/>
  <c r="B61" i="2"/>
  <c r="B50" i="2"/>
  <c r="B40" i="2"/>
  <c r="B29" i="2"/>
  <c r="B135" i="2"/>
  <c r="B127" i="2"/>
  <c r="B119" i="2"/>
  <c r="B111" i="2"/>
  <c r="B99" i="2"/>
  <c r="B91" i="2"/>
  <c r="B79" i="2"/>
  <c r="B63" i="2"/>
  <c r="F59" i="2"/>
  <c r="B47" i="2"/>
  <c r="B39" i="2"/>
  <c r="B75" i="2"/>
  <c r="B55" i="2"/>
  <c r="B35" i="2"/>
  <c r="B103" i="2"/>
  <c r="B87" i="2"/>
  <c r="B71" i="2"/>
  <c r="B51" i="2"/>
  <c r="B31" i="2"/>
  <c r="B43" i="2"/>
  <c r="B27" i="2"/>
  <c r="D130" i="2" l="1"/>
  <c r="E130" i="2" s="1"/>
  <c r="C65" i="2"/>
  <c r="I65" i="2" s="1"/>
  <c r="D76" i="2"/>
  <c r="E76" i="2" s="1"/>
  <c r="D113" i="2"/>
  <c r="E113" i="2" s="1"/>
  <c r="D56" i="2"/>
  <c r="E56" i="2" s="1"/>
  <c r="D95" i="2"/>
  <c r="E95" i="2" s="1"/>
  <c r="C68" i="2"/>
  <c r="I68" i="2" s="1"/>
  <c r="D52" i="2"/>
  <c r="E52" i="2" s="1"/>
  <c r="C117" i="2"/>
  <c r="I117" i="2" s="1"/>
  <c r="F80" i="2"/>
  <c r="D129" i="2"/>
  <c r="E129" i="2" s="1"/>
  <c r="D128" i="2"/>
  <c r="E128" i="2" s="1"/>
  <c r="D117" i="2"/>
  <c r="E117" i="2" s="1"/>
  <c r="C72" i="2"/>
  <c r="I72" i="2" s="1"/>
  <c r="D53" i="2"/>
  <c r="E53" i="2" s="1"/>
  <c r="C77" i="2"/>
  <c r="I77" i="2" s="1"/>
  <c r="D115" i="2"/>
  <c r="E115" i="2" s="1"/>
  <c r="D59" i="2"/>
  <c r="E59" i="2" s="1"/>
  <c r="C118" i="2"/>
  <c r="I118" i="2" s="1"/>
  <c r="C61" i="2"/>
  <c r="I61" i="2" s="1"/>
  <c r="C100" i="2"/>
  <c r="I100" i="2" s="1"/>
  <c r="C116" i="2"/>
  <c r="I116" i="2" s="1"/>
  <c r="D125" i="2"/>
  <c r="E125" i="2" s="1"/>
  <c r="D73" i="2"/>
  <c r="E73" i="2" s="1"/>
  <c r="C98" i="2"/>
  <c r="I98" i="2" s="1"/>
  <c r="C134" i="2"/>
  <c r="I134" i="2" s="1"/>
  <c r="F54" i="2"/>
  <c r="C133" i="2"/>
  <c r="I133" i="2" s="1"/>
  <c r="F131" i="2"/>
  <c r="D133" i="2"/>
  <c r="E133" i="2" s="1"/>
  <c r="D93" i="2"/>
  <c r="E93" i="2" s="1"/>
  <c r="C86" i="2"/>
  <c r="I86" i="2" s="1"/>
  <c r="C125" i="2"/>
  <c r="I125" i="2" s="1"/>
  <c r="C73" i="2"/>
  <c r="I73" i="2" s="1"/>
  <c r="D58" i="2"/>
  <c r="E58" i="2" s="1"/>
  <c r="D61" i="2"/>
  <c r="E61" i="2" s="1"/>
  <c r="C106" i="2"/>
  <c r="I106" i="2" s="1"/>
  <c r="C126" i="2"/>
  <c r="I126" i="2" s="1"/>
  <c r="C49" i="2"/>
  <c r="I49" i="2" s="1"/>
  <c r="D36" i="2"/>
  <c r="E36" i="2" s="1"/>
  <c r="D121" i="2"/>
  <c r="E121" i="2" s="1"/>
  <c r="D123" i="2"/>
  <c r="E123" i="2" s="1"/>
  <c r="D37" i="2"/>
  <c r="E37" i="2" s="1"/>
  <c r="F76" i="2"/>
  <c r="D48" i="2"/>
  <c r="E48" i="2" s="1"/>
  <c r="D112" i="2"/>
  <c r="E112" i="2" s="1"/>
  <c r="D85" i="2"/>
  <c r="E85" i="2" s="1"/>
  <c r="D32" i="2"/>
  <c r="E32" i="2" s="1"/>
  <c r="D116" i="2"/>
  <c r="E116" i="2" s="1"/>
  <c r="C33" i="2"/>
  <c r="I33" i="2" s="1"/>
  <c r="C128" i="2"/>
  <c r="I128" i="2" s="1"/>
  <c r="C51" i="2"/>
  <c r="I51" i="2" s="1"/>
  <c r="C39" i="2"/>
  <c r="I39" i="2" s="1"/>
  <c r="D94" i="2"/>
  <c r="E94" i="2" s="1"/>
  <c r="F130" i="2"/>
  <c r="F117" i="2"/>
  <c r="F68" i="2"/>
  <c r="F97" i="2"/>
  <c r="C135" i="2"/>
  <c r="I135" i="2" s="1"/>
  <c r="J135" i="2" s="1"/>
  <c r="K135" i="2" s="1"/>
  <c r="C52" i="2"/>
  <c r="I52" i="2" s="1"/>
  <c r="C130" i="2"/>
  <c r="I130" i="2" s="1"/>
  <c r="C94" i="2"/>
  <c r="I94" i="2" s="1"/>
  <c r="D114" i="2"/>
  <c r="E114" i="2" s="1"/>
  <c r="F66" i="2"/>
  <c r="D97" i="2"/>
  <c r="E97" i="2" s="1"/>
  <c r="F52" i="2"/>
  <c r="C129" i="2"/>
  <c r="I129" i="2" s="1"/>
  <c r="D88" i="2"/>
  <c r="E88" i="2" s="1"/>
  <c r="F128" i="2"/>
  <c r="C64" i="2"/>
  <c r="I64" i="2" s="1"/>
  <c r="D80" i="2"/>
  <c r="E80" i="2" s="1"/>
  <c r="C57" i="2"/>
  <c r="I57" i="2" s="1"/>
  <c r="C37" i="2"/>
  <c r="I37" i="2" s="1"/>
  <c r="C115" i="2"/>
  <c r="I115" i="2" s="1"/>
  <c r="C76" i="2"/>
  <c r="I76" i="2" s="1"/>
  <c r="D75" i="2"/>
  <c r="E75" i="2" s="1"/>
  <c r="C32" i="2"/>
  <c r="I32" i="2" s="1"/>
  <c r="D106" i="2"/>
  <c r="E106" i="2" s="1"/>
  <c r="D122" i="2"/>
  <c r="E122" i="2" s="1"/>
  <c r="D84" i="2"/>
  <c r="E84" i="2" s="1"/>
  <c r="D105" i="2"/>
  <c r="E105" i="2" s="1"/>
  <c r="F82" i="2"/>
  <c r="F125" i="2"/>
  <c r="F57" i="2"/>
  <c r="D77" i="2"/>
  <c r="E77" i="2" s="1"/>
  <c r="D120" i="2"/>
  <c r="E120" i="2" s="1"/>
  <c r="C122" i="2"/>
  <c r="I122" i="2" s="1"/>
  <c r="C124" i="2"/>
  <c r="I124" i="2" s="1"/>
  <c r="C67" i="2"/>
  <c r="I67" i="2" s="1"/>
  <c r="D68" i="2"/>
  <c r="E68" i="2" s="1"/>
  <c r="C93" i="2"/>
  <c r="I93" i="2" s="1"/>
  <c r="C66" i="2"/>
  <c r="I66" i="2" s="1"/>
  <c r="C84" i="2"/>
  <c r="I84" i="2" s="1"/>
  <c r="C85" i="2"/>
  <c r="I85" i="2" s="1"/>
  <c r="C92" i="2"/>
  <c r="I92" i="2" s="1"/>
  <c r="C47" i="2"/>
  <c r="I47" i="2" s="1"/>
  <c r="C48" i="2"/>
  <c r="I48" i="2" s="1"/>
  <c r="D27" i="2"/>
  <c r="E27" i="2" s="1"/>
  <c r="D87" i="2"/>
  <c r="E87" i="2" s="1"/>
  <c r="D47" i="2"/>
  <c r="E47" i="2" s="1"/>
  <c r="D108" i="2"/>
  <c r="E108" i="2" s="1"/>
  <c r="D83" i="2"/>
  <c r="E83" i="2" s="1"/>
  <c r="F85" i="2"/>
  <c r="C62" i="2"/>
  <c r="I62" i="2" s="1"/>
  <c r="C91" i="2"/>
  <c r="I91" i="2" s="1"/>
  <c r="C29" i="2"/>
  <c r="I29" i="2" s="1"/>
  <c r="F93" i="2"/>
  <c r="F114" i="2"/>
  <c r="F136" i="2"/>
  <c r="G136" i="2" s="1"/>
  <c r="H136" i="2" s="1"/>
  <c r="D109" i="2"/>
  <c r="E109" i="2" s="1"/>
  <c r="D131" i="2"/>
  <c r="E131" i="2" s="1"/>
  <c r="F48" i="2"/>
  <c r="D132" i="2"/>
  <c r="E132" i="2" s="1"/>
  <c r="C44" i="2"/>
  <c r="I44" i="2" s="1"/>
  <c r="D101" i="2"/>
  <c r="E101" i="2" s="1"/>
  <c r="C87" i="2"/>
  <c r="I87" i="2" s="1"/>
  <c r="C75" i="2"/>
  <c r="I75" i="2" s="1"/>
  <c r="D29" i="2"/>
  <c r="E29" i="2" s="1"/>
  <c r="D44" i="2"/>
  <c r="E44" i="2" s="1"/>
  <c r="D104" i="2"/>
  <c r="E104" i="2" s="1"/>
  <c r="D57" i="2"/>
  <c r="E57" i="2" s="1"/>
  <c r="D100" i="2"/>
  <c r="E100" i="2" s="1"/>
  <c r="D41" i="2"/>
  <c r="E41" i="2" s="1"/>
  <c r="D64" i="2"/>
  <c r="E64" i="2" s="1"/>
  <c r="C81" i="2"/>
  <c r="I81" i="2" s="1"/>
  <c r="C104" i="2"/>
  <c r="I104" i="2" s="1"/>
  <c r="C36" i="2"/>
  <c r="I36" i="2" s="1"/>
  <c r="C78" i="2"/>
  <c r="I78" i="2" s="1"/>
  <c r="C121" i="2"/>
  <c r="I121" i="2" s="1"/>
  <c r="C59" i="2"/>
  <c r="I59" i="2" s="1"/>
  <c r="C123" i="2"/>
  <c r="I123" i="2" s="1"/>
  <c r="C109" i="2"/>
  <c r="I109" i="2" s="1"/>
  <c r="C41" i="2"/>
  <c r="I41" i="2" s="1"/>
  <c r="C105" i="2"/>
  <c r="I105" i="2" s="1"/>
  <c r="C58" i="2"/>
  <c r="I58" i="2" s="1"/>
  <c r="C99" i="2"/>
  <c r="I99" i="2" s="1"/>
  <c r="C53" i="2"/>
  <c r="I53" i="2" s="1"/>
  <c r="C56" i="2"/>
  <c r="I56" i="2" s="1"/>
  <c r="C120" i="2"/>
  <c r="I120" i="2" s="1"/>
  <c r="D82" i="2"/>
  <c r="E82" i="2" s="1"/>
  <c r="D33" i="2"/>
  <c r="E33" i="2" s="1"/>
  <c r="D72" i="2"/>
  <c r="E72" i="2" s="1"/>
  <c r="D63" i="2"/>
  <c r="E63" i="2" s="1"/>
  <c r="C79" i="2"/>
  <c r="I79" i="2" s="1"/>
  <c r="D40" i="2"/>
  <c r="E40" i="2" s="1"/>
  <c r="F81" i="2"/>
  <c r="D45" i="2"/>
  <c r="E45" i="2" s="1"/>
  <c r="D67" i="2"/>
  <c r="E67" i="2" s="1"/>
  <c r="D69" i="2"/>
  <c r="E69" i="2" s="1"/>
  <c r="C108" i="2"/>
  <c r="I108" i="2" s="1"/>
  <c r="D89" i="2"/>
  <c r="E89" i="2" s="1"/>
  <c r="C113" i="2"/>
  <c r="I113" i="2" s="1"/>
  <c r="C74" i="2"/>
  <c r="I74" i="2" s="1"/>
  <c r="C119" i="2"/>
  <c r="I119" i="2" s="1"/>
  <c r="C40" i="2"/>
  <c r="I40" i="2" s="1"/>
  <c r="C82" i="2"/>
  <c r="I82" i="2" s="1"/>
  <c r="C101" i="2"/>
  <c r="I101" i="2" s="1"/>
  <c r="C95" i="2"/>
  <c r="I95" i="2" s="1"/>
  <c r="C97" i="2"/>
  <c r="I97" i="2" s="1"/>
  <c r="C107" i="2"/>
  <c r="I107" i="2" s="1"/>
  <c r="C45" i="2"/>
  <c r="I45" i="2" s="1"/>
  <c r="C88" i="2"/>
  <c r="I88" i="2" s="1"/>
  <c r="C114" i="2"/>
  <c r="I114" i="2" s="1"/>
  <c r="C132" i="2"/>
  <c r="I132" i="2" s="1"/>
  <c r="C112" i="2"/>
  <c r="I112" i="2" s="1"/>
  <c r="C89" i="2"/>
  <c r="I89" i="2" s="1"/>
  <c r="C83" i="2"/>
  <c r="I83" i="2" s="1"/>
  <c r="C131" i="2"/>
  <c r="I131" i="2" s="1"/>
  <c r="C96" i="2"/>
  <c r="I96" i="2" s="1"/>
  <c r="D66" i="2"/>
  <c r="E66" i="2" s="1"/>
  <c r="F95" i="2"/>
  <c r="D65" i="2"/>
  <c r="E65" i="2" s="1"/>
  <c r="D119" i="2"/>
  <c r="E119" i="2" s="1"/>
  <c r="C111" i="2"/>
  <c r="I111" i="2" s="1"/>
  <c r="D136" i="2"/>
  <c r="E136" i="2" s="1"/>
  <c r="F69" i="2"/>
  <c r="C69" i="2"/>
  <c r="I69" i="2" s="1"/>
  <c r="F113" i="2"/>
  <c r="D107" i="2"/>
  <c r="E107" i="2" s="1"/>
  <c r="C50" i="2"/>
  <c r="I50" i="2" s="1"/>
  <c r="C28" i="2"/>
  <c r="I28" i="2" s="1"/>
  <c r="C43" i="2"/>
  <c r="I43" i="2" s="1"/>
  <c r="F43" i="2"/>
  <c r="D42" i="2"/>
  <c r="E42" i="2" s="1"/>
  <c r="C31" i="2"/>
  <c r="I31" i="2" s="1"/>
  <c r="F31" i="2"/>
  <c r="D30" i="2"/>
  <c r="E30" i="2" s="1"/>
  <c r="C70" i="2"/>
  <c r="I70" i="2" s="1"/>
  <c r="D70" i="2"/>
  <c r="E70" i="2" s="1"/>
  <c r="F71" i="2"/>
  <c r="C102" i="2"/>
  <c r="I102" i="2" s="1"/>
  <c r="D102" i="2"/>
  <c r="E102" i="2" s="1"/>
  <c r="F103" i="2"/>
  <c r="C54" i="2"/>
  <c r="I54" i="2" s="1"/>
  <c r="F55" i="2"/>
  <c r="D54" i="2"/>
  <c r="E54" i="2" s="1"/>
  <c r="D55" i="2"/>
  <c r="E55" i="2" s="1"/>
  <c r="C63" i="2"/>
  <c r="I63" i="2" s="1"/>
  <c r="F63" i="2"/>
  <c r="D62" i="2"/>
  <c r="E62" i="2" s="1"/>
  <c r="D90" i="2"/>
  <c r="E90" i="2" s="1"/>
  <c r="F91" i="2"/>
  <c r="D110" i="2"/>
  <c r="E110" i="2" s="1"/>
  <c r="F111" i="2"/>
  <c r="C127" i="2"/>
  <c r="I127" i="2" s="1"/>
  <c r="D126" i="2"/>
  <c r="E126" i="2" s="1"/>
  <c r="F127" i="2"/>
  <c r="F29" i="2"/>
  <c r="D28" i="2"/>
  <c r="E28" i="2" s="1"/>
  <c r="F50" i="2"/>
  <c r="D49" i="2"/>
  <c r="E49" i="2" s="1"/>
  <c r="F72" i="2"/>
  <c r="D71" i="2"/>
  <c r="E71" i="2" s="1"/>
  <c r="D111" i="2"/>
  <c r="E111" i="2" s="1"/>
  <c r="D127" i="2"/>
  <c r="E127" i="2" s="1"/>
  <c r="D91" i="2"/>
  <c r="E91" i="2" s="1"/>
  <c r="C26" i="2"/>
  <c r="I26" i="2" s="1"/>
  <c r="F27" i="2"/>
  <c r="D26" i="2"/>
  <c r="E26" i="2" s="1"/>
  <c r="F51" i="2"/>
  <c r="D50" i="2"/>
  <c r="E50" i="2" s="1"/>
  <c r="D86" i="2"/>
  <c r="E86" i="2" s="1"/>
  <c r="F87" i="2"/>
  <c r="C35" i="2"/>
  <c r="I35" i="2" s="1"/>
  <c r="F35" i="2"/>
  <c r="D34" i="2"/>
  <c r="E34" i="2" s="1"/>
  <c r="D74" i="2"/>
  <c r="E74" i="2" s="1"/>
  <c r="F75" i="2"/>
  <c r="C38" i="2"/>
  <c r="I38" i="2" s="1"/>
  <c r="F39" i="2"/>
  <c r="D38" i="2"/>
  <c r="E38" i="2" s="1"/>
  <c r="C46" i="2"/>
  <c r="I46" i="2" s="1"/>
  <c r="F47" i="2"/>
  <c r="D46" i="2"/>
  <c r="E46" i="2" s="1"/>
  <c r="D51" i="2"/>
  <c r="E51" i="2" s="1"/>
  <c r="D31" i="2"/>
  <c r="E31" i="2" s="1"/>
  <c r="D78" i="2"/>
  <c r="E78" i="2" s="1"/>
  <c r="F79" i="2"/>
  <c r="D98" i="2"/>
  <c r="E98" i="2" s="1"/>
  <c r="F99" i="2"/>
  <c r="D118" i="2"/>
  <c r="E118" i="2" s="1"/>
  <c r="F119" i="2"/>
  <c r="D134" i="2"/>
  <c r="E134" i="2" s="1"/>
  <c r="F135" i="2"/>
  <c r="F40" i="2"/>
  <c r="D39" i="2"/>
  <c r="E39" i="2" s="1"/>
  <c r="F61" i="2"/>
  <c r="D60" i="2"/>
  <c r="E60" i="2" s="1"/>
  <c r="D103" i="2"/>
  <c r="E103" i="2" s="1"/>
  <c r="D135" i="2"/>
  <c r="E135" i="2" s="1"/>
  <c r="D35" i="2"/>
  <c r="E35" i="2" s="1"/>
  <c r="D99" i="2"/>
  <c r="E99" i="2" s="1"/>
  <c r="C110" i="2"/>
  <c r="I110" i="2" s="1"/>
  <c r="D79" i="2"/>
  <c r="E79" i="2" s="1"/>
  <c r="C90" i="2"/>
  <c r="I90" i="2" s="1"/>
  <c r="D43" i="2"/>
  <c r="E43" i="2" s="1"/>
  <c r="C60" i="2"/>
  <c r="I60" i="2" s="1"/>
  <c r="C55" i="2"/>
  <c r="I55" i="2" s="1"/>
  <c r="C71" i="2"/>
  <c r="I71" i="2" s="1"/>
  <c r="C34" i="2"/>
  <c r="I34" i="2" s="1"/>
  <c r="C30" i="2"/>
  <c r="I30" i="2" s="1"/>
  <c r="C103" i="2"/>
  <c r="I103" i="2" s="1"/>
  <c r="C27" i="2"/>
  <c r="I27" i="2" s="1"/>
  <c r="C42" i="2"/>
  <c r="I42" i="2" s="1"/>
  <c r="A16" i="2" l="1"/>
  <c r="B16" i="2"/>
  <c r="C16" i="2"/>
  <c r="J127" i="2"/>
  <c r="J122" i="2"/>
  <c r="G135" i="2"/>
  <c r="H135" i="2" s="1"/>
  <c r="J131" i="2"/>
  <c r="J132" i="2"/>
  <c r="J133" i="2"/>
  <c r="J134" i="2"/>
  <c r="K134" i="2" s="1"/>
  <c r="J128" i="2"/>
  <c r="G122" i="2"/>
  <c r="G97" i="2"/>
  <c r="G92" i="2"/>
  <c r="J129" i="2"/>
  <c r="J130" i="2"/>
  <c r="G108" i="2"/>
  <c r="G58" i="2"/>
  <c r="G65" i="2"/>
  <c r="J111" i="2"/>
  <c r="G38" i="2"/>
  <c r="G89" i="2"/>
  <c r="J42" i="2"/>
  <c r="J103" i="2"/>
  <c r="G102" i="2"/>
  <c r="G37" i="2"/>
  <c r="J121" i="2"/>
  <c r="J124" i="2"/>
  <c r="J110" i="2"/>
  <c r="J123" i="2"/>
  <c r="J113" i="2"/>
  <c r="G48" i="2"/>
  <c r="G81" i="2"/>
  <c r="G70" i="2"/>
  <c r="J33" i="2"/>
  <c r="J48" i="2"/>
  <c r="J75" i="2"/>
  <c r="G115" i="2"/>
  <c r="G95" i="2"/>
  <c r="G77" i="2"/>
  <c r="G76" i="2"/>
  <c r="G49" i="2"/>
  <c r="G128" i="2"/>
  <c r="J59" i="2"/>
  <c r="G133" i="2"/>
  <c r="G112" i="2"/>
  <c r="G132" i="2"/>
  <c r="G125" i="2"/>
  <c r="G93" i="2"/>
  <c r="G61" i="2"/>
  <c r="G46" i="2"/>
  <c r="J37" i="2"/>
  <c r="G30" i="2"/>
  <c r="G84" i="2"/>
  <c r="G120" i="2"/>
  <c r="J100" i="2"/>
  <c r="J27" i="2"/>
  <c r="J30" i="2"/>
  <c r="J71" i="2"/>
  <c r="J81" i="2"/>
  <c r="J44" i="2"/>
  <c r="G40" i="2"/>
  <c r="G118" i="2"/>
  <c r="J106" i="2"/>
  <c r="G73" i="2"/>
  <c r="G109" i="2"/>
  <c r="G88" i="2"/>
  <c r="G56" i="2"/>
  <c r="G34" i="2"/>
  <c r="G67" i="2"/>
  <c r="J46" i="2"/>
  <c r="G39" i="2"/>
  <c r="J32" i="2"/>
  <c r="G75" i="2"/>
  <c r="J35" i="2"/>
  <c r="G51" i="2"/>
  <c r="J74" i="2"/>
  <c r="J99" i="2"/>
  <c r="J26" i="2"/>
  <c r="J73" i="2"/>
  <c r="J72" i="2"/>
  <c r="J76" i="2"/>
  <c r="J64" i="2"/>
  <c r="J62" i="2"/>
  <c r="J88" i="2"/>
  <c r="J97" i="2"/>
  <c r="J36" i="2"/>
  <c r="J61" i="2"/>
  <c r="J93" i="2"/>
  <c r="J82" i="2"/>
  <c r="J65" i="2"/>
  <c r="J108" i="2"/>
  <c r="G54" i="2"/>
  <c r="G113" i="2"/>
  <c r="G33" i="2"/>
  <c r="G90" i="2"/>
  <c r="J69" i="2"/>
  <c r="G121" i="2"/>
  <c r="G100" i="2"/>
  <c r="G68" i="2"/>
  <c r="G114" i="2"/>
  <c r="G82" i="2"/>
  <c r="G72" i="2"/>
  <c r="G50" i="2"/>
  <c r="G29" i="2"/>
  <c r="G111" i="2"/>
  <c r="G91" i="2"/>
  <c r="J63" i="2"/>
  <c r="G134" i="2"/>
  <c r="G106" i="2"/>
  <c r="G74" i="2"/>
  <c r="G53" i="2"/>
  <c r="G32" i="2"/>
  <c r="G116" i="2"/>
  <c r="G52" i="2"/>
  <c r="G131" i="2"/>
  <c r="J79" i="2"/>
  <c r="J120" i="2"/>
  <c r="J54" i="2"/>
  <c r="G71" i="2"/>
  <c r="J70" i="2"/>
  <c r="G31" i="2"/>
  <c r="J96" i="2"/>
  <c r="J43" i="2"/>
  <c r="J116" i="2"/>
  <c r="J112" i="2"/>
  <c r="J114" i="2"/>
  <c r="J47" i="2"/>
  <c r="J85" i="2"/>
  <c r="J84" i="2"/>
  <c r="J109" i="2"/>
  <c r="J28" i="2"/>
  <c r="J115" i="2"/>
  <c r="J40" i="2"/>
  <c r="J34" i="2"/>
  <c r="J55" i="2"/>
  <c r="J60" i="2"/>
  <c r="J90" i="2"/>
  <c r="G119" i="2"/>
  <c r="G99" i="2"/>
  <c r="G79" i="2"/>
  <c r="G86" i="2"/>
  <c r="G129" i="2"/>
  <c r="G85" i="2"/>
  <c r="G105" i="2"/>
  <c r="G98" i="2"/>
  <c r="G66" i="2"/>
  <c r="G45" i="2"/>
  <c r="G28" i="2"/>
  <c r="G59" i="2"/>
  <c r="G47" i="2"/>
  <c r="J38" i="2"/>
  <c r="J77" i="2"/>
  <c r="G35" i="2"/>
  <c r="G87" i="2"/>
  <c r="J86" i="2"/>
  <c r="J94" i="2"/>
  <c r="J67" i="2"/>
  <c r="G27" i="2"/>
  <c r="G26" i="2"/>
  <c r="J58" i="2"/>
  <c r="J68" i="2"/>
  <c r="J105" i="2"/>
  <c r="J45" i="2"/>
  <c r="J91" i="2"/>
  <c r="J52" i="2"/>
  <c r="J50" i="2"/>
  <c r="J80" i="2"/>
  <c r="J78" i="2"/>
  <c r="J104" i="2"/>
  <c r="J87" i="2"/>
  <c r="J95" i="2"/>
  <c r="J57" i="2"/>
  <c r="J39" i="2"/>
  <c r="G60" i="2"/>
  <c r="G124" i="2"/>
  <c r="G44" i="2"/>
  <c r="G101" i="2"/>
  <c r="G80" i="2"/>
  <c r="G69" i="2"/>
  <c r="G110" i="2"/>
  <c r="G78" i="2"/>
  <c r="G57" i="2"/>
  <c r="E16" i="2" s="1"/>
  <c r="G36" i="2"/>
  <c r="G104" i="2"/>
  <c r="G127" i="2"/>
  <c r="G63" i="2"/>
  <c r="J118" i="2"/>
  <c r="G117" i="2"/>
  <c r="G96" i="2"/>
  <c r="G64" i="2"/>
  <c r="G42" i="2"/>
  <c r="G126" i="2"/>
  <c r="G94" i="2"/>
  <c r="G62" i="2"/>
  <c r="G41" i="2"/>
  <c r="G130" i="2"/>
  <c r="J98" i="2"/>
  <c r="G123" i="2"/>
  <c r="G107" i="2"/>
  <c r="G83" i="2"/>
  <c r="J49" i="2"/>
  <c r="J56" i="2"/>
  <c r="G55" i="2"/>
  <c r="G103" i="2"/>
  <c r="J102" i="2"/>
  <c r="J31" i="2"/>
  <c r="J53" i="2"/>
  <c r="J83" i="2"/>
  <c r="G43" i="2"/>
  <c r="J89" i="2"/>
  <c r="J51" i="2"/>
  <c r="J29" i="2"/>
  <c r="J92" i="2"/>
  <c r="J126" i="2"/>
  <c r="J41" i="2"/>
  <c r="J66" i="2"/>
  <c r="J107" i="2"/>
  <c r="J117" i="2"/>
  <c r="J101" i="2"/>
  <c r="J125" i="2"/>
  <c r="J119" i="2"/>
  <c r="M16" i="2" l="1"/>
  <c r="L16" i="2"/>
  <c r="K16" i="2"/>
  <c r="J16" i="2"/>
  <c r="G16" i="2"/>
  <c r="A21" i="2"/>
  <c r="B21" i="2"/>
  <c r="F16" i="2"/>
  <c r="I16" i="2"/>
  <c r="D16" i="2"/>
  <c r="H21" i="2" s="1"/>
  <c r="H16" i="2"/>
  <c r="K133" i="2"/>
  <c r="K132" i="2"/>
  <c r="K131" i="2"/>
  <c r="H134" i="2"/>
  <c r="K129" i="2"/>
  <c r="K125" i="2"/>
  <c r="K126" i="2"/>
  <c r="K127" i="2"/>
  <c r="K130" i="2"/>
  <c r="K128" i="2"/>
  <c r="K119" i="2"/>
  <c r="H103" i="2"/>
  <c r="H123" i="2"/>
  <c r="H130" i="2"/>
  <c r="H125" i="2"/>
  <c r="H48" i="2"/>
  <c r="K75" i="2"/>
  <c r="K111" i="2"/>
  <c r="H49" i="2"/>
  <c r="H37" i="2"/>
  <c r="H92" i="2"/>
  <c r="H95" i="2"/>
  <c r="K101" i="2"/>
  <c r="K107" i="2"/>
  <c r="K92" i="2"/>
  <c r="K83" i="2"/>
  <c r="H83" i="2"/>
  <c r="H62" i="2"/>
  <c r="H64" i="2"/>
  <c r="H117" i="2"/>
  <c r="H63" i="2"/>
  <c r="H127" i="2"/>
  <c r="H36" i="2"/>
  <c r="H78" i="2"/>
  <c r="H69" i="2"/>
  <c r="H101" i="2"/>
  <c r="H44" i="2"/>
  <c r="H124" i="2"/>
  <c r="K39" i="2"/>
  <c r="K95" i="2"/>
  <c r="K104" i="2"/>
  <c r="K80" i="2"/>
  <c r="K52" i="2"/>
  <c r="K45" i="2"/>
  <c r="K105" i="2"/>
  <c r="H26" i="2"/>
  <c r="K67" i="2"/>
  <c r="K86" i="2"/>
  <c r="H35" i="2"/>
  <c r="K38" i="2"/>
  <c r="H59" i="2"/>
  <c r="H45" i="2"/>
  <c r="H98" i="2"/>
  <c r="H85" i="2"/>
  <c r="H86" i="2"/>
  <c r="H99" i="2"/>
  <c r="H89" i="2"/>
  <c r="K90" i="2"/>
  <c r="H70" i="2"/>
  <c r="K60" i="2"/>
  <c r="H81" i="2"/>
  <c r="K34" i="2"/>
  <c r="K40" i="2"/>
  <c r="K28" i="2"/>
  <c r="K84" i="2"/>
  <c r="K47" i="2"/>
  <c r="K112" i="2"/>
  <c r="K43" i="2"/>
  <c r="K96" i="2"/>
  <c r="K70" i="2"/>
  <c r="K54" i="2"/>
  <c r="K79" i="2"/>
  <c r="H52" i="2"/>
  <c r="H32" i="2"/>
  <c r="H74" i="2"/>
  <c r="H91" i="2"/>
  <c r="H29" i="2"/>
  <c r="H72" i="2"/>
  <c r="H114" i="2"/>
  <c r="H100" i="2"/>
  <c r="K69" i="2"/>
  <c r="H33" i="2"/>
  <c r="H54" i="2"/>
  <c r="K65" i="2"/>
  <c r="K93" i="2"/>
  <c r="K36" i="2"/>
  <c r="K97" i="2"/>
  <c r="K88" i="2"/>
  <c r="K64" i="2"/>
  <c r="K72" i="2"/>
  <c r="K26" i="2"/>
  <c r="K74" i="2"/>
  <c r="K35" i="2"/>
  <c r="K32" i="2"/>
  <c r="K46" i="2"/>
  <c r="H34" i="2"/>
  <c r="H88" i="2"/>
  <c r="H73" i="2"/>
  <c r="H118" i="2"/>
  <c r="H61" i="2"/>
  <c r="H133" i="2"/>
  <c r="H97" i="2"/>
  <c r="H102" i="2"/>
  <c r="K81" i="2"/>
  <c r="K30" i="2"/>
  <c r="K42" i="2"/>
  <c r="K33" i="2"/>
  <c r="K100" i="2"/>
  <c r="H84" i="2"/>
  <c r="K37" i="2"/>
  <c r="K41" i="2"/>
  <c r="K89" i="2"/>
  <c r="K31" i="2"/>
  <c r="K56" i="2"/>
  <c r="H126" i="2"/>
  <c r="K117" i="2"/>
  <c r="K66" i="2"/>
  <c r="K29" i="2"/>
  <c r="K51" i="2"/>
  <c r="H43" i="2"/>
  <c r="K53" i="2"/>
  <c r="K102" i="2"/>
  <c r="H55" i="2"/>
  <c r="K49" i="2"/>
  <c r="H107" i="2"/>
  <c r="K98" i="2"/>
  <c r="H41" i="2"/>
  <c r="H94" i="2"/>
  <c r="H42" i="2"/>
  <c r="H96" i="2"/>
  <c r="K118" i="2"/>
  <c r="H104" i="2"/>
  <c r="H57" i="2"/>
  <c r="H110" i="2"/>
  <c r="H80" i="2"/>
  <c r="K122" i="2"/>
  <c r="K113" i="2"/>
  <c r="H60" i="2"/>
  <c r="K57" i="2"/>
  <c r="K87" i="2"/>
  <c r="K78" i="2"/>
  <c r="K50" i="2"/>
  <c r="K91" i="2"/>
  <c r="K68" i="2"/>
  <c r="K58" i="2"/>
  <c r="H27" i="2"/>
  <c r="K94" i="2"/>
  <c r="H87" i="2"/>
  <c r="K77" i="2"/>
  <c r="H47" i="2"/>
  <c r="H28" i="2"/>
  <c r="H66" i="2"/>
  <c r="H105" i="2"/>
  <c r="H129" i="2"/>
  <c r="H79" i="2"/>
  <c r="H119" i="2"/>
  <c r="K110" i="2"/>
  <c r="H58" i="2"/>
  <c r="H122" i="2"/>
  <c r="K124" i="2"/>
  <c r="H128" i="2"/>
  <c r="H76" i="2"/>
  <c r="K55" i="2"/>
  <c r="K103" i="2"/>
  <c r="K115" i="2"/>
  <c r="K109" i="2"/>
  <c r="K85" i="2"/>
  <c r="K114" i="2"/>
  <c r="K116" i="2"/>
  <c r="H31" i="2"/>
  <c r="H71" i="2"/>
  <c r="K120" i="2"/>
  <c r="H131" i="2"/>
  <c r="H116" i="2"/>
  <c r="H53" i="2"/>
  <c r="H106" i="2"/>
  <c r="K63" i="2"/>
  <c r="H111" i="2"/>
  <c r="H50" i="2"/>
  <c r="H82" i="2"/>
  <c r="H68" i="2"/>
  <c r="H121" i="2"/>
  <c r="H90" i="2"/>
  <c r="H113" i="2"/>
  <c r="K108" i="2"/>
  <c r="K82" i="2"/>
  <c r="K61" i="2"/>
  <c r="K121" i="2"/>
  <c r="K123" i="2"/>
  <c r="K62" i="2"/>
  <c r="K76" i="2"/>
  <c r="K73" i="2"/>
  <c r="K99" i="2"/>
  <c r="H51" i="2"/>
  <c r="H75" i="2"/>
  <c r="H39" i="2"/>
  <c r="H67" i="2"/>
  <c r="H56" i="2"/>
  <c r="H109" i="2"/>
  <c r="K106" i="2"/>
  <c r="H40" i="2"/>
  <c r="H93" i="2"/>
  <c r="H132" i="2"/>
  <c r="H112" i="2"/>
  <c r="K44" i="2"/>
  <c r="H108" i="2"/>
  <c r="H38" i="2"/>
  <c r="H65" i="2"/>
  <c r="K71" i="2"/>
  <c r="K27" i="2"/>
  <c r="H77" i="2"/>
  <c r="H115" i="2"/>
  <c r="K48" i="2"/>
  <c r="K59" i="2"/>
  <c r="H120" i="2"/>
  <c r="H30" i="2"/>
  <c r="H46" i="2"/>
  <c r="L21" i="2" l="1"/>
  <c r="U16" i="2"/>
  <c r="U24" i="2"/>
  <c r="U14" i="2"/>
  <c r="U18" i="2" s="1"/>
  <c r="D21" i="2"/>
  <c r="V16" i="2" s="1"/>
  <c r="F21" i="2"/>
  <c r="W16" i="2" s="1"/>
  <c r="W20" i="2" s="1"/>
  <c r="K21" i="2"/>
  <c r="J21" i="2"/>
  <c r="M21" i="2"/>
  <c r="Y14" i="2" s="1"/>
  <c r="O21" i="2"/>
  <c r="Z14" i="2" s="1"/>
  <c r="I21" i="2"/>
  <c r="G21" i="2"/>
  <c r="E21" i="2"/>
  <c r="W14" i="2" s="1"/>
  <c r="C21" i="2"/>
  <c r="V14" i="2" s="1"/>
  <c r="N21" i="2"/>
  <c r="P21" i="2"/>
  <c r="Z20" i="2" l="1"/>
  <c r="Z16" i="2"/>
  <c r="X24" i="2"/>
  <c r="X20" i="2"/>
  <c r="X16" i="2"/>
  <c r="Y24" i="2"/>
  <c r="Y20" i="2"/>
  <c r="Y16" i="2"/>
  <c r="V20" i="2"/>
  <c r="U15" i="2"/>
  <c r="W18" i="2"/>
  <c r="W22" i="2" s="1"/>
  <c r="R21" i="2"/>
  <c r="Z15" i="2"/>
  <c r="Z18" i="2"/>
  <c r="Z22" i="2" s="1"/>
  <c r="U20" i="2"/>
  <c r="V18" i="2"/>
  <c r="V22" i="2" s="1"/>
  <c r="U22" i="2"/>
  <c r="Q21" i="2"/>
  <c r="X14" i="2"/>
  <c r="G16" i="1" s="1"/>
  <c r="U19" i="2"/>
  <c r="W24" i="2"/>
  <c r="Y15" i="2"/>
  <c r="Y18" i="2"/>
  <c r="V24" i="2"/>
  <c r="Y22" i="2" l="1"/>
  <c r="Y23" i="2" s="1"/>
  <c r="Y19" i="2"/>
  <c r="X18" i="2"/>
  <c r="G21" i="1" s="1"/>
  <c r="X15" i="2"/>
  <c r="U23" i="2"/>
  <c r="G18" i="1" l="1"/>
  <c r="G17" i="1"/>
  <c r="X19" i="2"/>
  <c r="X22" i="2"/>
  <c r="Z19" i="2"/>
  <c r="Z23" i="2"/>
  <c r="Z24" i="2" s="1"/>
  <c r="X23" i="2" l="1"/>
  <c r="G26" i="1"/>
  <c r="G23" i="1"/>
  <c r="G22" i="1"/>
  <c r="G28" i="1" l="1"/>
  <c r="G27" i="1"/>
</calcChain>
</file>

<file path=xl/sharedStrings.xml><?xml version="1.0" encoding="utf-8"?>
<sst xmlns="http://schemas.openxmlformats.org/spreadsheetml/2006/main" count="114" uniqueCount="108">
  <si>
    <t>Type de produit</t>
  </si>
  <si>
    <t>Taux d'intérêt technique(i)</t>
  </si>
  <si>
    <t xml:space="preserve">Durée du contrat(n) </t>
  </si>
  <si>
    <t>Durée de payement des primes(m)</t>
  </si>
  <si>
    <t>Rente(Re)</t>
  </si>
  <si>
    <t>Chargement d'inventaire(g)</t>
  </si>
  <si>
    <t>g</t>
  </si>
  <si>
    <t>MR</t>
  </si>
  <si>
    <t>MK</t>
  </si>
  <si>
    <t>FR</t>
  </si>
  <si>
    <t>FK</t>
  </si>
  <si>
    <t>table</t>
  </si>
  <si>
    <t>sexe</t>
  </si>
  <si>
    <t>age</t>
  </si>
  <si>
    <t>CHARGEMENTS DE SECURITE</t>
  </si>
  <si>
    <t>INFORMATIONS SUR L'ASSURE</t>
  </si>
  <si>
    <t>CARACTERISTIQUES DU CONTRAT</t>
  </si>
  <si>
    <t>Chargement d'encaissement(ε)</t>
  </si>
  <si>
    <t>Capital vie(Kv)</t>
  </si>
  <si>
    <t>Capital décès(Kd)</t>
  </si>
  <si>
    <t>Instant de calcul des provisions(kp)</t>
  </si>
  <si>
    <t>TARIF COMMERCIAL</t>
  </si>
  <si>
    <t>TARIF D'INVENTAIRE</t>
  </si>
  <si>
    <t>TARIF PURE</t>
  </si>
  <si>
    <t>Prime unique(TCu)</t>
  </si>
  <si>
    <t>Prime annuelle(TCa)</t>
  </si>
  <si>
    <t>Provision(PC)</t>
  </si>
  <si>
    <t>Prime unique (TIu)</t>
  </si>
  <si>
    <t>Prime annuelle(TIa)</t>
  </si>
  <si>
    <t>Provision(PI)</t>
  </si>
  <si>
    <t>Prime unique(TPu)</t>
  </si>
  <si>
    <t>Prime annuelle(TPa)</t>
  </si>
  <si>
    <t>Provision(PP)</t>
  </si>
  <si>
    <t>Age corrigé</t>
  </si>
  <si>
    <t>Correction d'âge(Co)</t>
  </si>
  <si>
    <t>Rente viagère temporaire</t>
  </si>
  <si>
    <t xml:space="preserve">OUTIL DE TARIFICATION ET  RESERVATION DES PRODUITS </t>
  </si>
  <si>
    <t>Durées max</t>
  </si>
  <si>
    <t>Contrat</t>
  </si>
  <si>
    <t>Primes</t>
  </si>
  <si>
    <t>k</t>
  </si>
  <si>
    <t>s</t>
  </si>
  <si>
    <t>c</t>
  </si>
  <si>
    <r>
      <t>D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</si>
  <si>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4"/>
        <color theme="1"/>
        <rFont val="Calibri"/>
        <family val="2"/>
        <scheme val="minor"/>
      </rPr>
      <t>x+n</t>
    </r>
  </si>
  <si>
    <r>
      <t>D</t>
    </r>
    <r>
      <rPr>
        <b/>
        <vertAlign val="subscript"/>
        <sz val="14"/>
        <color theme="1"/>
        <rFont val="Calibri"/>
        <family val="2"/>
        <scheme val="minor"/>
      </rPr>
      <t>x+kp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</si>
  <si>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</si>
  <si>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x+1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</si>
  <si>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x+n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</si>
  <si>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x+n+1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</si>
  <si>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x+m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</si>
  <si>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x+kp</t>
    </r>
  </si>
  <si>
    <r>
      <t>N</t>
    </r>
    <r>
      <rPr>
        <b/>
        <vertAlign val="subscript"/>
        <sz val="14"/>
        <color theme="1"/>
        <rFont val="Calibri"/>
        <family val="2"/>
        <scheme val="minor"/>
      </rPr>
      <t>x+kp+1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</si>
  <si>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</si>
  <si>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x+n</t>
    </r>
  </si>
  <si>
    <r>
      <t>M</t>
    </r>
    <r>
      <rPr>
        <b/>
        <vertAlign val="subscript"/>
        <sz val="14"/>
        <color theme="1"/>
        <rFont val="Calibri"/>
        <family val="2"/>
        <scheme val="minor"/>
      </rPr>
      <t>x+kp</t>
    </r>
  </si>
  <si>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</si>
  <si>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rPr>
        <b/>
        <vertAlign val="subscript"/>
        <sz val="14"/>
        <color theme="1"/>
        <rFont val="Calibri"/>
        <family val="2"/>
        <scheme val="minor"/>
      </rPr>
      <t>n-k</t>
    </r>
    <r>
      <rPr>
        <b/>
        <sz val="14"/>
        <color theme="1"/>
        <rFont val="Calibri"/>
        <family val="2"/>
        <scheme val="minor"/>
      </rPr>
      <t>E</t>
    </r>
    <r>
      <rPr>
        <b/>
        <vertAlign val="subscript"/>
        <sz val="14"/>
        <color theme="1"/>
        <rFont val="Calibri"/>
        <family val="2"/>
        <scheme val="minor"/>
      </rPr>
      <t>x+k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</si>
  <si>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</si>
  <si>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x+k</t>
    </r>
  </si>
  <si>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a</t>
    </r>
    <r>
      <rPr>
        <b/>
        <vertAlign val="subscript"/>
        <sz val="14"/>
        <color theme="1"/>
        <rFont val="Calibri"/>
        <family val="2"/>
        <scheme val="minor"/>
      </rPr>
      <t>x</t>
    </r>
  </si>
  <si>
    <r>
      <rPr>
        <b/>
        <vertAlign val="subscript"/>
        <sz val="14"/>
        <color theme="1"/>
        <rFont val="Calibri"/>
        <family val="2"/>
        <scheme val="minor"/>
      </rPr>
      <t>n-k</t>
    </r>
    <r>
      <rPr>
        <b/>
        <sz val="14"/>
        <color theme="1"/>
        <rFont val="Calibri"/>
        <family val="2"/>
        <scheme val="minor"/>
      </rPr>
      <t>a</t>
    </r>
    <r>
      <rPr>
        <b/>
        <vertAlign val="subscript"/>
        <sz val="14"/>
        <color theme="1"/>
        <rFont val="Calibri"/>
        <family val="2"/>
        <scheme val="minor"/>
      </rPr>
      <t>x+k</t>
    </r>
  </si>
  <si>
    <r>
      <t>ä</t>
    </r>
    <r>
      <rPr>
        <b/>
        <vertAlign val="subscript"/>
        <sz val="14"/>
        <color theme="1"/>
        <rFont val="Calibri"/>
        <family val="2"/>
      </rPr>
      <t>x</t>
    </r>
  </si>
  <si>
    <r>
      <t>ä</t>
    </r>
    <r>
      <rPr>
        <b/>
        <vertAlign val="subscript"/>
        <sz val="14"/>
        <color theme="1"/>
        <rFont val="Calibri"/>
        <family val="2"/>
      </rPr>
      <t>x+k</t>
    </r>
  </si>
  <si>
    <r>
      <rPr>
        <b/>
        <vertAlign val="subscript"/>
        <sz val="14"/>
        <color theme="1"/>
        <rFont val="Calibri"/>
        <family val="2"/>
      </rPr>
      <t>n</t>
    </r>
    <r>
      <rPr>
        <b/>
        <sz val="14"/>
        <color theme="1"/>
        <rFont val="Calibri"/>
        <family val="2"/>
      </rPr>
      <t>ä</t>
    </r>
    <r>
      <rPr>
        <b/>
        <vertAlign val="subscript"/>
        <sz val="14"/>
        <color theme="1"/>
        <rFont val="Calibri"/>
        <family val="2"/>
      </rPr>
      <t>x</t>
    </r>
  </si>
  <si>
    <r>
      <rPr>
        <b/>
        <vertAlign val="subscript"/>
        <sz val="14"/>
        <color theme="1"/>
        <rFont val="Calibri"/>
        <family val="2"/>
      </rPr>
      <t>m</t>
    </r>
    <r>
      <rPr>
        <b/>
        <sz val="14"/>
        <color theme="1"/>
        <rFont val="Calibri"/>
        <family val="2"/>
      </rPr>
      <t>ä</t>
    </r>
    <r>
      <rPr>
        <b/>
        <vertAlign val="subscript"/>
        <sz val="14"/>
        <color theme="1"/>
        <rFont val="Calibri"/>
        <family val="2"/>
      </rPr>
      <t>x</t>
    </r>
  </si>
  <si>
    <r>
      <rPr>
        <b/>
        <vertAlign val="subscript"/>
        <sz val="14"/>
        <color theme="1"/>
        <rFont val="Calibri"/>
        <family val="2"/>
      </rPr>
      <t>m-k</t>
    </r>
    <r>
      <rPr>
        <b/>
        <sz val="14"/>
        <color theme="1"/>
        <rFont val="Calibri"/>
        <family val="2"/>
      </rPr>
      <t>ä</t>
    </r>
    <r>
      <rPr>
        <b/>
        <vertAlign val="subscript"/>
        <sz val="14"/>
        <color theme="1"/>
        <rFont val="Calibri"/>
        <family val="2"/>
      </rPr>
      <t>x+k</t>
    </r>
  </si>
  <si>
    <r>
      <t>A</t>
    </r>
    <r>
      <rPr>
        <b/>
        <vertAlign val="subscript"/>
        <sz val="14"/>
        <color theme="1"/>
        <rFont val="Calibri"/>
        <family val="2"/>
      </rPr>
      <t>x</t>
    </r>
  </si>
  <si>
    <r>
      <t>A</t>
    </r>
    <r>
      <rPr>
        <b/>
        <vertAlign val="subscript"/>
        <sz val="14"/>
        <color theme="1"/>
        <rFont val="Calibri"/>
        <family val="2"/>
      </rPr>
      <t>x+k</t>
    </r>
  </si>
  <si>
    <r>
      <rPr>
        <b/>
        <vertAlign val="subscript"/>
        <sz val="14"/>
        <color theme="1"/>
        <rFont val="Calibri"/>
        <family val="2"/>
      </rPr>
      <t>n</t>
    </r>
    <r>
      <rPr>
        <b/>
        <sz val="14"/>
        <color theme="1"/>
        <rFont val="Calibri"/>
        <family val="2"/>
      </rPr>
      <t>A</t>
    </r>
    <r>
      <rPr>
        <b/>
        <vertAlign val="subscript"/>
        <sz val="14"/>
        <color theme="1"/>
        <rFont val="Calibri"/>
        <family val="2"/>
      </rPr>
      <t>x</t>
    </r>
  </si>
  <si>
    <r>
      <rPr>
        <b/>
        <vertAlign val="subscript"/>
        <sz val="14"/>
        <color theme="1"/>
        <rFont val="Calibri"/>
        <family val="2"/>
      </rPr>
      <t>n-k</t>
    </r>
    <r>
      <rPr>
        <b/>
        <sz val="14"/>
        <color theme="1"/>
        <rFont val="Calibri"/>
        <family val="2"/>
      </rPr>
      <t>A</t>
    </r>
    <r>
      <rPr>
        <b/>
        <vertAlign val="subscript"/>
        <sz val="14"/>
        <color theme="1"/>
        <rFont val="Calibri"/>
        <family val="2"/>
      </rPr>
      <t>x+k</t>
    </r>
  </si>
  <si>
    <r>
      <t>A</t>
    </r>
    <r>
      <rPr>
        <b/>
        <vertAlign val="subscript"/>
        <sz val="14"/>
        <color theme="1"/>
        <rFont val="Calibri"/>
        <family val="2"/>
      </rPr>
      <t>x:n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</si>
  <si>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</si>
  <si>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</si>
  <si>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</si>
  <si>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q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</si>
  <si>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N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</si>
  <si>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</si>
  <si>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</si>
  <si>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</si>
  <si>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i/>
        <vertAlign val="subscript"/>
        <sz val="11"/>
        <color theme="1"/>
        <rFont val="Calibri"/>
        <family val="2"/>
        <scheme val="minor"/>
      </rPr>
      <t>x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</si>
  <si>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x</t>
    </r>
  </si>
  <si>
    <t>Rente viagère</t>
  </si>
  <si>
    <t>Assurance capital différé</t>
  </si>
  <si>
    <t>Assurance décès temporaire</t>
  </si>
  <si>
    <t>Assurance vie entière</t>
  </si>
  <si>
    <t>Assurance mixte</t>
  </si>
  <si>
    <t>index colonne</t>
  </si>
  <si>
    <t>Prime annuelle</t>
  </si>
  <si>
    <t>Prime unique</t>
  </si>
  <si>
    <t xml:space="preserve">Provision </t>
  </si>
  <si>
    <t>Tarif d'inventaire</t>
  </si>
  <si>
    <t>Tarif commercial</t>
  </si>
  <si>
    <t>Tarif pur</t>
  </si>
  <si>
    <t>Prime unique1</t>
  </si>
  <si>
    <t>Prime annuelle1</t>
  </si>
  <si>
    <t>Prime unique2</t>
  </si>
  <si>
    <t>Prime annuelle2</t>
  </si>
  <si>
    <t>Provision 2</t>
  </si>
  <si>
    <t>Provision 1</t>
  </si>
  <si>
    <r>
      <rPr>
        <b/>
        <vertAlign val="subscript"/>
        <sz val="14"/>
        <color theme="1"/>
        <rFont val="Calibri"/>
        <family val="2"/>
      </rPr>
      <t>n-k</t>
    </r>
    <r>
      <rPr>
        <b/>
        <sz val="14"/>
        <color theme="1"/>
        <rFont val="Calibri"/>
        <family val="2"/>
      </rPr>
      <t>ä</t>
    </r>
    <r>
      <rPr>
        <b/>
        <vertAlign val="subscript"/>
        <sz val="14"/>
        <color theme="1"/>
        <rFont val="Calibri"/>
        <family val="2"/>
      </rPr>
      <t>x+k</t>
    </r>
  </si>
  <si>
    <t>Non autorisée!</t>
  </si>
  <si>
    <r>
      <t>A</t>
    </r>
    <r>
      <rPr>
        <b/>
        <vertAlign val="subscript"/>
        <sz val="14"/>
        <color theme="1"/>
        <rFont val="Calibri"/>
        <family val="2"/>
      </rPr>
      <t>x+k:n+k</t>
    </r>
  </si>
  <si>
    <t>Homme</t>
  </si>
  <si>
    <r>
      <t>Chargement d'acquisition(</t>
    </r>
    <r>
      <rPr>
        <b/>
        <i/>
        <sz val="14"/>
        <color theme="1"/>
        <rFont val="Calibri"/>
        <family val="2"/>
      </rPr>
      <t>αᵥ</t>
    </r>
    <r>
      <rPr>
        <b/>
        <i/>
        <sz val="14"/>
        <color theme="1"/>
        <rFont val="Calibri"/>
        <family val="2"/>
        <scheme val="minor"/>
      </rPr>
      <t>)</t>
    </r>
  </si>
  <si>
    <r>
      <t>chargement d'acquisition(α</t>
    </r>
    <r>
      <rPr>
        <b/>
        <i/>
        <vertAlign val="subscript"/>
        <sz val="14"/>
        <color theme="1"/>
        <rFont val="Calibri"/>
        <family val="2"/>
        <scheme val="minor"/>
      </rPr>
      <t>d</t>
    </r>
    <r>
      <rPr>
        <b/>
        <i/>
        <sz val="14"/>
        <color theme="1"/>
        <rFont val="Calibri"/>
        <family val="2"/>
        <scheme val="minor"/>
      </rPr>
      <t>)</t>
    </r>
  </si>
  <si>
    <t>Age de l'assuré(ageentre)</t>
  </si>
  <si>
    <t>Sexe de l'assuré(sexe)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</si>
</sst>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€-40C]_-;\-* #,##0\ [$€-40C]_-;_-* &quot;-&quot;??\ [$€-40C]_-;_-@_-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</font>
    <font>
      <b/>
      <i/>
      <vertAlign val="subscript"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5" borderId="0" xfId="0" applyFill="1"/>
    <xf numFmtId="0" fontId="0" fillId="0" borderId="0" xfId="0" applyProtection="1"/>
    <xf numFmtId="0" fontId="0" fillId="0" borderId="0" xfId="0" applyAlignment="1" applyProtection="1"/>
    <xf numFmtId="0" fontId="2" fillId="0" borderId="15" xfId="0" applyFont="1" applyBorder="1" applyAlignment="1" applyProtection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36" xfId="0" applyFont="1" applyBorder="1" applyAlignment="1" applyProtection="1">
      <alignment horizontal="center"/>
    </xf>
    <xf numFmtId="0" fontId="2" fillId="5" borderId="37" xfId="0" applyFont="1" applyFill="1" applyBorder="1" applyAlignment="1" applyProtection="1">
      <alignment horizontal="center"/>
    </xf>
    <xf numFmtId="0" fontId="2" fillId="5" borderId="38" xfId="0" applyFont="1" applyFill="1" applyBorder="1" applyAlignment="1" applyProtection="1">
      <alignment horizontal="center"/>
    </xf>
    <xf numFmtId="0" fontId="2" fillId="5" borderId="39" xfId="0" applyFont="1" applyFill="1" applyBorder="1" applyAlignment="1" applyProtection="1">
      <alignment horizontal="center"/>
    </xf>
    <xf numFmtId="0" fontId="2" fillId="0" borderId="37" xfId="0" applyFont="1" applyFill="1" applyBorder="1" applyAlignment="1" applyProtection="1">
      <alignment horizontal="center"/>
    </xf>
    <xf numFmtId="0" fontId="2" fillId="0" borderId="39" xfId="0" applyFont="1" applyFill="1" applyBorder="1" applyAlignment="1" applyProtection="1">
      <alignment horizontal="center"/>
    </xf>
    <xf numFmtId="0" fontId="2" fillId="5" borderId="27" xfId="0" applyFont="1" applyFill="1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29" xfId="0" applyFont="1" applyBorder="1" applyAlignment="1" applyProtection="1">
      <alignment horizontal="center"/>
    </xf>
    <xf numFmtId="0" fontId="2" fillId="0" borderId="37" xfId="0" applyFont="1" applyBorder="1" applyAlignment="1" applyProtection="1">
      <alignment horizontal="center"/>
    </xf>
    <xf numFmtId="0" fontId="2" fillId="0" borderId="39" xfId="0" applyFont="1" applyBorder="1" applyAlignment="1" applyProtection="1">
      <alignment horizontal="center"/>
    </xf>
    <xf numFmtId="0" fontId="2" fillId="5" borderId="30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7" fillId="0" borderId="32" xfId="0" applyFont="1" applyBorder="1" applyAlignment="1" applyProtection="1">
      <alignment horizontal="center"/>
    </xf>
    <xf numFmtId="0" fontId="3" fillId="2" borderId="5" xfId="0" applyFont="1" applyFill="1" applyBorder="1" applyProtection="1"/>
    <xf numFmtId="0" fontId="2" fillId="0" borderId="7" xfId="0" applyFont="1" applyBorder="1" applyProtection="1"/>
    <xf numFmtId="0" fontId="13" fillId="6" borderId="33" xfId="0" applyFont="1" applyFill="1" applyBorder="1" applyAlignment="1" applyProtection="1">
      <alignment horizontal="center"/>
    </xf>
    <xf numFmtId="0" fontId="14" fillId="0" borderId="34" xfId="0" applyFont="1" applyBorder="1" applyAlignment="1" applyProtection="1">
      <alignment horizontal="center"/>
    </xf>
    <xf numFmtId="0" fontId="14" fillId="0" borderId="35" xfId="0" applyFont="1" applyBorder="1" applyAlignment="1" applyProtection="1">
      <alignment horizontal="center"/>
    </xf>
    <xf numFmtId="0" fontId="2" fillId="7" borderId="17" xfId="0" applyFont="1" applyFill="1" applyBorder="1" applyProtection="1"/>
    <xf numFmtId="0" fontId="2" fillId="7" borderId="20" xfId="0" applyFont="1" applyFill="1" applyBorder="1" applyProtection="1"/>
    <xf numFmtId="0" fontId="2" fillId="7" borderId="40" xfId="0" applyFont="1" applyFill="1" applyBorder="1" applyProtection="1"/>
    <xf numFmtId="0" fontId="2" fillId="2" borderId="20" xfId="0" applyFont="1" applyFill="1" applyBorder="1" applyProtection="1"/>
    <xf numFmtId="0" fontId="0" fillId="2" borderId="20" xfId="0" applyFill="1" applyBorder="1" applyProtection="1"/>
    <xf numFmtId="0" fontId="0" fillId="2" borderId="7" xfId="0" applyFill="1" applyBorder="1" applyProtection="1"/>
    <xf numFmtId="0" fontId="2" fillId="7" borderId="18" xfId="0" applyFont="1" applyFill="1" applyBorder="1" applyProtection="1"/>
    <xf numFmtId="0" fontId="0" fillId="0" borderId="18" xfId="0" applyBorder="1" applyProtection="1"/>
    <xf numFmtId="0" fontId="0" fillId="0" borderId="23" xfId="0" applyBorder="1" applyProtection="1"/>
    <xf numFmtId="0" fontId="8" fillId="5" borderId="20" xfId="0" applyFont="1" applyFill="1" applyBorder="1" applyAlignment="1" applyProtection="1">
      <alignment horizontal="center"/>
    </xf>
    <xf numFmtId="0" fontId="8" fillId="5" borderId="6" xfId="0" applyFont="1" applyFill="1" applyBorder="1" applyAlignment="1" applyProtection="1">
      <alignment horizontal="center"/>
    </xf>
    <xf numFmtId="0" fontId="8" fillId="5" borderId="7" xfId="0" applyFont="1" applyFill="1" applyBorder="1" applyAlignment="1" applyProtection="1">
      <alignment horizontal="center"/>
    </xf>
    <xf numFmtId="0" fontId="0" fillId="0" borderId="20" xfId="0" applyBorder="1" applyProtection="1"/>
    <xf numFmtId="0" fontId="10" fillId="5" borderId="20" xfId="0" applyFont="1" applyFill="1" applyBorder="1" applyAlignment="1" applyProtection="1">
      <alignment horizontal="center"/>
    </xf>
    <xf numFmtId="0" fontId="10" fillId="5" borderId="7" xfId="0" applyFont="1" applyFill="1" applyBorder="1" applyAlignment="1" applyProtection="1">
      <alignment horizontal="center"/>
    </xf>
    <xf numFmtId="0" fontId="0" fillId="0" borderId="19" xfId="0" applyFont="1" applyBorder="1" applyProtection="1"/>
    <xf numFmtId="0" fontId="0" fillId="0" borderId="19" xfId="0" applyBorder="1" applyProtection="1"/>
    <xf numFmtId="0" fontId="6" fillId="0" borderId="19" xfId="0" applyFont="1" applyBorder="1" applyProtection="1"/>
    <xf numFmtId="0" fontId="0" fillId="0" borderId="24" xfId="0" applyBorder="1" applyProtection="1"/>
    <xf numFmtId="0" fontId="2" fillId="7" borderId="19" xfId="0" applyFont="1" applyFill="1" applyBorder="1" applyProtection="1"/>
    <xf numFmtId="0" fontId="0" fillId="0" borderId="19" xfId="0" applyNumberFormat="1" applyBorder="1" applyProtection="1"/>
    <xf numFmtId="0" fontId="0" fillId="0" borderId="24" xfId="1" applyNumberFormat="1" applyFont="1" applyBorder="1" applyProtection="1"/>
    <xf numFmtId="0" fontId="2" fillId="5" borderId="20" xfId="0" applyFont="1" applyFill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7" fillId="5" borderId="6" xfId="0" applyFont="1" applyFill="1" applyBorder="1" applyAlignment="1" applyProtection="1">
      <alignment horizontal="center"/>
    </xf>
    <xf numFmtId="0" fontId="6" fillId="5" borderId="41" xfId="0" applyFont="1" applyFill="1" applyBorder="1" applyProtection="1"/>
    <xf numFmtId="0" fontId="0" fillId="0" borderId="42" xfId="0" applyBorder="1" applyProtection="1"/>
    <xf numFmtId="0" fontId="0" fillId="0" borderId="41" xfId="0" applyBorder="1" applyProtection="1"/>
    <xf numFmtId="0" fontId="0" fillId="0" borderId="42" xfId="0" applyFont="1" applyBorder="1" applyProtection="1"/>
    <xf numFmtId="0" fontId="6" fillId="5" borderId="13" xfId="0" applyFont="1" applyFill="1" applyBorder="1" applyProtection="1"/>
    <xf numFmtId="0" fontId="0" fillId="0" borderId="43" xfId="0" applyBorder="1" applyProtection="1"/>
    <xf numFmtId="0" fontId="0" fillId="0" borderId="13" xfId="0" applyBorder="1" applyProtection="1"/>
    <xf numFmtId="0" fontId="0" fillId="0" borderId="43" xfId="0" applyFont="1" applyBorder="1" applyProtection="1"/>
    <xf numFmtId="0" fontId="6" fillId="5" borderId="12" xfId="0" applyFont="1" applyFill="1" applyBorder="1" applyProtection="1"/>
    <xf numFmtId="0" fontId="0" fillId="0" borderId="44" xfId="0" applyBorder="1" applyProtection="1"/>
    <xf numFmtId="0" fontId="0" fillId="0" borderId="12" xfId="0" applyBorder="1" applyProtection="1"/>
    <xf numFmtId="0" fontId="0" fillId="0" borderId="44" xfId="0" applyFont="1" applyBorder="1" applyProtection="1"/>
    <xf numFmtId="0" fontId="16" fillId="0" borderId="0" xfId="0" applyFont="1"/>
    <xf numFmtId="0" fontId="17" fillId="0" borderId="8" xfId="0" applyFont="1" applyBorder="1" applyAlignment="1"/>
    <xf numFmtId="0" fontId="17" fillId="0" borderId="8" xfId="0" applyFont="1" applyBorder="1"/>
    <xf numFmtId="0" fontId="17" fillId="3" borderId="41" xfId="0" applyFont="1" applyFill="1" applyBorder="1" applyProtection="1">
      <protection locked="0"/>
    </xf>
    <xf numFmtId="0" fontId="17" fillId="0" borderId="9" xfId="0" applyFont="1" applyBorder="1" applyAlignment="1"/>
    <xf numFmtId="0" fontId="17" fillId="0" borderId="10" xfId="0" applyFont="1" applyBorder="1"/>
    <xf numFmtId="0" fontId="17" fillId="5" borderId="12" xfId="0" applyFont="1" applyFill="1" applyBorder="1" applyProtection="1">
      <protection locked="0"/>
    </xf>
    <xf numFmtId="0" fontId="17" fillId="0" borderId="9" xfId="0" applyFont="1" applyBorder="1"/>
    <xf numFmtId="0" fontId="17" fillId="0" borderId="14" xfId="0" applyFont="1" applyBorder="1"/>
    <xf numFmtId="0" fontId="17" fillId="0" borderId="17" xfId="0" applyFont="1" applyBorder="1" applyProtection="1">
      <protection locked="0"/>
    </xf>
    <xf numFmtId="0" fontId="17" fillId="0" borderId="20" xfId="0" applyFont="1" applyBorder="1"/>
    <xf numFmtId="0" fontId="17" fillId="0" borderId="20" xfId="0" applyFont="1" applyBorder="1" applyProtection="1">
      <protection locked="0"/>
    </xf>
    <xf numFmtId="9" fontId="17" fillId="0" borderId="11" xfId="1" applyFont="1" applyBorder="1" applyProtection="1">
      <protection locked="0"/>
    </xf>
    <xf numFmtId="0" fontId="17" fillId="0" borderId="22" xfId="0" applyFont="1" applyBorder="1"/>
    <xf numFmtId="9" fontId="17" fillId="0" borderId="13" xfId="1" applyFont="1" applyBorder="1" applyProtection="1">
      <protection locked="0"/>
    </xf>
    <xf numFmtId="164" fontId="17" fillId="0" borderId="5" xfId="0" applyNumberFormat="1" applyFont="1" applyBorder="1"/>
    <xf numFmtId="9" fontId="17" fillId="0" borderId="12" xfId="1" applyFont="1" applyBorder="1" applyProtection="1">
      <protection locked="0"/>
    </xf>
    <xf numFmtId="164" fontId="17" fillId="0" borderId="15" xfId="0" applyNumberFormat="1" applyFont="1" applyBorder="1"/>
    <xf numFmtId="164" fontId="17" fillId="0" borderId="16" xfId="0" applyNumberFormat="1" applyFont="1" applyBorder="1"/>
    <xf numFmtId="164" fontId="15" fillId="0" borderId="20" xfId="1" applyNumberFormat="1" applyFont="1" applyBorder="1"/>
    <xf numFmtId="164" fontId="15" fillId="0" borderId="18" xfId="1" applyNumberFormat="1" applyFont="1" applyBorder="1"/>
    <xf numFmtId="164" fontId="15" fillId="0" borderId="20" xfId="0" applyNumberFormat="1" applyFont="1" applyBorder="1"/>
    <xf numFmtId="164" fontId="17" fillId="4" borderId="6" xfId="0" applyNumberFormat="1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9" fontId="17" fillId="0" borderId="9" xfId="1" applyFont="1" applyBorder="1" applyAlignment="1" applyProtection="1">
      <alignment horizontal="center"/>
      <protection locked="0"/>
    </xf>
    <xf numFmtId="9" fontId="17" fillId="0" borderId="4" xfId="1" applyFont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/>
    </xf>
    <xf numFmtId="0" fontId="17" fillId="0" borderId="9" xfId="0" applyFont="1" applyBorder="1" applyAlignment="1" applyProtection="1">
      <alignment horizontal="center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15" fillId="2" borderId="5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7" fillId="0" borderId="9" xfId="0" applyNumberFormat="1" applyFont="1" applyBorder="1" applyAlignment="1" applyProtection="1">
      <alignment horizontal="center"/>
      <protection locked="0"/>
    </xf>
    <xf numFmtId="165" fontId="17" fillId="0" borderId="4" xfId="0" applyNumberFormat="1" applyFont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164" fontId="15" fillId="2" borderId="16" xfId="0" applyNumberFormat="1" applyFont="1" applyFill="1" applyBorder="1" applyAlignment="1">
      <alignment horizontal="center"/>
    </xf>
    <xf numFmtId="164" fontId="17" fillId="2" borderId="24" xfId="0" applyNumberFormat="1" applyFont="1" applyFill="1" applyBorder="1" applyAlignment="1">
      <alignment horizontal="center"/>
    </xf>
    <xf numFmtId="164" fontId="15" fillId="2" borderId="5" xfId="0" applyNumberFormat="1" applyFont="1" applyFill="1" applyBorder="1" applyAlignment="1">
      <alignment horizontal="center"/>
    </xf>
    <xf numFmtId="164" fontId="15" fillId="2" borderId="7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5" fillId="3" borderId="1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7" fillId="3" borderId="2" xfId="0" applyFont="1" applyFill="1" applyBorder="1" applyAlignment="1" applyProtection="1">
      <alignment horizontal="center"/>
      <protection locked="0"/>
    </xf>
    <xf numFmtId="0" fontId="17" fillId="3" borderId="3" xfId="0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center"/>
    </xf>
    <xf numFmtId="0" fontId="2" fillId="5" borderId="40" xfId="0" applyFont="1" applyFill="1" applyBorder="1" applyAlignment="1" applyProtection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1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9525</xdr:rowOff>
    </xdr:from>
    <xdr:to>
      <xdr:col>7</xdr:col>
      <xdr:colOff>609600</xdr:colOff>
      <xdr:row>13</xdr:row>
      <xdr:rowOff>152400</xdr:rowOff>
    </xdr:to>
    <xdr:sp macro="" textlink="">
      <xdr:nvSpPr>
        <xdr:cNvPr id="4" name="Rectangle avec flèche vers le ba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457700" y="1171575"/>
          <a:ext cx="4648200" cy="1543050"/>
        </a:xfrm>
        <a:prstGeom prst="downArrowCallout">
          <a:avLst>
            <a:gd name="adj1" fmla="val 15222"/>
            <a:gd name="adj2" fmla="val 15123"/>
            <a:gd name="adj3" fmla="val 12903"/>
            <a:gd name="adj4" fmla="val 12644"/>
          </a:avLst>
        </a:prstGeom>
        <a:solidFill>
          <a:srgbClr val="FFFF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</xdr:col>
      <xdr:colOff>2658534</xdr:colOff>
      <xdr:row>0</xdr:row>
      <xdr:rowOff>0</xdr:rowOff>
    </xdr:from>
    <xdr:to>
      <xdr:col>3</xdr:col>
      <xdr:colOff>14816</xdr:colOff>
      <xdr:row>4</xdr:row>
      <xdr:rowOff>152400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117" y="0"/>
          <a:ext cx="1250949" cy="935567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twoCellAnchor editAs="oneCell">
    <xdr:from>
      <xdr:col>8</xdr:col>
      <xdr:colOff>10583</xdr:colOff>
      <xdr:row>0</xdr:row>
      <xdr:rowOff>0</xdr:rowOff>
    </xdr:from>
    <xdr:to>
      <xdr:col>8</xdr:col>
      <xdr:colOff>1261532</xdr:colOff>
      <xdr:row>4</xdr:row>
      <xdr:rowOff>152400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333" y="0"/>
          <a:ext cx="1250949" cy="935567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10</xdr:row>
      <xdr:rowOff>128587</xdr:rowOff>
    </xdr:from>
    <xdr:ext cx="65" cy="172227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43600" y="2062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600075</xdr:colOff>
      <xdr:row>10</xdr:row>
      <xdr:rowOff>128587</xdr:rowOff>
    </xdr:from>
    <xdr:ext cx="65" cy="172227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943600" y="2062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showGridLines="0" tabSelected="1" topLeftCell="A4" zoomScale="90" zoomScaleNormal="90" workbookViewId="0">
      <selection activeCell="C12" sqref="C12:D12"/>
    </sheetView>
  </sheetViews>
  <sheetFormatPr baseColWidth="10" defaultRowHeight="15" x14ac:dyDescent="0.25"/>
  <cols>
    <col min="1" max="1" width="9.7109375" customWidth="1"/>
    <col min="2" max="2" width="41.28515625" customWidth="1"/>
    <col min="3" max="3" width="17.140625" customWidth="1"/>
    <col min="4" max="4" width="15" customWidth="1"/>
    <col min="5" max="5" width="8.5703125" customWidth="1"/>
    <col min="6" max="6" width="25.7109375" customWidth="1"/>
    <col min="7" max="7" width="19.42578125" customWidth="1"/>
    <col min="8" max="8" width="6.5703125" customWidth="1"/>
    <col min="9" max="9" width="36.5703125" customWidth="1"/>
    <col min="10" max="10" width="18.28515625" customWidth="1"/>
    <col min="11" max="11" width="9.42578125" customWidth="1"/>
  </cols>
  <sheetData>
    <row r="1" spans="1:12" ht="15" customHeight="1" x14ac:dyDescent="0.25">
      <c r="A1" s="1"/>
      <c r="B1" s="110"/>
      <c r="D1" s="112" t="s">
        <v>36</v>
      </c>
      <c r="E1" s="113"/>
      <c r="F1" s="113"/>
      <c r="G1" s="113"/>
      <c r="H1" s="114"/>
      <c r="I1" s="111"/>
      <c r="J1" s="111"/>
      <c r="K1" s="1"/>
      <c r="L1" s="1"/>
    </row>
    <row r="2" spans="1:12" ht="15" customHeight="1" x14ac:dyDescent="0.25">
      <c r="A2" s="1"/>
      <c r="B2" s="110"/>
      <c r="D2" s="115"/>
      <c r="E2" s="116"/>
      <c r="F2" s="116"/>
      <c r="G2" s="116"/>
      <c r="H2" s="117"/>
      <c r="I2" s="111"/>
      <c r="J2" s="111"/>
      <c r="K2" s="1"/>
      <c r="L2" s="1"/>
    </row>
    <row r="3" spans="1:12" ht="15.75" customHeight="1" x14ac:dyDescent="0.25">
      <c r="A3" s="1"/>
      <c r="B3" s="110"/>
      <c r="D3" s="115"/>
      <c r="E3" s="116"/>
      <c r="F3" s="116"/>
      <c r="G3" s="116"/>
      <c r="H3" s="117"/>
      <c r="I3" s="111"/>
      <c r="J3" s="111"/>
      <c r="K3" s="1"/>
      <c r="L3" s="1"/>
    </row>
    <row r="4" spans="1:12" ht="15.75" customHeight="1" thickBot="1" x14ac:dyDescent="0.3">
      <c r="A4" s="1"/>
      <c r="B4" s="110"/>
      <c r="D4" s="118"/>
      <c r="E4" s="119"/>
      <c r="F4" s="119"/>
      <c r="G4" s="119"/>
      <c r="H4" s="120"/>
      <c r="I4" s="111"/>
      <c r="J4" s="111"/>
      <c r="K4" s="1"/>
      <c r="L4" s="1"/>
    </row>
    <row r="5" spans="1:12" x14ac:dyDescent="0.25">
      <c r="A5" s="1"/>
      <c r="B5" s="96"/>
      <c r="C5" s="96"/>
      <c r="D5" s="96"/>
      <c r="E5" s="96"/>
      <c r="F5" s="96"/>
      <c r="G5" s="96"/>
      <c r="H5" s="96"/>
      <c r="I5" s="96"/>
      <c r="J5" s="96"/>
      <c r="K5" s="1"/>
      <c r="L5" s="1"/>
    </row>
    <row r="6" spans="1:12" ht="15.75" thickBot="1" x14ac:dyDescent="0.3">
      <c r="A6" s="1"/>
      <c r="B6" s="96"/>
      <c r="C6" s="96"/>
      <c r="D6" s="96"/>
      <c r="E6" s="96"/>
      <c r="F6" s="96"/>
      <c r="G6" s="96"/>
      <c r="H6" s="96"/>
      <c r="I6" s="96"/>
      <c r="J6" s="96"/>
      <c r="K6" s="1"/>
      <c r="L6" s="1"/>
    </row>
    <row r="7" spans="1:12" ht="19.5" thickBot="1" x14ac:dyDescent="0.35">
      <c r="A7" s="1"/>
      <c r="B7" s="99" t="s">
        <v>16</v>
      </c>
      <c r="C7" s="122"/>
      <c r="D7" s="100"/>
      <c r="E7" s="65"/>
      <c r="F7" s="65"/>
      <c r="G7" s="65"/>
      <c r="H7" s="65"/>
      <c r="I7" s="99" t="s">
        <v>15</v>
      </c>
      <c r="J7" s="100"/>
      <c r="K7" s="1"/>
      <c r="L7" s="1"/>
    </row>
    <row r="8" spans="1:12" ht="18.75" x14ac:dyDescent="0.3">
      <c r="A8" s="1"/>
      <c r="B8" s="66" t="s">
        <v>0</v>
      </c>
      <c r="C8" s="123" t="s">
        <v>83</v>
      </c>
      <c r="D8" s="124"/>
      <c r="E8" s="89"/>
      <c r="F8" s="103"/>
      <c r="G8" s="103"/>
      <c r="H8" s="90"/>
      <c r="I8" s="67" t="s">
        <v>107</v>
      </c>
      <c r="J8" s="68" t="s">
        <v>103</v>
      </c>
      <c r="K8" s="1"/>
      <c r="L8" s="1"/>
    </row>
    <row r="9" spans="1:12" ht="19.5" thickBot="1" x14ac:dyDescent="0.35">
      <c r="A9" s="1"/>
      <c r="B9" s="69" t="s">
        <v>2</v>
      </c>
      <c r="C9" s="97">
        <v>10</v>
      </c>
      <c r="D9" s="98"/>
      <c r="E9" s="89"/>
      <c r="F9" s="103"/>
      <c r="G9" s="103"/>
      <c r="H9" s="90"/>
      <c r="I9" s="70" t="s">
        <v>106</v>
      </c>
      <c r="J9" s="71">
        <v>30</v>
      </c>
      <c r="K9" s="1"/>
      <c r="L9" s="1"/>
    </row>
    <row r="10" spans="1:12" ht="19.5" thickBot="1" x14ac:dyDescent="0.35">
      <c r="A10" s="1"/>
      <c r="B10" s="72" t="s">
        <v>3</v>
      </c>
      <c r="C10" s="97">
        <v>8</v>
      </c>
      <c r="D10" s="98"/>
      <c r="E10" s="89"/>
      <c r="F10" s="103"/>
      <c r="G10" s="103"/>
      <c r="H10" s="90"/>
      <c r="I10" s="73" t="s">
        <v>34</v>
      </c>
      <c r="J10" s="74">
        <v>0</v>
      </c>
      <c r="K10" s="1"/>
      <c r="L10" s="1"/>
    </row>
    <row r="11" spans="1:12" ht="19.5" thickBot="1" x14ac:dyDescent="0.35">
      <c r="A11" s="1"/>
      <c r="B11" s="72" t="s">
        <v>20</v>
      </c>
      <c r="C11" s="97">
        <v>5</v>
      </c>
      <c r="D11" s="98"/>
      <c r="E11" s="89"/>
      <c r="F11" s="103"/>
      <c r="G11" s="103"/>
      <c r="H11" s="90"/>
      <c r="I11" s="75" t="s">
        <v>33</v>
      </c>
      <c r="J11" s="76">
        <f>IF(OR(C8="Assurance temporaire décès",C8="Assurance vie entière",C8="Assurance mixte"),J9+J10,J9-J10)</f>
        <v>30</v>
      </c>
      <c r="K11" s="1"/>
      <c r="L11" s="1"/>
    </row>
    <row r="12" spans="1:12" ht="19.5" thickBot="1" x14ac:dyDescent="0.35">
      <c r="A12" s="1"/>
      <c r="B12" s="72" t="s">
        <v>18</v>
      </c>
      <c r="C12" s="101">
        <v>50000</v>
      </c>
      <c r="D12" s="102"/>
      <c r="E12" s="89"/>
      <c r="F12" s="103"/>
      <c r="G12" s="103"/>
      <c r="H12" s="103"/>
      <c r="I12" s="103"/>
      <c r="J12" s="104"/>
      <c r="K12" s="1"/>
      <c r="L12" s="1"/>
    </row>
    <row r="13" spans="1:12" ht="19.5" thickBot="1" x14ac:dyDescent="0.35">
      <c r="A13" s="1"/>
      <c r="B13" s="72" t="s">
        <v>19</v>
      </c>
      <c r="C13" s="101">
        <v>100000</v>
      </c>
      <c r="D13" s="102"/>
      <c r="E13" s="89"/>
      <c r="F13" s="103"/>
      <c r="G13" s="103"/>
      <c r="H13" s="90"/>
      <c r="I13" s="99" t="s">
        <v>14</v>
      </c>
      <c r="J13" s="100"/>
      <c r="K13" s="1"/>
      <c r="L13" s="1"/>
    </row>
    <row r="14" spans="1:12" ht="19.5" thickBot="1" x14ac:dyDescent="0.35">
      <c r="A14" s="1"/>
      <c r="B14" s="72" t="s">
        <v>4</v>
      </c>
      <c r="C14" s="101">
        <v>100</v>
      </c>
      <c r="D14" s="102"/>
      <c r="E14" s="89"/>
      <c r="F14" s="92"/>
      <c r="G14" s="92"/>
      <c r="H14" s="90"/>
      <c r="I14" s="67" t="s">
        <v>17</v>
      </c>
      <c r="J14" s="77">
        <v>0.1</v>
      </c>
      <c r="K14" s="1"/>
      <c r="L14" s="1"/>
    </row>
    <row r="15" spans="1:12" ht="19.5" thickBot="1" x14ac:dyDescent="0.35">
      <c r="A15" s="1"/>
      <c r="B15" s="78" t="s">
        <v>1</v>
      </c>
      <c r="C15" s="94">
        <v>0.02</v>
      </c>
      <c r="D15" s="95"/>
      <c r="E15" s="89"/>
      <c r="F15" s="99" t="s">
        <v>21</v>
      </c>
      <c r="G15" s="100"/>
      <c r="H15" s="90"/>
      <c r="I15" s="72" t="s">
        <v>5</v>
      </c>
      <c r="J15" s="79">
        <v>0.01</v>
      </c>
      <c r="K15" s="1"/>
      <c r="L15" s="1"/>
    </row>
    <row r="16" spans="1:12" ht="19.5" thickBot="1" x14ac:dyDescent="0.35">
      <c r="A16" s="1"/>
      <c r="B16" s="121"/>
      <c r="C16" s="105"/>
      <c r="D16" s="105"/>
      <c r="E16" s="89"/>
      <c r="F16" s="80" t="s">
        <v>24</v>
      </c>
      <c r="G16" s="84">
        <f>VLOOKUP("Prime unique",Feuil2!T12:Z24,Feuil2!X9,FALSE)</f>
        <v>40473.806149596574</v>
      </c>
      <c r="H16" s="90"/>
      <c r="I16" s="72" t="s">
        <v>104</v>
      </c>
      <c r="J16" s="79">
        <v>0.01</v>
      </c>
      <c r="K16" s="1"/>
      <c r="L16" s="1"/>
    </row>
    <row r="17" spans="1:12" ht="21" thickBot="1" x14ac:dyDescent="0.4">
      <c r="A17" s="1"/>
      <c r="B17" s="88"/>
      <c r="C17" s="89"/>
      <c r="D17" s="89"/>
      <c r="E17" s="89"/>
      <c r="F17" s="80" t="s">
        <v>25</v>
      </c>
      <c r="G17" s="84">
        <f>VLOOKUP("Prime annuelle",Feuil2!T12:Z24,Feuil2!X9,FALSE)</f>
        <v>5437.9521816567703</v>
      </c>
      <c r="H17" s="90"/>
      <c r="I17" s="70" t="s">
        <v>105</v>
      </c>
      <c r="J17" s="81">
        <v>0.01</v>
      </c>
      <c r="K17" s="1"/>
      <c r="L17" s="1"/>
    </row>
    <row r="18" spans="1:12" ht="19.5" thickBot="1" x14ac:dyDescent="0.35">
      <c r="A18" s="1"/>
      <c r="B18" s="88"/>
      <c r="C18" s="89"/>
      <c r="D18" s="89"/>
      <c r="E18" s="90"/>
      <c r="F18" s="82" t="s">
        <v>26</v>
      </c>
      <c r="G18" s="85">
        <f>VLOOKUP("Provision ",Feuil2!T12:Z24,Feuil2!X9,FALSE)</f>
        <v>28969.762535249851</v>
      </c>
      <c r="H18" s="88"/>
      <c r="I18" s="105"/>
      <c r="J18" s="105"/>
      <c r="K18" s="1"/>
      <c r="L18" s="1"/>
    </row>
    <row r="19" spans="1:12" ht="19.5" thickBot="1" x14ac:dyDescent="0.35">
      <c r="A19" s="1"/>
      <c r="B19" s="88"/>
      <c r="C19" s="89"/>
      <c r="D19" s="89"/>
      <c r="E19" s="89"/>
      <c r="F19" s="87"/>
      <c r="G19" s="87"/>
      <c r="H19" s="89"/>
      <c r="I19" s="103"/>
      <c r="J19" s="103"/>
      <c r="K19" s="1"/>
      <c r="L19" s="1"/>
    </row>
    <row r="20" spans="1:12" ht="19.5" thickBot="1" x14ac:dyDescent="0.35">
      <c r="A20" s="1"/>
      <c r="B20" s="88"/>
      <c r="C20" s="89"/>
      <c r="D20" s="89"/>
      <c r="E20" s="90"/>
      <c r="F20" s="106" t="s">
        <v>22</v>
      </c>
      <c r="G20" s="107"/>
      <c r="H20" s="88"/>
      <c r="I20" s="103"/>
      <c r="J20" s="103"/>
      <c r="K20" s="1"/>
      <c r="L20" s="1"/>
    </row>
    <row r="21" spans="1:12" ht="19.5" thickBot="1" x14ac:dyDescent="0.35">
      <c r="A21" s="1"/>
      <c r="B21" s="88"/>
      <c r="C21" s="89"/>
      <c r="D21" s="89"/>
      <c r="E21" s="90"/>
      <c r="F21" s="80" t="s">
        <v>27</v>
      </c>
      <c r="G21" s="86">
        <f>VLOOKUP("Prime unique1",Feuil2!$T$12:$Z$24,Feuil2!$X$9,FALSE)</f>
        <v>40473.806149596574</v>
      </c>
      <c r="H21" s="88"/>
      <c r="I21" s="103"/>
      <c r="J21" s="103"/>
      <c r="K21" s="1"/>
      <c r="L21" s="1"/>
    </row>
    <row r="22" spans="1:12" ht="19.5" thickBot="1" x14ac:dyDescent="0.35">
      <c r="A22" s="1"/>
      <c r="B22" s="88"/>
      <c r="C22" s="89"/>
      <c r="D22" s="89"/>
      <c r="E22" s="90"/>
      <c r="F22" s="80" t="s">
        <v>28</v>
      </c>
      <c r="G22" s="86">
        <f>VLOOKUP("Prime annuelle1",Feuil2!$T$12:$Z$24,Feuil2!$X$9,FALSE)</f>
        <v>5437.9521816567703</v>
      </c>
      <c r="H22" s="88"/>
      <c r="I22" s="103"/>
      <c r="J22" s="103"/>
      <c r="K22" s="1"/>
      <c r="L22" s="1"/>
    </row>
    <row r="23" spans="1:12" ht="19.5" thickBot="1" x14ac:dyDescent="0.35">
      <c r="A23" s="1"/>
      <c r="B23" s="88"/>
      <c r="C23" s="89"/>
      <c r="D23" s="89"/>
      <c r="E23" s="90"/>
      <c r="F23" s="83" t="s">
        <v>29</v>
      </c>
      <c r="G23" s="86">
        <f>VLOOKUP("Provision 1",Feuil2!$T$12:$Z$24,Feuil2!$X$9,FALSE)</f>
        <v>28969.762535249851</v>
      </c>
      <c r="H23" s="88"/>
      <c r="I23" s="103"/>
      <c r="J23" s="103"/>
      <c r="K23" s="1"/>
      <c r="L23" s="1"/>
    </row>
    <row r="24" spans="1:12" ht="19.5" thickBot="1" x14ac:dyDescent="0.35">
      <c r="A24" s="1"/>
      <c r="B24" s="88"/>
      <c r="C24" s="89"/>
      <c r="D24" s="89"/>
      <c r="E24" s="89"/>
      <c r="F24" s="87"/>
      <c r="G24" s="87"/>
      <c r="H24" s="89"/>
      <c r="I24" s="103"/>
      <c r="J24" s="103"/>
      <c r="K24" s="1"/>
      <c r="L24" s="1"/>
    </row>
    <row r="25" spans="1:12" ht="19.5" thickBot="1" x14ac:dyDescent="0.35">
      <c r="A25" s="1"/>
      <c r="B25" s="88"/>
      <c r="C25" s="89"/>
      <c r="D25" s="89"/>
      <c r="E25" s="90"/>
      <c r="F25" s="108" t="s">
        <v>23</v>
      </c>
      <c r="G25" s="109"/>
      <c r="H25" s="88"/>
      <c r="I25" s="103"/>
      <c r="J25" s="103"/>
      <c r="K25" s="1"/>
      <c r="L25" s="1"/>
    </row>
    <row r="26" spans="1:12" ht="19.5" thickBot="1" x14ac:dyDescent="0.35">
      <c r="A26" s="1"/>
      <c r="B26" s="88"/>
      <c r="C26" s="89"/>
      <c r="D26" s="89"/>
      <c r="E26" s="90"/>
      <c r="F26" s="80" t="s">
        <v>30</v>
      </c>
      <c r="G26" s="86">
        <f>VLOOKUP("Prime unique2",Feuil2!$T$12:$Z$24,Feuil2!$X$9,FALSE)</f>
        <v>45526.451277329528</v>
      </c>
      <c r="H26" s="88"/>
      <c r="I26" s="103"/>
      <c r="J26" s="103"/>
      <c r="K26" s="1"/>
      <c r="L26" s="1"/>
    </row>
    <row r="27" spans="1:12" ht="19.5" thickBot="1" x14ac:dyDescent="0.35">
      <c r="A27" s="1"/>
      <c r="B27" s="88"/>
      <c r="C27" s="89"/>
      <c r="D27" s="89"/>
      <c r="E27" s="90"/>
      <c r="F27" s="80" t="s">
        <v>31</v>
      </c>
      <c r="G27" s="86">
        <f>VLOOKUP("Prime annuelle2",Feuil2!$T$12:$Z$24,Feuil2!$X$9,FALSE)</f>
        <v>6116.8120470704098</v>
      </c>
      <c r="H27" s="88"/>
      <c r="I27" s="103"/>
      <c r="J27" s="103"/>
      <c r="K27" s="1"/>
      <c r="L27" s="1"/>
    </row>
    <row r="28" spans="1:12" ht="19.5" thickBot="1" x14ac:dyDescent="0.35">
      <c r="A28" s="1"/>
      <c r="B28" s="91"/>
      <c r="C28" s="92"/>
      <c r="D28" s="92"/>
      <c r="E28" s="93"/>
      <c r="F28" s="83" t="s">
        <v>32</v>
      </c>
      <c r="G28" s="86">
        <f>VLOOKUP("Provision 2",Feuil2!$T$12:$Z$24,Feuil2!$X$9,FALSE)</f>
        <v>28772.418935615467</v>
      </c>
      <c r="H28" s="88"/>
      <c r="I28" s="103"/>
      <c r="J28" s="103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</sheetData>
  <sheetProtection algorithmName="SHA-512" hashValue="T5uKCPowMMhKgivUnQ4Szh/ycCCMx8ZtvY1GffIIzmgCqEENipzyA8BhtEaJIHedjRwIayeBG4kVd/9NYVIAEw==" saltValue="OUJ9NTD3CYhMJYHtUUBYSA==" spinCount="100000" sheet="1" objects="1" scenarios="1"/>
  <mergeCells count="29">
    <mergeCell ref="B1:B4"/>
    <mergeCell ref="I1:J4"/>
    <mergeCell ref="D1:H4"/>
    <mergeCell ref="B16:D17"/>
    <mergeCell ref="E8:E17"/>
    <mergeCell ref="F8:F14"/>
    <mergeCell ref="G8:G14"/>
    <mergeCell ref="H8:H11"/>
    <mergeCell ref="H13:H17"/>
    <mergeCell ref="I7:J7"/>
    <mergeCell ref="B7:D7"/>
    <mergeCell ref="C8:D8"/>
    <mergeCell ref="C9:D9"/>
    <mergeCell ref="F19:G19"/>
    <mergeCell ref="F24:G24"/>
    <mergeCell ref="B18:E28"/>
    <mergeCell ref="C15:D15"/>
    <mergeCell ref="B5:J6"/>
    <mergeCell ref="C10:D10"/>
    <mergeCell ref="C11:D11"/>
    <mergeCell ref="I13:J13"/>
    <mergeCell ref="F15:G15"/>
    <mergeCell ref="C12:D12"/>
    <mergeCell ref="C13:D13"/>
    <mergeCell ref="C14:D14"/>
    <mergeCell ref="H12:J12"/>
    <mergeCell ref="H18:J28"/>
    <mergeCell ref="F20:G20"/>
    <mergeCell ref="F25:G25"/>
  </mergeCells>
  <dataValidations count="5">
    <dataValidation type="list" allowBlank="1" showInputMessage="1" showErrorMessage="1" sqref="C8" xr:uid="{00000000-0002-0000-0000-000000000000}">
      <formula1>"Assurance capital différé,Rente viagère,Rente viagère temporaire,Assurance temporaire décès,Assurance vie entière,Assurance mixte"</formula1>
    </dataValidation>
    <dataValidation type="list" allowBlank="1" showInputMessage="1" showErrorMessage="1" prompt="Entrez le sexe ici" sqref="J8" xr:uid="{00000000-0002-0000-0000-000001000000}">
      <formula1>"Homme,Femme"</formula1>
    </dataValidation>
    <dataValidation type="whole" showInputMessage="1" showErrorMessage="1" errorTitle="Age invalide" error="l'âge de l'assuré ne peut excéder 110 ans" promptTitle="Age de l'assuré" prompt="Veuillez introduire l'âge de l'assuré" sqref="J9" xr:uid="{00000000-0002-0000-0000-000002000000}">
      <formula1>0</formula1>
      <formula2>110</formula2>
    </dataValidation>
    <dataValidation type="whole" allowBlank="1" showInputMessage="1" showErrorMessage="1" errorTitle="Durée invalide" error="la durée de paiement des primes  ne peut être supérieure à la durée du contrat." sqref="C10:D10" xr:uid="{00000000-0002-0000-0000-000003000000}">
      <formula1>1</formula1>
      <formula2>C9</formula2>
    </dataValidation>
    <dataValidation type="whole" allowBlank="1" showInputMessage="1" showErrorMessage="1" sqref="C11:D11" xr:uid="{00000000-0002-0000-0000-000004000000}">
      <formula1>0</formula1>
      <formula2>110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Durée de contrat invalide" error="la durée maximale du contrat dépend de l'âge de l'assuré." promptTitle="Durée du contrat" prompt="Veuilllez introduire une durée pour le contrat. " xr:uid="{00000000-0002-0000-0000-000005000000}">
          <x14:formula1>
            <xm:f>0</xm:f>
          </x14:formula1>
          <x14:formula2>
            <xm:f>Feuil2!B4</xm:f>
          </x14:formula2>
          <xm:sqref>C9:D9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6"/>
  <sheetViews>
    <sheetView topLeftCell="H10" workbookViewId="0">
      <selection activeCell="L21" sqref="L21"/>
    </sheetView>
  </sheetViews>
  <sheetFormatPr baseColWidth="10" defaultRowHeight="15" x14ac:dyDescent="0.25"/>
  <cols>
    <col min="1" max="1" width="11.42578125" style="2"/>
    <col min="2" max="2" width="11.7109375" style="2" customWidth="1"/>
    <col min="3" max="3" width="14.85546875" style="2" customWidth="1"/>
    <col min="4" max="4" width="13.42578125" style="2" customWidth="1"/>
    <col min="5" max="5" width="14.42578125" style="2" customWidth="1"/>
    <col min="6" max="6" width="14.28515625" style="2" customWidth="1"/>
    <col min="7" max="7" width="15.85546875" style="2" customWidth="1"/>
    <col min="8" max="8" width="17" style="2" customWidth="1"/>
    <col min="9" max="9" width="16.42578125" style="2" customWidth="1"/>
    <col min="10" max="10" width="14.85546875" style="2" customWidth="1"/>
    <col min="11" max="11" width="15.42578125" style="2" customWidth="1"/>
    <col min="12" max="12" width="14.42578125" style="2" customWidth="1"/>
    <col min="13" max="13" width="14.5703125" style="2" customWidth="1"/>
    <col min="14" max="14" width="12.85546875" style="2" customWidth="1"/>
    <col min="15" max="15" width="14.42578125" style="2" customWidth="1"/>
    <col min="16" max="16" width="13.42578125" style="2" customWidth="1"/>
    <col min="17" max="17" width="14.140625" style="2" customWidth="1"/>
    <col min="18" max="18" width="11.42578125" style="2"/>
    <col min="19" max="19" width="6.85546875" style="2" customWidth="1"/>
    <col min="20" max="20" width="19.140625" style="2" customWidth="1"/>
    <col min="21" max="21" width="23.28515625" style="2" customWidth="1"/>
    <col min="22" max="22" width="22.7109375" style="2" customWidth="1"/>
    <col min="23" max="23" width="23.42578125" style="2" customWidth="1"/>
    <col min="24" max="24" width="26.28515625" style="2" customWidth="1"/>
    <col min="25" max="25" width="19.7109375" style="2" customWidth="1"/>
    <col min="26" max="26" width="20.85546875" style="2" customWidth="1"/>
    <col min="27" max="16384" width="11.42578125" style="2"/>
  </cols>
  <sheetData>
    <row r="1" spans="1:26" ht="15.75" thickBot="1" x14ac:dyDescent="0.3"/>
    <row r="2" spans="1:26" x14ac:dyDescent="0.25">
      <c r="B2" s="125" t="s">
        <v>37</v>
      </c>
      <c r="C2" s="126"/>
      <c r="D2" s="3"/>
    </row>
    <row r="3" spans="1:26" x14ac:dyDescent="0.25">
      <c r="B3" s="4" t="s">
        <v>38</v>
      </c>
      <c r="C3" s="5" t="s">
        <v>39</v>
      </c>
    </row>
    <row r="4" spans="1:26" ht="15.75" thickBot="1" x14ac:dyDescent="0.3">
      <c r="B4" s="6">
        <f>110-Feuil1!J9</f>
        <v>80</v>
      </c>
      <c r="C4" s="7">
        <f>Feuil1!C9</f>
        <v>10</v>
      </c>
    </row>
    <row r="5" spans="1:26" ht="15.75" thickBot="1" x14ac:dyDescent="0.3"/>
    <row r="6" spans="1:26" ht="15.75" thickBot="1" x14ac:dyDescent="0.3">
      <c r="A6" s="8"/>
      <c r="B6" s="9" t="s">
        <v>40</v>
      </c>
      <c r="C6" s="10" t="s">
        <v>41</v>
      </c>
      <c r="D6" s="10" t="s">
        <v>6</v>
      </c>
      <c r="E6" s="11" t="s">
        <v>42</v>
      </c>
      <c r="F6" s="12" t="s">
        <v>11</v>
      </c>
      <c r="G6" s="13" t="s">
        <v>12</v>
      </c>
    </row>
    <row r="7" spans="1:26" ht="15.75" thickBot="1" x14ac:dyDescent="0.3">
      <c r="A7" s="14" t="s">
        <v>7</v>
      </c>
      <c r="B7" s="15">
        <v>1000266.63</v>
      </c>
      <c r="C7" s="15">
        <v>0.99944170399999999</v>
      </c>
      <c r="D7" s="15">
        <v>0.99973344099999994</v>
      </c>
      <c r="E7" s="16">
        <v>1.101077536</v>
      </c>
      <c r="F7" s="17" t="str">
        <f>IF(OR(Feuil1!C8="Rente viagère",Feuil1!C8="Rente viagère temporaire",Feuil1!C8="Assurance capital différé"),"R","K")</f>
        <v>R</v>
      </c>
      <c r="G7" s="18" t="str">
        <f>IF(Feuil1!J8="Homme","M","F")</f>
        <v>M</v>
      </c>
    </row>
    <row r="8" spans="1:26" ht="15.75" thickBot="1" x14ac:dyDescent="0.3">
      <c r="A8" s="19" t="s">
        <v>8</v>
      </c>
      <c r="B8" s="20">
        <v>1000450.59</v>
      </c>
      <c r="C8" s="20">
        <v>0.99910687600000003</v>
      </c>
      <c r="D8" s="20">
        <v>0.99954961399999998</v>
      </c>
      <c r="E8" s="21">
        <v>1.1037981109999999</v>
      </c>
    </row>
    <row r="9" spans="1:26" ht="15.75" thickBot="1" x14ac:dyDescent="0.3">
      <c r="A9" s="19" t="s">
        <v>9</v>
      </c>
      <c r="B9" s="20">
        <v>1000048.56</v>
      </c>
      <c r="C9" s="20">
        <v>0.99966973100000001</v>
      </c>
      <c r="D9" s="20">
        <v>0.99995144000000002</v>
      </c>
      <c r="E9" s="22">
        <v>1.116792454</v>
      </c>
      <c r="W9" s="23" t="s">
        <v>87</v>
      </c>
      <c r="X9" s="24">
        <f>IF(Feuil1!C8="Assurance capital différé",2,IF(Feuil1!C8="Rente viagère",3,IF(Feuil1!C8="Rente viagère temporaire",4,IF(Feuil1!C8="Assurance temporaire décès",5,IF(Feuil1!C8="Assurance vie entière",6,7)))))</f>
        <v>2</v>
      </c>
    </row>
    <row r="10" spans="1:26" x14ac:dyDescent="0.25">
      <c r="A10" s="19" t="s">
        <v>10</v>
      </c>
      <c r="B10" s="20">
        <v>1000097.39</v>
      </c>
      <c r="C10" s="20">
        <v>0.99925704800000004</v>
      </c>
      <c r="D10" s="20">
        <v>0.99990262399999996</v>
      </c>
      <c r="E10" s="22">
        <v>1.1220000000000001</v>
      </c>
    </row>
    <row r="11" spans="1:26" ht="15.75" thickBot="1" x14ac:dyDescent="0.3">
      <c r="A11" s="25" t="str">
        <f>CONCATENATE(G7,F7)</f>
        <v>MR</v>
      </c>
      <c r="B11" s="26">
        <f>VLOOKUP(A11,A7:E10,2,FALSE)</f>
        <v>1000266.63</v>
      </c>
      <c r="C11" s="26">
        <f>VLOOKUP(B11,B7:F10,2,FALSE)</f>
        <v>0.99944170399999999</v>
      </c>
      <c r="D11" s="26">
        <f>VLOOKUP(C11,C7:G10,2,FALSE)</f>
        <v>0.99973344099999994</v>
      </c>
      <c r="E11" s="27">
        <f>VLOOKUP(D11,D7:H10,2,FALSE)</f>
        <v>1.101077536</v>
      </c>
    </row>
    <row r="12" spans="1:26" ht="15.75" thickBot="1" x14ac:dyDescent="0.3">
      <c r="U12" s="28" t="s">
        <v>83</v>
      </c>
      <c r="V12" s="29" t="s">
        <v>82</v>
      </c>
      <c r="W12" s="28" t="s">
        <v>35</v>
      </c>
      <c r="X12" s="28" t="s">
        <v>84</v>
      </c>
      <c r="Y12" s="28" t="s">
        <v>85</v>
      </c>
      <c r="Z12" s="30" t="s">
        <v>86</v>
      </c>
    </row>
    <row r="13" spans="1:26" ht="15.75" thickBot="1" x14ac:dyDescent="0.3">
      <c r="T13" s="31" t="s">
        <v>93</v>
      </c>
      <c r="U13" s="32"/>
      <c r="V13" s="32"/>
      <c r="W13" s="32"/>
      <c r="X13" s="32"/>
      <c r="Y13" s="32"/>
      <c r="Z13" s="33"/>
    </row>
    <row r="14" spans="1:26" ht="15.75" thickBot="1" x14ac:dyDescent="0.3">
      <c r="T14" s="34" t="s">
        <v>89</v>
      </c>
      <c r="U14" s="35">
        <f>Feuil1!C12*Feuil2!A21</f>
        <v>40473.806149596574</v>
      </c>
      <c r="V14" s="35">
        <f>Feuil1!C14*Feuil2!C21</f>
        <v>3013.4582064372007</v>
      </c>
      <c r="W14" s="35">
        <f>Feuil1!C14*Feuil2!E21</f>
        <v>892.43701242738746</v>
      </c>
      <c r="X14" s="35">
        <f>Feuil1!C13*Feuil2!O21</f>
        <v>1191.7885674644433</v>
      </c>
      <c r="Y14" s="35">
        <f>Feuil1!C13*Feuil2!M21</f>
        <v>39339.389518333497</v>
      </c>
      <c r="Z14" s="36">
        <f>Feuil1!C13*Feuil2!O21+Feuil2!A21*Feuil1!C12</f>
        <v>41665.594717061016</v>
      </c>
    </row>
    <row r="15" spans="1:26" ht="21" thickBot="1" x14ac:dyDescent="0.4">
      <c r="A15" s="37" t="s">
        <v>43</v>
      </c>
      <c r="B15" s="37" t="s">
        <v>44</v>
      </c>
      <c r="C15" s="37" t="s">
        <v>45</v>
      </c>
      <c r="D15" s="38" t="s">
        <v>46</v>
      </c>
      <c r="E15" s="37" t="s">
        <v>47</v>
      </c>
      <c r="F15" s="37" t="s">
        <v>48</v>
      </c>
      <c r="G15" s="37" t="s">
        <v>49</v>
      </c>
      <c r="H15" s="37" t="s">
        <v>50</v>
      </c>
      <c r="I15" s="37" t="s">
        <v>51</v>
      </c>
      <c r="J15" s="37" t="s">
        <v>52</v>
      </c>
      <c r="K15" s="37" t="s">
        <v>53</v>
      </c>
      <c r="L15" s="37" t="s">
        <v>54</v>
      </c>
      <c r="M15" s="39" t="s">
        <v>55</v>
      </c>
      <c r="T15" s="34" t="s">
        <v>88</v>
      </c>
      <c r="U15" s="35">
        <f>U14/K21</f>
        <v>5437.9521816567703</v>
      </c>
      <c r="V15" s="35" t="s">
        <v>101</v>
      </c>
      <c r="W15" s="35" t="s">
        <v>101</v>
      </c>
      <c r="X15" s="35">
        <f>X14/K21</f>
        <v>160.12551961539367</v>
      </c>
      <c r="Y15" s="35">
        <f>Y14/K21</f>
        <v>5285.5350017136816</v>
      </c>
      <c r="Z15" s="36">
        <f>Z14/K21</f>
        <v>5598.0777012721637</v>
      </c>
    </row>
    <row r="16" spans="1:26" ht="20.25" customHeight="1" thickBot="1" x14ac:dyDescent="0.3">
      <c r="A16" s="40">
        <f>VLOOKUP(Feuil1!J11,Feuil2!$A$25:$K$136,6,FALSE)</f>
        <v>540448.26472467964</v>
      </c>
      <c r="B16" s="40">
        <f>VLOOKUP(Feuil1!J11+Feuil1!C9,Feuil2!A25:K136,6,FALSE)</f>
        <v>437479.96600705071</v>
      </c>
      <c r="C16" s="40">
        <f>VLOOKUP(Feuil1!$J$11+Feuil1!$C$11,Feuil2!$A$25:$K$136,6,FALSE)</f>
        <v>486691.74616316991</v>
      </c>
      <c r="D16" s="40">
        <f>VLOOKUP(Feuil1!$J$11,Feuil2!$A$25:$K$136,7,FALSE)</f>
        <v>16826630.849617984</v>
      </c>
      <c r="E16" s="40">
        <f>VLOOKUP(Feuil1!$J$11+1,Feuil2!$A$25:$K$136,7,FALSE)</f>
        <v>16286182.584893307</v>
      </c>
      <c r="F16" s="40">
        <f>VLOOKUP(Feuil1!$J$11+Feuil1!C9,Feuil2!$A$25:$K$136,7,FALSE)</f>
        <v>11900502.203475768</v>
      </c>
      <c r="G16" s="40">
        <f>VLOOKUP(Feuil1!$J$11+Feuil1!C9+1,Feuil2!$A$25:$K$136,7,FALSE)</f>
        <v>11463022.237468718</v>
      </c>
      <c r="H16" s="40">
        <f>VLOOKUP(Feuil1!$J$11+Feuil1!C10,Feuil2!$A$25:$K$136,7,FALSE)</f>
        <v>12804161.072458556</v>
      </c>
      <c r="I16" s="40">
        <f>VLOOKUP(Feuil1!$J$11+Feuil1!C11,Feuil2!$A$25:$K$136,7,FALSE)</f>
        <v>14233863.601356247</v>
      </c>
      <c r="J16" s="40">
        <f>VLOOKUP(Feuil1!$J$11+Feuil1!C11+1,Feuil2!$A$25:$K$136,7,FALSE)</f>
        <v>13747171.855193077</v>
      </c>
      <c r="K16" s="40">
        <f>VLOOKUP(Feuil1!$J$11,Feuil2!$A$25:$K$136,10,FALSE)</f>
        <v>212609.04800511591</v>
      </c>
      <c r="L16" s="40">
        <f>VLOOKUP(Feuil1!$J$11+Feuil1!C9,Feuil2!$A$25:$K$136,10,FALSE)</f>
        <v>206168.04737306721</v>
      </c>
      <c r="M16" s="40">
        <f>VLOOKUP(Feuil1!$J$11+Feuil1!C11,Feuil2!$A$25:$K$136,10,FALSE)</f>
        <v>209662.06794453916</v>
      </c>
      <c r="T16" s="34" t="s">
        <v>90</v>
      </c>
      <c r="U16" s="35">
        <f>IF(Feuil1!C11&lt;Feuil1!C9,Feuil1!C12*Feuil2!B21-Feuil2!U15*Feuil2!L21,0)</f>
        <v>28969.762535249851</v>
      </c>
      <c r="V16" s="35">
        <f>IF(Feuil1!C11&lt;Feuil1!C9,Feuil1!C14*Feuil2!D21,0)</f>
        <v>2824.6157785844498</v>
      </c>
      <c r="W16" s="35">
        <f>IF(Feuil1!C11&lt;Feuil1!C9,Feuil1!C14*Feuil2!F21,0)</f>
        <v>469.32162621031324</v>
      </c>
      <c r="X16" s="35">
        <f>IF(Feuil1!C11&lt;Feuil1!C9,Feuil1!C13*Feuil2!P21-Feuil2!X15*Feuil2!L21,0)</f>
        <v>247.52874434739306</v>
      </c>
      <c r="Y16" s="35">
        <f>IF(Feuil1!C11&lt;Feuil1!C9,Feuil1!C13*Feuil2!N21-Feuil2!Y15*Feuil2!L21,0)</f>
        <v>27552.273367362381</v>
      </c>
      <c r="Z16" s="36">
        <f>IF(Feuil1!C11&lt;Feuil1!C9,Feuil1!C13*Feuil2!P21+Feuil2!B21*Feuil1!C12-Feuil2!Z15*Feuil2!L21,0)</f>
        <v>29217.291279597244</v>
      </c>
    </row>
    <row r="17" spans="1:26" ht="15.75" thickBot="1" x14ac:dyDescent="0.3">
      <c r="T17" s="31" t="s">
        <v>91</v>
      </c>
      <c r="U17" s="32"/>
      <c r="V17" s="32"/>
      <c r="W17" s="32"/>
      <c r="X17" s="32"/>
      <c r="Y17" s="32"/>
      <c r="Z17" s="33"/>
    </row>
    <row r="18" spans="1:26" x14ac:dyDescent="0.25">
      <c r="T18" s="34" t="s">
        <v>94</v>
      </c>
      <c r="U18" s="35">
        <f>U14</f>
        <v>40473.806149596574</v>
      </c>
      <c r="V18" s="35">
        <f>V14+Feuil1!J15*Feuil1!C14*Feuil2!H21</f>
        <v>3044.5927885015726</v>
      </c>
      <c r="W18" s="35">
        <f>W14+Feuil1!J15*Feuil1!C14*Feuil2!J21</f>
        <v>901.55190642866944</v>
      </c>
      <c r="X18" s="35">
        <f>X14+Feuil1!J15*Feuil1!C13*Feuil2!J21</f>
        <v>10306.682568746384</v>
      </c>
      <c r="Y18" s="35">
        <f>Y14+Feuil1!J15*Feuil1!C13*Feuil2!H21</f>
        <v>70473.971582705504</v>
      </c>
      <c r="Z18" s="36">
        <f>Z14+Feuil1!J15*Feuil1!C13*J21</f>
        <v>50780.488718342953</v>
      </c>
    </row>
    <row r="19" spans="1:26" ht="15.75" thickBot="1" x14ac:dyDescent="0.3">
      <c r="T19" s="34" t="s">
        <v>95</v>
      </c>
      <c r="U19" s="35">
        <f>U15</f>
        <v>5437.9521816567703</v>
      </c>
      <c r="V19" s="35" t="s">
        <v>101</v>
      </c>
      <c r="W19" s="35" t="s">
        <v>101</v>
      </c>
      <c r="X19" s="35">
        <f>X18/K21</f>
        <v>1384.7782625928514</v>
      </c>
      <c r="Y19" s="35">
        <f>Y18/K21</f>
        <v>9468.6940512020647</v>
      </c>
      <c r="Z19" s="36">
        <f>Z18/K21</f>
        <v>6822.7304442496215</v>
      </c>
    </row>
    <row r="20" spans="1:26" ht="21" thickBot="1" x14ac:dyDescent="0.4">
      <c r="A20" s="37" t="s">
        <v>56</v>
      </c>
      <c r="B20" s="37" t="s">
        <v>57</v>
      </c>
      <c r="C20" s="37" t="s">
        <v>58</v>
      </c>
      <c r="D20" s="37" t="s">
        <v>59</v>
      </c>
      <c r="E20" s="37" t="s">
        <v>60</v>
      </c>
      <c r="F20" s="37" t="s">
        <v>61</v>
      </c>
      <c r="G20" s="41" t="s">
        <v>100</v>
      </c>
      <c r="H20" s="41" t="s">
        <v>62</v>
      </c>
      <c r="I20" s="41" t="s">
        <v>63</v>
      </c>
      <c r="J20" s="41" t="s">
        <v>64</v>
      </c>
      <c r="K20" s="41" t="s">
        <v>65</v>
      </c>
      <c r="L20" s="41" t="s">
        <v>66</v>
      </c>
      <c r="M20" s="41" t="s">
        <v>67</v>
      </c>
      <c r="N20" s="41" t="s">
        <v>68</v>
      </c>
      <c r="O20" s="41" t="s">
        <v>69</v>
      </c>
      <c r="P20" s="41" t="s">
        <v>70</v>
      </c>
      <c r="Q20" s="42" t="s">
        <v>71</v>
      </c>
      <c r="R20" s="41" t="s">
        <v>102</v>
      </c>
      <c r="T20" s="34" t="s">
        <v>99</v>
      </c>
      <c r="U20" s="35">
        <f>U16</f>
        <v>28969.762535249851</v>
      </c>
      <c r="V20" s="35">
        <f>IF(Feuil1!C11&lt;Feuil1!C9,Feuil2!V16+Feuil1!J15*Feuil1!C14*Feuil2!I21,0)</f>
        <v>2853.8619363702942</v>
      </c>
      <c r="W20" s="35">
        <f>IF(Feuil1!C11&lt;Feuil1!C9,W16+Feuil1!J15*Feuil1!C14*Feuil2!G21,0)</f>
        <v>474.11595735785278</v>
      </c>
      <c r="X20" s="35">
        <f>IF(Feuil1!C11&lt;Feuil1!C9,Feuil1!C13*Feuil2!P21+Feuil1!J15*Feuil1!C13*Feuil2!G21-Feuil2!X19*Feuil2!L21,0)</f>
        <v>1444.3279068892457</v>
      </c>
      <c r="Y20" s="35">
        <f>IF(Feuil1!C11&lt;Feuil1!C9,Feuil1!C13*Feuil2!N21+Feuil1!J15*Feuil1!C13*Feuil2!G21-Feuil2!Y19*Feuil2!L21,0)</f>
        <v>20058.183519511302</v>
      </c>
      <c r="Z20" s="36">
        <f>IF(Feuil1!C11&lt;Feuil1!C9,Feuil1!C13*Feuil2!P21+Feuil2!B21*Feuil1!C12+Feuil1!J15*Feuil1!C13*Feuil2!G21-Feuil2!Z19*Feuil2!L21,0)</f>
        <v>30414.090442139091</v>
      </c>
    </row>
    <row r="21" spans="1:26" ht="18" customHeight="1" thickBot="1" x14ac:dyDescent="0.3">
      <c r="A21" s="43">
        <f>B16/A16</f>
        <v>0.8094761229919315</v>
      </c>
      <c r="B21" s="44">
        <f>B16/C16</f>
        <v>0.89888511456362297</v>
      </c>
      <c r="C21" s="44">
        <f>E16/A16</f>
        <v>30.134582064372008</v>
      </c>
      <c r="D21" s="44">
        <f>J16/C16</f>
        <v>28.246157785844499</v>
      </c>
      <c r="E21" s="44">
        <f>(E16-G16)/A16</f>
        <v>8.9243701242738744</v>
      </c>
      <c r="F21" s="44">
        <f>(J16-G16)/C16</f>
        <v>4.6932162621031326</v>
      </c>
      <c r="G21" s="44">
        <f>(I16-F16)/C16</f>
        <v>4.7943311475395127</v>
      </c>
      <c r="H21" s="45">
        <f>D16/A16</f>
        <v>31.134582064372005</v>
      </c>
      <c r="I21" s="44">
        <f>I16/C16</f>
        <v>29.246157785844503</v>
      </c>
      <c r="J21" s="44">
        <f>(D16-F16)/A16</f>
        <v>9.1148940012819395</v>
      </c>
      <c r="K21" s="44">
        <f>(D16-H16)/A16</f>
        <v>7.442839656833006</v>
      </c>
      <c r="L21" s="44">
        <f>IF(Feuil1!C11&lt;Feuil1!C10,(I16-H16)/C16,0)</f>
        <v>2.9375935387619347</v>
      </c>
      <c r="M21" s="44">
        <f>K16/A16</f>
        <v>0.39339389518333501</v>
      </c>
      <c r="N21" s="44">
        <f>M16/C16</f>
        <v>0.43079026837296547</v>
      </c>
      <c r="O21" s="44">
        <f>(K16-L16)/A16</f>
        <v>1.1917885674644432E-2</v>
      </c>
      <c r="P21" s="44">
        <f>(M16-L16)/C16</f>
        <v>7.17912436160471E-3</v>
      </c>
      <c r="Q21" s="46">
        <f>O21+A21</f>
        <v>0.82139400866657597</v>
      </c>
      <c r="R21" s="44">
        <f>P21+B21</f>
        <v>0.90606423892522769</v>
      </c>
      <c r="T21" s="31" t="s">
        <v>92</v>
      </c>
      <c r="U21" s="32"/>
      <c r="V21" s="32"/>
      <c r="W21" s="32"/>
      <c r="X21" s="32"/>
      <c r="Y21" s="32"/>
      <c r="Z21" s="33"/>
    </row>
    <row r="22" spans="1:26" x14ac:dyDescent="0.25">
      <c r="T22" s="34" t="s">
        <v>96</v>
      </c>
      <c r="U22" s="35">
        <f>(U18+Feuil1!J16*Feuil1!C12)/(1-Feuil1!J14)</f>
        <v>45526.451277329528</v>
      </c>
      <c r="V22" s="35">
        <f>(V18+Feuil1!J16*Feuil1!C14)/(1-Feuil1!J14)</f>
        <v>3383.9919872239693</v>
      </c>
      <c r="W22" s="35">
        <f>(Feuil2!W18+Feuil1!J16*Feuil1!C14)/(1-Feuil1!J14)</f>
        <v>1002.8354515874105</v>
      </c>
      <c r="X22" s="35">
        <f>X18/(1-Feuil1!J14)</f>
        <v>11451.869520829316</v>
      </c>
      <c r="Y22" s="35">
        <f>(Y18+Feuil1!J17*Feuil1!C13)/(1-Feuil1!J14)</f>
        <v>79415.523980783895</v>
      </c>
      <c r="Z22" s="36">
        <f>(Z18+Feuil1!J16*Feuil1!C12+Feuil1!J17*Feuil1!C13)/(1-Feuil1!J14)</f>
        <v>58089.431909269944</v>
      </c>
    </row>
    <row r="23" spans="1:26" x14ac:dyDescent="0.25">
      <c r="T23" s="34" t="s">
        <v>97</v>
      </c>
      <c r="U23" s="35">
        <f>U22/K21</f>
        <v>6116.8120470704098</v>
      </c>
      <c r="V23" s="35" t="s">
        <v>101</v>
      </c>
      <c r="W23" s="35" t="s">
        <v>101</v>
      </c>
      <c r="X23" s="35">
        <f>X22/K21</f>
        <v>1538.642513992057</v>
      </c>
      <c r="Y23" s="35">
        <f>Y22/K21</f>
        <v>10670.057080683624</v>
      </c>
      <c r="Z23" s="36">
        <f>Z22/K21</f>
        <v>7804.7404737437955</v>
      </c>
    </row>
    <row r="24" spans="1:26" ht="15.75" thickBot="1" x14ac:dyDescent="0.3">
      <c r="T24" s="47" t="s">
        <v>98</v>
      </c>
      <c r="U24" s="48">
        <f>IF(Feuil1!C11&lt;Feuil1!C9,Feuil1!C12*Feuil2!B21-(1-Feuil1!J14)*Feuil2!U23*Feuil2!L21,0)</f>
        <v>28772.418935615467</v>
      </c>
      <c r="V24" s="44">
        <f>V20</f>
        <v>2853.8619363702942</v>
      </c>
      <c r="W24" s="44">
        <f>W20</f>
        <v>474.11595735785278</v>
      </c>
      <c r="X24" s="48">
        <f>IF(Feuil1!C11&lt;Feuil1!C9,Feuil1!C13*Feuil2!P21+Feuil1!J15*Feuil1!C13*Feuil2!G21-(1-Feuil1!J14)*Feuil2!L21*Feuil2!X23,0)</f>
        <v>1444.3279068892457</v>
      </c>
      <c r="Y24" s="48">
        <f>IF(Feuil1!C11&lt;Feuil1!C9,Feuil1!C13*Feuil2!N21+Feuil1!J15*Feuil1!C13*Feuil2!I21-(1-Feuil1!J14)*Feuil2!Y23*Feuil2!L21,0)</f>
        <v>44115.32295854752</v>
      </c>
      <c r="Z24" s="49">
        <f>Feuil1!C13*Feuil2!P21+Feuil2!B21*Feuil1!C12+Feuil1!J15*Feuil1!C13*Feuil2!G21-(1-Feuil1!J14)*Feuil2!Z23*Feuil2!L21</f>
        <v>29822.059643235945</v>
      </c>
    </row>
    <row r="25" spans="1:26" ht="18.75" thickBot="1" x14ac:dyDescent="0.4">
      <c r="A25" s="50" t="s">
        <v>13</v>
      </c>
      <c r="B25" s="51" t="s">
        <v>72</v>
      </c>
      <c r="C25" s="50" t="s">
        <v>73</v>
      </c>
      <c r="D25" s="51" t="s">
        <v>74</v>
      </c>
      <c r="E25" s="50" t="s">
        <v>75</v>
      </c>
      <c r="F25" s="52" t="s">
        <v>80</v>
      </c>
      <c r="G25" s="50" t="s">
        <v>76</v>
      </c>
      <c r="H25" s="51" t="s">
        <v>77</v>
      </c>
      <c r="I25" s="50" t="s">
        <v>78</v>
      </c>
      <c r="J25" s="52" t="s">
        <v>81</v>
      </c>
      <c r="K25" s="50" t="s">
        <v>79</v>
      </c>
    </row>
    <row r="26" spans="1:26" x14ac:dyDescent="0.25">
      <c r="A26" s="53">
        <v>0</v>
      </c>
      <c r="B26" s="54">
        <f>$B$11*($C$11^A26)*($D$11)^($E$11^A26)</f>
        <v>999999.99992737384</v>
      </c>
      <c r="C26" s="55">
        <f>B26-B27</f>
        <v>585.22731137904339</v>
      </c>
      <c r="D26" s="54">
        <f>B27/B26</f>
        <v>0.99941477268857848</v>
      </c>
      <c r="E26" s="55">
        <f>1-D26</f>
        <v>5.8522731142152118E-4</v>
      </c>
      <c r="F26" s="56">
        <f>B26*POWER(1/(1+Feuil1!$C$15),A26)</f>
        <v>999999.99992737384</v>
      </c>
      <c r="G26" s="55">
        <f>SUM(F26:F$136)</f>
        <v>39482192.845649496</v>
      </c>
      <c r="H26" s="54">
        <f>SUM(G26:G$136)</f>
        <v>1190701990.0498481</v>
      </c>
      <c r="I26" s="55">
        <f>C26*POWER(1/(1+Feuil1!$C$15),(A26+0.5))</f>
        <v>579.46138444480493</v>
      </c>
      <c r="J26" s="56">
        <f>SUM(I26:I$136)</f>
        <v>228086.56901383508</v>
      </c>
      <c r="K26" s="55">
        <f>SUM(J26:J$136)</f>
        <v>16295647.164894221</v>
      </c>
    </row>
    <row r="27" spans="1:26" x14ac:dyDescent="0.25">
      <c r="A27" s="57">
        <v>1</v>
      </c>
      <c r="B27" s="58">
        <f t="shared" ref="B27:B90" si="0">$B$11*$C$11^A27*$D$11^($E$11^A27)</f>
        <v>999414.77261599479</v>
      </c>
      <c r="C27" s="59">
        <f t="shared" ref="C27:C90" si="1">B27-B28</f>
        <v>587.6053375354968</v>
      </c>
      <c r="D27" s="58">
        <f t="shared" ref="D27:D90" si="2">B28/B27</f>
        <v>0.99941205057836258</v>
      </c>
      <c r="E27" s="59">
        <f t="shared" ref="E27:E90" si="3">1-D27</f>
        <v>5.879494216374237E-4</v>
      </c>
      <c r="F27" s="60">
        <f>B27*POWER(1/(1+Feuil1!$C$15),A27)</f>
        <v>979818.40452548501</v>
      </c>
      <c r="G27" s="59">
        <f>SUM(F27:F$136)</f>
        <v>38482192.845722124</v>
      </c>
      <c r="H27" s="58">
        <f>SUM(G27:G$136)</f>
        <v>1151219797.2041986</v>
      </c>
      <c r="I27" s="59">
        <f>C27*POWER(1/(1+Feuil1!$C$15),(A27+0.5))</f>
        <v>570.40782470661907</v>
      </c>
      <c r="J27" s="60">
        <f>SUM(I27:I$136)</f>
        <v>227507.10762939026</v>
      </c>
      <c r="K27" s="59">
        <f>SUM(J27:J$136)</f>
        <v>16067560.595880387</v>
      </c>
    </row>
    <row r="28" spans="1:26" x14ac:dyDescent="0.25">
      <c r="A28" s="57">
        <v>2</v>
      </c>
      <c r="B28" s="58">
        <f t="shared" si="0"/>
        <v>998827.1672784593</v>
      </c>
      <c r="C28" s="59">
        <f t="shared" si="1"/>
        <v>590.25358588271774</v>
      </c>
      <c r="D28" s="58">
        <f t="shared" si="2"/>
        <v>0.99940905333252894</v>
      </c>
      <c r="E28" s="59">
        <f t="shared" si="3"/>
        <v>5.9094666747105951E-4</v>
      </c>
      <c r="F28" s="60">
        <f>B28*POWER(1/(1+Feuil1!$C$15),A28)</f>
        <v>960041.49104042607</v>
      </c>
      <c r="G28" s="59">
        <f>SUM(F28:F$136)</f>
        <v>37502374.441196643</v>
      </c>
      <c r="H28" s="58">
        <f>SUM(G28:G$136)</f>
        <v>1112737604.3584764</v>
      </c>
      <c r="I28" s="59">
        <f>C28*POWER(1/(1+Feuil1!$C$15),(A28+0.5))</f>
        <v>561.74369261336437</v>
      </c>
      <c r="J28" s="60">
        <f>SUM(I28:I$136)</f>
        <v>226936.69980468365</v>
      </c>
      <c r="K28" s="59">
        <f>SUM(J28:J$136)</f>
        <v>15840053.488250995</v>
      </c>
    </row>
    <row r="29" spans="1:26" x14ac:dyDescent="0.25">
      <c r="A29" s="57">
        <v>3</v>
      </c>
      <c r="B29" s="58">
        <f t="shared" si="0"/>
        <v>998236.91369257658</v>
      </c>
      <c r="C29" s="59">
        <f t="shared" si="1"/>
        <v>593.19914863363374</v>
      </c>
      <c r="D29" s="58">
        <f t="shared" si="2"/>
        <v>0.99940575314286928</v>
      </c>
      <c r="E29" s="59">
        <f t="shared" si="3"/>
        <v>5.9424685713072023E-4</v>
      </c>
      <c r="F29" s="60">
        <f>B29*POWER(1/(1+Feuil1!$C$15),A29)</f>
        <v>940660.93894182518</v>
      </c>
      <c r="G29" s="59">
        <f>SUM(F29:F$136)</f>
        <v>36542332.950156219</v>
      </c>
      <c r="H29" s="58">
        <f>SUM(G29:G$136)</f>
        <v>1075235229.9172792</v>
      </c>
      <c r="I29" s="59">
        <f>C29*POWER(1/(1+Feuil1!$C$15),(A29+0.5))</f>
        <v>553.47743280812756</v>
      </c>
      <c r="J29" s="60">
        <f>SUM(I29:I$136)</f>
        <v>226374.9561120703</v>
      </c>
      <c r="K29" s="59">
        <f>SUM(J29:J$136)</f>
        <v>15613116.788446313</v>
      </c>
    </row>
    <row r="30" spans="1:26" x14ac:dyDescent="0.25">
      <c r="A30" s="57">
        <v>4</v>
      </c>
      <c r="B30" s="58">
        <f t="shared" si="0"/>
        <v>997643.71454394294</v>
      </c>
      <c r="C30" s="59">
        <f t="shared" si="1"/>
        <v>596.47183183941524</v>
      </c>
      <c r="D30" s="58">
        <f t="shared" si="2"/>
        <v>0.99940211939077661</v>
      </c>
      <c r="E30" s="59">
        <f t="shared" si="3"/>
        <v>5.9788060922338904E-4</v>
      </c>
      <c r="F30" s="60">
        <f>B30*POWER(1/(1+Feuil1!$C$15),A30)</f>
        <v>921668.58248552296</v>
      </c>
      <c r="G30" s="59">
        <f>SUM(F30:F$136)</f>
        <v>35601672.011214398</v>
      </c>
      <c r="H30" s="58">
        <f>SUM(G30:G$136)</f>
        <v>1038692896.9671235</v>
      </c>
      <c r="I30" s="59">
        <f>C30*POWER(1/(1+Feuil1!$C$15),(A30+0.5))</f>
        <v>545.61859909132136</v>
      </c>
      <c r="J30" s="60">
        <f>SUM(I30:I$136)</f>
        <v>225821.47867926216</v>
      </c>
      <c r="K30" s="59">
        <f>SUM(J30:J$136)</f>
        <v>15386741.832334245</v>
      </c>
    </row>
    <row r="31" spans="1:26" x14ac:dyDescent="0.25">
      <c r="A31" s="57">
        <v>5</v>
      </c>
      <c r="B31" s="58">
        <f t="shared" si="0"/>
        <v>997047.24271210353</v>
      </c>
      <c r="C31" s="59">
        <f t="shared" si="1"/>
        <v>600.10442635277286</v>
      </c>
      <c r="D31" s="58">
        <f t="shared" si="2"/>
        <v>0.99939811836325787</v>
      </c>
      <c r="E31" s="59">
        <f t="shared" si="3"/>
        <v>6.018816367421298E-4</v>
      </c>
      <c r="F31" s="60">
        <f>B31*POWER(1/(1+Feuil1!$C$15),A31)</f>
        <v>903056.40658031811</v>
      </c>
      <c r="G31" s="59">
        <f>SUM(F31:F$136)</f>
        <v>34680003.428728871</v>
      </c>
      <c r="H31" s="58">
        <f>SUM(G31:G$136)</f>
        <v>1003091224.9559091</v>
      </c>
      <c r="I31" s="59">
        <f>C31*POWER(1/(1+Feuil1!$C$15),(A31+0.5))</f>
        <v>538.17793186916674</v>
      </c>
      <c r="J31" s="60">
        <f>SUM(I31:I$136)</f>
        <v>225275.86008017085</v>
      </c>
      <c r="K31" s="59">
        <f>SUM(J31:J$136)</f>
        <v>15160920.353654983</v>
      </c>
    </row>
    <row r="32" spans="1:26" x14ac:dyDescent="0.25">
      <c r="A32" s="57">
        <v>6</v>
      </c>
      <c r="B32" s="58">
        <f t="shared" si="0"/>
        <v>996447.13828575076</v>
      </c>
      <c r="C32" s="59">
        <f t="shared" si="1"/>
        <v>604.13300565257668</v>
      </c>
      <c r="D32" s="58">
        <f t="shared" si="2"/>
        <v>0.99939371294026502</v>
      </c>
      <c r="E32" s="59">
        <f t="shared" si="3"/>
        <v>6.0628705973497787E-4</v>
      </c>
      <c r="F32" s="60">
        <f>B32*POWER(1/(1+Feuil1!$C$15),A32)</f>
        <v>884816.5426590736</v>
      </c>
      <c r="G32" s="59">
        <f>SUM(F32:F$136)</f>
        <v>33776947.022148579</v>
      </c>
      <c r="H32" s="58">
        <f>SUM(G32:G$136)</f>
        <v>968411221.52718019</v>
      </c>
      <c r="I32" s="59">
        <f>C32*POWER(1/(1+Feuil1!$C$15),(A32+0.5))</f>
        <v>531.16744169899687</v>
      </c>
      <c r="J32" s="60">
        <f>SUM(I32:I$136)</f>
        <v>224737.68214830168</v>
      </c>
      <c r="K32" s="59">
        <f>SUM(J32:J$136)</f>
        <v>14935644.493574811</v>
      </c>
    </row>
    <row r="33" spans="1:11" x14ac:dyDescent="0.25">
      <c r="A33" s="57">
        <v>7</v>
      </c>
      <c r="B33" s="58">
        <f t="shared" si="0"/>
        <v>995843.00528009818</v>
      </c>
      <c r="C33" s="59">
        <f t="shared" si="1"/>
        <v>608.59725316858385</v>
      </c>
      <c r="D33" s="58">
        <f t="shared" si="2"/>
        <v>0.99938886225043333</v>
      </c>
      <c r="E33" s="59">
        <f t="shared" si="3"/>
        <v>6.1113774956667033E-4</v>
      </c>
      <c r="F33" s="60">
        <f>B33*POWER(1/(1+Feuil1!$C$15),A33)</f>
        <v>866941.26454805874</v>
      </c>
      <c r="G33" s="59">
        <f>SUM(F33:F$136)</f>
        <v>32892130.479489516</v>
      </c>
      <c r="H33" s="58">
        <f>SUM(G33:G$136)</f>
        <v>934634274.5050317</v>
      </c>
      <c r="I33" s="59">
        <f>C33*POWER(1/(1+Feuil1!$C$15),(A33+0.5))</f>
        <v>524.60049938676002</v>
      </c>
      <c r="J33" s="60">
        <f>SUM(I33:I$136)</f>
        <v>224206.5147066027</v>
      </c>
      <c r="K33" s="59">
        <f>SUM(J33:J$136)</f>
        <v>14710906.811426511</v>
      </c>
    </row>
    <row r="34" spans="1:11" x14ac:dyDescent="0.25">
      <c r="A34" s="57">
        <v>8</v>
      </c>
      <c r="B34" s="58">
        <f t="shared" si="0"/>
        <v>995234.4080269296</v>
      </c>
      <c r="C34" s="59">
        <f t="shared" si="1"/>
        <v>613.54082195879892</v>
      </c>
      <c r="D34" s="58">
        <f t="shared" si="2"/>
        <v>0.9993835212920591</v>
      </c>
      <c r="E34" s="59">
        <f t="shared" si="3"/>
        <v>6.1647870794090398E-4</v>
      </c>
      <c r="F34" s="60">
        <f>B34*POWER(1/(1+Feuil1!$C$15),A34)</f>
        <v>849422.98432807485</v>
      </c>
      <c r="G34" s="59">
        <f>SUM(F34:F$136)</f>
        <v>32025189.214941453</v>
      </c>
      <c r="H34" s="58">
        <f>SUM(G34:G$136)</f>
        <v>901742144.02554214</v>
      </c>
      <c r="I34" s="59">
        <f>C34*POWER(1/(1+Feuil1!$C$15),(A34+0.5))</f>
        <v>518.49193308957001</v>
      </c>
      <c r="J34" s="60">
        <f>SUM(I34:I$136)</f>
        <v>223681.91420721592</v>
      </c>
      <c r="K34" s="59">
        <f>SUM(J34:J$136)</f>
        <v>14486700.296719907</v>
      </c>
    </row>
    <row r="35" spans="1:11" x14ac:dyDescent="0.25">
      <c r="A35" s="57">
        <v>9</v>
      </c>
      <c r="B35" s="58">
        <f t="shared" si="0"/>
        <v>994620.8672049708</v>
      </c>
      <c r="C35" s="59">
        <f t="shared" si="1"/>
        <v>619.01172989874613</v>
      </c>
      <c r="D35" s="58">
        <f t="shared" si="2"/>
        <v>0.99937764051578948</v>
      </c>
      <c r="E35" s="59">
        <f t="shared" si="3"/>
        <v>6.2235948421052179E-4</v>
      </c>
      <c r="F35" s="60">
        <f>B35*POWER(1/(1+Feuil1!$C$15),A35)</f>
        <v>832254.24818058917</v>
      </c>
      <c r="G35" s="59">
        <f>SUM(F35:F$136)</f>
        <v>31175766.230613384</v>
      </c>
      <c r="H35" s="58">
        <f>SUM(G35:G$136)</f>
        <v>869716954.81060064</v>
      </c>
      <c r="I35" s="59">
        <f>C35*POWER(1/(1+Feuil1!$C$15),(A35+0.5))</f>
        <v>512.85813293906017</v>
      </c>
      <c r="J35" s="60">
        <f>SUM(I35:I$136)</f>
        <v>223163.42227412635</v>
      </c>
      <c r="K35" s="59">
        <f>SUM(J35:J$136)</f>
        <v>14263018.382512694</v>
      </c>
    </row>
    <row r="36" spans="1:11" x14ac:dyDescent="0.25">
      <c r="A36" s="57">
        <v>10</v>
      </c>
      <c r="B36" s="58">
        <f t="shared" si="0"/>
        <v>994001.85547507205</v>
      </c>
      <c r="C36" s="59">
        <f t="shared" si="1"/>
        <v>625.06279380514752</v>
      </c>
      <c r="D36" s="58">
        <f t="shared" si="2"/>
        <v>0.9993711653651729</v>
      </c>
      <c r="E36" s="59">
        <f t="shared" si="3"/>
        <v>6.2883463482710233E-4</v>
      </c>
      <c r="F36" s="60">
        <f>B36*POWER(1/(1+Feuil1!$C$15),A36)</f>
        <v>815427.73221172486</v>
      </c>
      <c r="G36" s="59">
        <f>SUM(F36:F$136)</f>
        <v>30343511.982432794</v>
      </c>
      <c r="H36" s="58">
        <f>SUM(G36:G$136)</f>
        <v>838541188.57998729</v>
      </c>
      <c r="I36" s="59">
        <f>C36*POWER(1/(1+Feuil1!$C$15),(A36+0.5))</f>
        <v>507.71716370528094</v>
      </c>
      <c r="J36" s="60">
        <f>SUM(I36:I$136)</f>
        <v>222650.56414118729</v>
      </c>
      <c r="K36" s="59">
        <f>SUM(J36:J$136)</f>
        <v>14039854.960238567</v>
      </c>
    </row>
    <row r="37" spans="1:11" x14ac:dyDescent="0.25">
      <c r="A37" s="57">
        <v>11</v>
      </c>
      <c r="B37" s="58">
        <f t="shared" si="0"/>
        <v>993376.7926812669</v>
      </c>
      <c r="C37" s="59">
        <f t="shared" si="1"/>
        <v>631.75210624781903</v>
      </c>
      <c r="D37" s="58">
        <f t="shared" si="2"/>
        <v>0.99936403577081501</v>
      </c>
      <c r="E37" s="59">
        <f t="shared" si="3"/>
        <v>6.3596422918499318E-4</v>
      </c>
      <c r="F37" s="60">
        <f>B37*POWER(1/(1+Feuil1!$C$15),A37)</f>
        <v>798936.23824657989</v>
      </c>
      <c r="G37" s="59">
        <f>SUM(F37:F$136)</f>
        <v>29528084.250221062</v>
      </c>
      <c r="H37" s="58">
        <f>SUM(G37:G$136)</f>
        <v>808197676.59755445</v>
      </c>
      <c r="I37" s="59">
        <f>C37*POWER(1/(1+Feuil1!$C$15),(A37+0.5))</f>
        <v>503.08888606460692</v>
      </c>
      <c r="J37" s="60">
        <f>SUM(I37:I$136)</f>
        <v>222142.84697748203</v>
      </c>
      <c r="K37" s="59">
        <f>SUM(J37:J$136)</f>
        <v>13817204.396097379</v>
      </c>
    </row>
    <row r="38" spans="1:11" x14ac:dyDescent="0.25">
      <c r="A38" s="57">
        <v>12</v>
      </c>
      <c r="B38" s="58">
        <f t="shared" si="0"/>
        <v>992745.04057501908</v>
      </c>
      <c r="C38" s="59">
        <f t="shared" si="1"/>
        <v>639.14355914108455</v>
      </c>
      <c r="D38" s="58">
        <f t="shared" si="2"/>
        <v>0.99935618559346229</v>
      </c>
      <c r="E38" s="59">
        <f t="shared" si="3"/>
        <v>6.4381440653771271E-4</v>
      </c>
      <c r="F38" s="60">
        <f>B38*POWER(1/(1+Feuil1!$C$15),A38)</f>
        <v>782772.68958593672</v>
      </c>
      <c r="G38" s="59">
        <f>SUM(F38:F$136)</f>
        <v>28729148.01197448</v>
      </c>
      <c r="H38" s="58">
        <f>SUM(G38:G$136)</f>
        <v>778669592.34733355</v>
      </c>
      <c r="I38" s="59">
        <f>C38*POWER(1/(1+Feuil1!$C$15),(A38+0.5))</f>
        <v>498.99508706161117</v>
      </c>
      <c r="J38" s="60">
        <f>SUM(I38:I$136)</f>
        <v>221639.7580914174</v>
      </c>
      <c r="K38" s="59">
        <f>SUM(J38:J$136)</f>
        <v>13595061.549119895</v>
      </c>
    </row>
    <row r="39" spans="1:11" x14ac:dyDescent="0.25">
      <c r="A39" s="57">
        <v>13</v>
      </c>
      <c r="B39" s="58">
        <f t="shared" si="0"/>
        <v>992105.897015878</v>
      </c>
      <c r="C39" s="59">
        <f t="shared" si="1"/>
        <v>647.30741858680267</v>
      </c>
      <c r="D39" s="58">
        <f t="shared" si="2"/>
        <v>0.99934754201085407</v>
      </c>
      <c r="E39" s="59">
        <f t="shared" si="3"/>
        <v>6.5245798914592701E-4</v>
      </c>
      <c r="F39" s="60">
        <f>B39*POWER(1/(1+Feuil1!$C$15),A39)</f>
        <v>766930.12671699701</v>
      </c>
      <c r="G39" s="59">
        <f>SUM(F39:F$136)</f>
        <v>27946375.322388548</v>
      </c>
      <c r="H39" s="58">
        <f>SUM(G39:G$136)</f>
        <v>749940444.3353591</v>
      </c>
      <c r="I39" s="59">
        <f>C39*POWER(1/(1+Feuil1!$C$15),(A39+0.5))</f>
        <v>495.45962039438393</v>
      </c>
      <c r="J39" s="60">
        <f>SUM(I39:I$136)</f>
        <v>221140.7630043558</v>
      </c>
      <c r="K39" s="59">
        <f>SUM(J39:J$136)</f>
        <v>13373421.791028479</v>
      </c>
    </row>
    <row r="40" spans="1:11" x14ac:dyDescent="0.25">
      <c r="A40" s="57">
        <v>14</v>
      </c>
      <c r="B40" s="58">
        <f t="shared" si="0"/>
        <v>991458.5895972912</v>
      </c>
      <c r="C40" s="59">
        <f t="shared" si="1"/>
        <v>656.32095581537578</v>
      </c>
      <c r="D40" s="58">
        <f t="shared" si="2"/>
        <v>0.99933802484268963</v>
      </c>
      <c r="E40" s="59">
        <f t="shared" si="3"/>
        <v>6.6197515731036827E-4</v>
      </c>
      <c r="F40" s="60">
        <f>B40*POWER(1/(1+Feuil1!$C$15),A40)</f>
        <v>751401.70296931744</v>
      </c>
      <c r="G40" s="59">
        <f>SUM(F40:F$136)</f>
        <v>27179445.195671547</v>
      </c>
      <c r="H40" s="58">
        <f>SUM(G40:G$136)</f>
        <v>721994069.01297057</v>
      </c>
      <c r="I40" s="59">
        <f>C40*POWER(1/(1+Feuil1!$C$15),(A40+0.5))</f>
        <v>492.50855716404686</v>
      </c>
      <c r="J40" s="60">
        <f>SUM(I40:I$136)</f>
        <v>220645.30338396141</v>
      </c>
      <c r="K40" s="59">
        <f>SUM(J40:J$136)</f>
        <v>13152281.02802412</v>
      </c>
    </row>
    <row r="41" spans="1:11" x14ac:dyDescent="0.25">
      <c r="A41" s="57">
        <v>15</v>
      </c>
      <c r="B41" s="58">
        <f t="shared" si="0"/>
        <v>990802.26864147582</v>
      </c>
      <c r="C41" s="59">
        <f t="shared" si="1"/>
        <v>666.26913952815812</v>
      </c>
      <c r="D41" s="58">
        <f t="shared" si="2"/>
        <v>0.99932754580745797</v>
      </c>
      <c r="E41" s="59">
        <f t="shared" si="3"/>
        <v>6.7245419254202687E-4</v>
      </c>
      <c r="F41" s="60">
        <f>B41*POWER(1/(1+Feuil1!$C$15),A41)</f>
        <v>736180.68010665791</v>
      </c>
      <c r="G41" s="59">
        <f>SUM(F41:F$136)</f>
        <v>26428043.492702235</v>
      </c>
      <c r="H41" s="58">
        <f>SUM(G41:G$136)</f>
        <v>694814623.81729901</v>
      </c>
      <c r="I41" s="59">
        <f>C41*POWER(1/(1+Feuil1!$C$15),(A41+0.5))</f>
        <v>490.17034778190146</v>
      </c>
      <c r="J41" s="60">
        <f>SUM(I41:I$136)</f>
        <v>220152.79482679736</v>
      </c>
      <c r="K41" s="59">
        <f>SUM(J41:J$136)</f>
        <v>12931635.724640159</v>
      </c>
    </row>
    <row r="42" spans="1:11" x14ac:dyDescent="0.25">
      <c r="A42" s="57">
        <v>16</v>
      </c>
      <c r="B42" s="58">
        <f t="shared" si="0"/>
        <v>990135.99950194766</v>
      </c>
      <c r="C42" s="59">
        <f t="shared" si="1"/>
        <v>677.24539538437966</v>
      </c>
      <c r="D42" s="58">
        <f t="shared" si="2"/>
        <v>0.99931600770426987</v>
      </c>
      <c r="E42" s="59">
        <f t="shared" si="3"/>
        <v>6.8399229573012921E-4</v>
      </c>
      <c r="F42" s="60">
        <f>B42*POWER(1/(1+Feuil1!$C$15),A42)</f>
        <v>721260.4238449526</v>
      </c>
      <c r="G42" s="59">
        <f>SUM(F42:F$136)</f>
        <v>25691862.81259558</v>
      </c>
      <c r="H42" s="58">
        <f>SUM(G42:G$136)</f>
        <v>668386580.32459676</v>
      </c>
      <c r="I42" s="59">
        <f>C42*POWER(1/(1+Feuil1!$C$15),(A42+0.5))</f>
        <v>488.47599574024372</v>
      </c>
      <c r="J42" s="60">
        <f>SUM(I42:I$136)</f>
        <v>219662.62447901547</v>
      </c>
      <c r="K42" s="59">
        <f>SUM(J42:J$136)</f>
        <v>12711482.929813365</v>
      </c>
    </row>
    <row r="43" spans="1:11" x14ac:dyDescent="0.25">
      <c r="A43" s="57">
        <v>17</v>
      </c>
      <c r="B43" s="58">
        <f t="shared" si="0"/>
        <v>989458.75410656328</v>
      </c>
      <c r="C43" s="59">
        <f t="shared" si="1"/>
        <v>689.3524388713995</v>
      </c>
      <c r="D43" s="58">
        <f t="shared" si="2"/>
        <v>0.99930330351213692</v>
      </c>
      <c r="E43" s="59">
        <f t="shared" si="3"/>
        <v>6.9669648786307992E-4</v>
      </c>
      <c r="F43" s="60">
        <f>B43*POWER(1/(1+Feuil1!$C$15),A43)</f>
        <v>706634.39928610541</v>
      </c>
      <c r="G43" s="59">
        <f>SUM(F43:F$136)</f>
        <v>24970602.388750631</v>
      </c>
      <c r="H43" s="58">
        <f>SUM(G43:G$136)</f>
        <v>642694717.51200116</v>
      </c>
      <c r="I43" s="59">
        <f>C43*POWER(1/(1+Feuil1!$C$15),(A43+0.5))</f>
        <v>487.45924398319397</v>
      </c>
      <c r="J43" s="60">
        <f>SUM(I43:I$136)</f>
        <v>219174.14848327523</v>
      </c>
      <c r="K43" s="59">
        <f>SUM(J43:J$136)</f>
        <v>12491820.305334346</v>
      </c>
    </row>
    <row r="44" spans="1:11" x14ac:dyDescent="0.25">
      <c r="A44" s="57">
        <v>18</v>
      </c>
      <c r="B44" s="58">
        <f t="shared" si="0"/>
        <v>988769.40166769188</v>
      </c>
      <c r="C44" s="59">
        <f t="shared" si="1"/>
        <v>702.70318831247278</v>
      </c>
      <c r="D44" s="58">
        <f t="shared" si="2"/>
        <v>0.99928931539838584</v>
      </c>
      <c r="E44" s="59">
        <f t="shared" si="3"/>
        <v>7.1068460161416436E-4</v>
      </c>
      <c r="F44" s="60">
        <f>B44*POWER(1/(1+Feuil1!$C$15),A44)</f>
        <v>692296.16625678388</v>
      </c>
      <c r="G44" s="59">
        <f>SUM(F44:F$136)</f>
        <v>24263967.989464518</v>
      </c>
      <c r="H44" s="58">
        <f>SUM(G44:G$136)</f>
        <v>617724115.1232506</v>
      </c>
      <c r="I44" s="59">
        <f>C44*POWER(1/(1+Feuil1!$C$15),(A44+0.5))</f>
        <v>487.15677463196891</v>
      </c>
      <c r="J44" s="60">
        <f>SUM(I44:I$136)</f>
        <v>218686.68923929203</v>
      </c>
      <c r="K44" s="59">
        <f>SUM(J44:J$136)</f>
        <v>12272646.15685107</v>
      </c>
    </row>
    <row r="45" spans="1:11" x14ac:dyDescent="0.25">
      <c r="A45" s="57">
        <v>19</v>
      </c>
      <c r="B45" s="58">
        <f t="shared" si="0"/>
        <v>988066.69847937941</v>
      </c>
      <c r="C45" s="59">
        <f t="shared" si="1"/>
        <v>717.42176532791927</v>
      </c>
      <c r="D45" s="58">
        <f t="shared" si="2"/>
        <v>0.99927391362705364</v>
      </c>
      <c r="E45" s="59">
        <f t="shared" si="3"/>
        <v>7.2608637294635514E-4</v>
      </c>
      <c r="F45" s="60">
        <f>B45*POWER(1/(1+Feuil1!$C$15),A45)</f>
        <v>678239.37454085157</v>
      </c>
      <c r="G45" s="59">
        <f>SUM(F45:F$136)</f>
        <v>23571671.82320774</v>
      </c>
      <c r="H45" s="58">
        <f>SUM(G45:G$136)</f>
        <v>593460147.1337862</v>
      </c>
      <c r="I45" s="59">
        <f>C45*POWER(1/(1+Feuil1!$C$15),(A45+0.5))</f>
        <v>487.60842284374519</v>
      </c>
      <c r="J45" s="60">
        <f>SUM(I45:I$136)</f>
        <v>218199.53246466006</v>
      </c>
      <c r="K45" s="59">
        <f>SUM(J45:J$136)</f>
        <v>12053959.467611779</v>
      </c>
    </row>
    <row r="46" spans="1:11" x14ac:dyDescent="0.25">
      <c r="A46" s="57">
        <v>20</v>
      </c>
      <c r="B46" s="58">
        <f t="shared" si="0"/>
        <v>987349.27671405149</v>
      </c>
      <c r="C46" s="59">
        <f t="shared" si="1"/>
        <v>733.64459062227979</v>
      </c>
      <c r="D46" s="58">
        <f t="shared" si="2"/>
        <v>0.99925695535721271</v>
      </c>
      <c r="E46" s="59">
        <f t="shared" si="3"/>
        <v>7.4304464278729387E-4</v>
      </c>
      <c r="F46" s="60">
        <f>B46*POWER(1/(1+Feuil1!$C$15),A46)</f>
        <v>664457.75899353123</v>
      </c>
      <c r="G46" s="59">
        <f>SUM(F46:F$136)</f>
        <v>22893432.448666889</v>
      </c>
      <c r="H46" s="58">
        <f>SUM(G46:G$136)</f>
        <v>569888475.31057858</v>
      </c>
      <c r="I46" s="59">
        <f>C46*POWER(1/(1+Feuil1!$C$15),(A46+0.5))</f>
        <v>488.85740557760596</v>
      </c>
      <c r="J46" s="60">
        <f>SUM(I46:I$136)</f>
        <v>217711.9240418163</v>
      </c>
      <c r="K46" s="59">
        <f>SUM(J46:J$136)</f>
        <v>11835759.935147118</v>
      </c>
    </row>
    <row r="47" spans="1:11" x14ac:dyDescent="0.25">
      <c r="A47" s="57">
        <v>21</v>
      </c>
      <c r="B47" s="58">
        <f t="shared" si="0"/>
        <v>986615.63212342921</v>
      </c>
      <c r="C47" s="59">
        <f t="shared" si="1"/>
        <v>751.52158360206522</v>
      </c>
      <c r="D47" s="58">
        <f t="shared" si="2"/>
        <v>0.99923828332013698</v>
      </c>
      <c r="E47" s="59">
        <f t="shared" si="3"/>
        <v>7.6171667986302261E-4</v>
      </c>
      <c r="F47" s="60">
        <f>B47*POWER(1/(1+Feuil1!$C$15),A47)</f>
        <v>650945.13452485553</v>
      </c>
      <c r="G47" s="59">
        <f>SUM(F47:F$136)</f>
        <v>22228974.689673353</v>
      </c>
      <c r="H47" s="58">
        <f>SUM(G47:G$136)</f>
        <v>546995042.86191165</v>
      </c>
      <c r="I47" s="59">
        <f>C47*POWER(1/(1+Feuil1!$C$15),(A47+0.5))</f>
        <v>490.95056606181339</v>
      </c>
      <c r="J47" s="60">
        <f>SUM(I47:I$136)</f>
        <v>217223.06663623871</v>
      </c>
      <c r="K47" s="59">
        <f>SUM(J47:J$136)</f>
        <v>11618048.011105301</v>
      </c>
    </row>
    <row r="48" spans="1:11" x14ac:dyDescent="0.25">
      <c r="A48" s="57">
        <v>22</v>
      </c>
      <c r="B48" s="58">
        <f t="shared" si="0"/>
        <v>985864.11053982715</v>
      </c>
      <c r="C48" s="59">
        <f t="shared" si="1"/>
        <v>771.21747492265422</v>
      </c>
      <c r="D48" s="58">
        <f t="shared" si="2"/>
        <v>0.99921772436314737</v>
      </c>
      <c r="E48" s="59">
        <f t="shared" si="3"/>
        <v>7.8227563685262513E-4</v>
      </c>
      <c r="F48" s="60">
        <f>B48*POWER(1/(1+Feuil1!$C$15),A48)</f>
        <v>637695.3909394237</v>
      </c>
      <c r="G48" s="59">
        <f>SUM(F48:F$136)</f>
        <v>21578029.555148501</v>
      </c>
      <c r="H48" s="58">
        <f>SUM(G48:G$136)</f>
        <v>524766068.17223817</v>
      </c>
      <c r="I48" s="59">
        <f>C48*POWER(1/(1+Feuil1!$C$15),(A48+0.5))</f>
        <v>493.93863472480416</v>
      </c>
      <c r="J48" s="60">
        <f>SUM(I48:I$136)</f>
        <v>216732.11607017685</v>
      </c>
      <c r="K48" s="59">
        <f>SUM(J48:J$136)</f>
        <v>11400824.944469063</v>
      </c>
    </row>
    <row r="49" spans="1:11" x14ac:dyDescent="0.25">
      <c r="A49" s="57">
        <v>23</v>
      </c>
      <c r="B49" s="58">
        <f t="shared" si="0"/>
        <v>985092.89306490449</v>
      </c>
      <c r="C49" s="59">
        <f t="shared" si="1"/>
        <v>792.91324172937311</v>
      </c>
      <c r="D49" s="58">
        <f t="shared" si="2"/>
        <v>0.9991950878467285</v>
      </c>
      <c r="E49" s="59">
        <f t="shared" si="3"/>
        <v>8.0491215327149757E-4</v>
      </c>
      <c r="F49" s="60">
        <f>B49*POWER(1/(1+Feuil1!$C$15),A49)</f>
        <v>624702.48761897895</v>
      </c>
      <c r="G49" s="59">
        <f>SUM(F49:F$136)</f>
        <v>20940334.164209072</v>
      </c>
      <c r="H49" s="58">
        <f>SUM(G49:G$136)</f>
        <v>503188038.61708963</v>
      </c>
      <c r="I49" s="59">
        <f>C49*POWER(1/(1+Feuil1!$C$15),(A49+0.5))</f>
        <v>497.87650734594769</v>
      </c>
      <c r="J49" s="60">
        <f>SUM(I49:I$136)</f>
        <v>216238.17743545206</v>
      </c>
      <c r="K49" s="59">
        <f>SUM(J49:J$136)</f>
        <v>11184092.828398885</v>
      </c>
    </row>
    <row r="50" spans="1:11" x14ac:dyDescent="0.25">
      <c r="A50" s="57">
        <v>24</v>
      </c>
      <c r="B50" s="58">
        <f t="shared" si="0"/>
        <v>984299.97982317512</v>
      </c>
      <c r="C50" s="59">
        <f t="shared" si="1"/>
        <v>816.8076759862015</v>
      </c>
      <c r="D50" s="58">
        <f t="shared" si="2"/>
        <v>0.99917016388018931</v>
      </c>
      <c r="E50" s="59">
        <f t="shared" si="3"/>
        <v>8.2983611981068961E-4</v>
      </c>
      <c r="F50" s="60">
        <f>B50*POWER(1/(1+Feuil1!$C$15),A50)</f>
        <v>611960.44803383877</v>
      </c>
      <c r="G50" s="59">
        <f>SUM(F50:F$136)</f>
        <v>20315631.676590096</v>
      </c>
      <c r="H50" s="58">
        <f>SUM(G50:G$136)</f>
        <v>482247704.45288056</v>
      </c>
      <c r="I50" s="59">
        <f>C50*POWER(1/(1+Feuil1!$C$15),(A50+0.5))</f>
        <v>502.82354112732287</v>
      </c>
      <c r="J50" s="60">
        <f>SUM(I50:I$136)</f>
        <v>215740.30092810609</v>
      </c>
      <c r="K50" s="59">
        <f>SUM(J50:J$136)</f>
        <v>10967854.650963433</v>
      </c>
    </row>
    <row r="51" spans="1:11" x14ac:dyDescent="0.25">
      <c r="A51" s="57">
        <v>25</v>
      </c>
      <c r="B51" s="58">
        <f t="shared" si="0"/>
        <v>983483.17214718892</v>
      </c>
      <c r="C51" s="59">
        <f t="shared" si="1"/>
        <v>843.11909694038332</v>
      </c>
      <c r="D51" s="58">
        <f t="shared" si="2"/>
        <v>0.99914272137966564</v>
      </c>
      <c r="E51" s="59">
        <f t="shared" si="3"/>
        <v>8.5727862033435631E-4</v>
      </c>
      <c r="F51" s="60">
        <f>B51*POWER(1/(1+Feuil1!$C$15),A51)</f>
        <v>599463.35406878893</v>
      </c>
      <c r="G51" s="59">
        <f>SUM(F51:F$136)</f>
        <v>19703671.228556257</v>
      </c>
      <c r="H51" s="58">
        <f>SUM(G51:G$136)</f>
        <v>461932072.77629048</v>
      </c>
      <c r="I51" s="59">
        <f>C51*POWER(1/(1+Feuil1!$C$15),(A51+0.5))</f>
        <v>508.84386933171061</v>
      </c>
      <c r="J51" s="60">
        <f>SUM(I51:I$136)</f>
        <v>215237.47738697878</v>
      </c>
      <c r="K51" s="59">
        <f>SUM(J51:J$136)</f>
        <v>10752114.350035327</v>
      </c>
    </row>
    <row r="52" spans="1:11" x14ac:dyDescent="0.25">
      <c r="A52" s="57">
        <v>26</v>
      </c>
      <c r="B52" s="58">
        <f t="shared" si="0"/>
        <v>982640.05305024853</v>
      </c>
      <c r="C52" s="59">
        <f t="shared" si="1"/>
        <v>872.08721938927192</v>
      </c>
      <c r="D52" s="58">
        <f t="shared" si="2"/>
        <v>0.9991125059306486</v>
      </c>
      <c r="E52" s="59">
        <f t="shared" si="3"/>
        <v>8.8749406935140218E-4</v>
      </c>
      <c r="F52" s="60">
        <f>B52*POWER(1/(1+Feuil1!$C$15),A52)</f>
        <v>587205.34014869784</v>
      </c>
      <c r="G52" s="59">
        <f>SUM(F52:F$136)</f>
        <v>19104207.874487471</v>
      </c>
      <c r="H52" s="58">
        <f>SUM(G52:G$136)</f>
        <v>442228401.5477342</v>
      </c>
      <c r="I52" s="59">
        <f>C52*POWER(1/(1+Feuil1!$C$15),(A52+0.5))</f>
        <v>516.00673503703183</v>
      </c>
      <c r="J52" s="60">
        <f>SUM(I52:I$136)</f>
        <v>214728.63351764707</v>
      </c>
      <c r="K52" s="59">
        <f>SUM(J52:J$136)</f>
        <v>10536876.872648347</v>
      </c>
    </row>
    <row r="53" spans="1:11" x14ac:dyDescent="0.25">
      <c r="A53" s="57">
        <v>27</v>
      </c>
      <c r="B53" s="58">
        <f t="shared" si="0"/>
        <v>981767.96583085926</v>
      </c>
      <c r="C53" s="59">
        <f t="shared" si="1"/>
        <v>903.97519000212196</v>
      </c>
      <c r="D53" s="58">
        <f t="shared" si="2"/>
        <v>0.99907923743545946</v>
      </c>
      <c r="E53" s="59">
        <f t="shared" si="3"/>
        <v>9.2076256454054484E-4</v>
      </c>
      <c r="F53" s="60">
        <f>B53*POWER(1/(1+Feuil1!$C$15),A53)</f>
        <v>575180.58714884729</v>
      </c>
      <c r="G53" s="59">
        <f>SUM(F53:F$136)</f>
        <v>18517002.534338769</v>
      </c>
      <c r="H53" s="58">
        <f>SUM(G53:G$136)</f>
        <v>423124193.67324668</v>
      </c>
      <c r="I53" s="59">
        <f>C53*POWER(1/(1+Feuil1!$C$15),(A53+0.5))</f>
        <v>524.38684443375098</v>
      </c>
      <c r="J53" s="60">
        <f>SUM(I53:I$136)</f>
        <v>214212.62678261005</v>
      </c>
      <c r="K53" s="59">
        <f>SUM(J53:J$136)</f>
        <v>10322148.2391307</v>
      </c>
    </row>
    <row r="54" spans="1:11" x14ac:dyDescent="0.25">
      <c r="A54" s="57">
        <v>28</v>
      </c>
      <c r="B54" s="58">
        <f t="shared" si="0"/>
        <v>980863.99064085714</v>
      </c>
      <c r="C54" s="59">
        <f t="shared" si="1"/>
        <v>939.07180448120926</v>
      </c>
      <c r="D54" s="58">
        <f t="shared" si="2"/>
        <v>0.99904260752414031</v>
      </c>
      <c r="E54" s="59">
        <f t="shared" si="3"/>
        <v>9.5739247585968634E-4</v>
      </c>
      <c r="F54" s="60">
        <f>B54*POWER(1/(1+Feuil1!$C$15),A54)</f>
        <v>563383.3160748533</v>
      </c>
      <c r="G54" s="59">
        <f>SUM(F54:F$136)</f>
        <v>17941821.947189923</v>
      </c>
      <c r="H54" s="58">
        <f>SUM(G54:G$136)</f>
        <v>404607191.13890791</v>
      </c>
      <c r="I54" s="59">
        <f>C54*POWER(1/(1+Feuil1!$C$15),(A54+0.5))</f>
        <v>534.06473993208328</v>
      </c>
      <c r="J54" s="60">
        <f>SUM(I54:I$136)</f>
        <v>213688.2399381763</v>
      </c>
      <c r="K54" s="59">
        <f>SUM(J54:J$136)</f>
        <v>10107935.612348089</v>
      </c>
    </row>
    <row r="55" spans="1:11" x14ac:dyDescent="0.25">
      <c r="A55" s="57">
        <v>29</v>
      </c>
      <c r="B55" s="58">
        <f t="shared" si="0"/>
        <v>979924.91883637593</v>
      </c>
      <c r="C55" s="59">
        <f t="shared" si="1"/>
        <v>977.69391877029557</v>
      </c>
      <c r="D55" s="58">
        <f t="shared" si="2"/>
        <v>0.99900227670510588</v>
      </c>
      <c r="E55" s="59">
        <f t="shared" si="3"/>
        <v>9.9772329489411504E-4</v>
      </c>
      <c r="F55" s="60">
        <f>B55*POWER(1/(1+Feuil1!$C$15),A55)</f>
        <v>551807.78149707674</v>
      </c>
      <c r="G55" s="59">
        <f>SUM(F55:F$136)</f>
        <v>17378438.631115071</v>
      </c>
      <c r="H55" s="58">
        <f>SUM(G55:G$136)</f>
        <v>386665369.19171798</v>
      </c>
      <c r="I55" s="59">
        <f>C55*POWER(1/(1+Feuil1!$C$15),(A55+0.5))</f>
        <v>545.12719312831314</v>
      </c>
      <c r="J55" s="60">
        <f>SUM(I55:I$136)</f>
        <v>213154.17519824422</v>
      </c>
      <c r="K55" s="59">
        <f>SUM(J55:J$136)</f>
        <v>9894247.3724099118</v>
      </c>
    </row>
    <row r="56" spans="1:11" x14ac:dyDescent="0.25">
      <c r="A56" s="57">
        <v>30</v>
      </c>
      <c r="B56" s="58">
        <f t="shared" si="0"/>
        <v>978947.22491760564</v>
      </c>
      <c r="C56" s="59">
        <f t="shared" si="1"/>
        <v>1020.1890678309137</v>
      </c>
      <c r="D56" s="58">
        <f t="shared" si="2"/>
        <v>0.99895787122955804</v>
      </c>
      <c r="E56" s="59">
        <f t="shared" si="3"/>
        <v>1.0421287704419635E-3</v>
      </c>
      <c r="F56" s="60">
        <f>B56*POWER(1/(1+Feuil1!$C$15),A56)</f>
        <v>540448.26472467964</v>
      </c>
      <c r="G56" s="59">
        <f>SUM(F56:F$136)</f>
        <v>16826630.849617984</v>
      </c>
      <c r="H56" s="58">
        <f>SUM(G56:G$136)</f>
        <v>369286930.5606029</v>
      </c>
      <c r="I56" s="59">
        <f>C56*POWER(1/(1+Feuil1!$C$15),(A56+0.5))</f>
        <v>557.66761741525636</v>
      </c>
      <c r="J56" s="60">
        <f>SUM(I56:I$136)</f>
        <v>212609.04800511591</v>
      </c>
      <c r="K56" s="59">
        <f>SUM(J56:J$136)</f>
        <v>9681093.1972116679</v>
      </c>
    </row>
    <row r="57" spans="1:11" x14ac:dyDescent="0.25">
      <c r="A57" s="57">
        <v>31</v>
      </c>
      <c r="B57" s="58">
        <f t="shared" si="0"/>
        <v>977927.03584977472</v>
      </c>
      <c r="C57" s="59">
        <f t="shared" si="1"/>
        <v>1066.9383056164952</v>
      </c>
      <c r="D57" s="58">
        <f t="shared" si="2"/>
        <v>0.99890897964111469</v>
      </c>
      <c r="E57" s="59">
        <f t="shared" si="3"/>
        <v>1.0910203588853085E-3</v>
      </c>
      <c r="F57" s="60">
        <f>B57*POWER(1/(1+Feuil1!$C$15),A57)</f>
        <v>529299.06670497521</v>
      </c>
      <c r="G57" s="59">
        <f>SUM(F57:F$136)</f>
        <v>16286182.584893307</v>
      </c>
      <c r="H57" s="58">
        <f>SUM(G57:G$136)</f>
        <v>352460299.71098489</v>
      </c>
      <c r="I57" s="59">
        <f>C57*POWER(1/(1+Feuil1!$C$15),(A57+0.5))</f>
        <v>571.78649967350793</v>
      </c>
      <c r="J57" s="60">
        <f>SUM(I57:I$136)</f>
        <v>212051.38038770063</v>
      </c>
      <c r="K57" s="59">
        <f>SUM(J57:J$136)</f>
        <v>9468484.1492065508</v>
      </c>
    </row>
    <row r="58" spans="1:11" x14ac:dyDescent="0.25">
      <c r="A58" s="57">
        <v>32</v>
      </c>
      <c r="B58" s="58">
        <f t="shared" si="0"/>
        <v>976860.09754415823</v>
      </c>
      <c r="C58" s="59">
        <f t="shared" si="1"/>
        <v>1118.3592797735473</v>
      </c>
      <c r="D58" s="58">
        <f t="shared" si="2"/>
        <v>0.99885514897928052</v>
      </c>
      <c r="E58" s="59">
        <f t="shared" si="3"/>
        <v>1.144851020719484E-3</v>
      </c>
      <c r="F58" s="60">
        <f>B58*POWER(1/(1+Feuil1!$C$15),A58)</f>
        <v>518354.50063456956</v>
      </c>
      <c r="G58" s="59">
        <f>SUM(F58:F$136)</f>
        <v>15756883.518188333</v>
      </c>
      <c r="H58" s="58">
        <f>SUM(G58:G$136)</f>
        <v>336174117.12609154</v>
      </c>
      <c r="I58" s="59">
        <f>C58*POWER(1/(1+Feuil1!$C$15),(A58+0.5))</f>
        <v>587.59185006375117</v>
      </c>
      <c r="J58" s="60">
        <f>SUM(I58:I$136)</f>
        <v>211479.59388802713</v>
      </c>
      <c r="K58" s="59">
        <f>SUM(J58:J$136)</f>
        <v>9256432.7688188478</v>
      </c>
    </row>
    <row r="59" spans="1:11" x14ac:dyDescent="0.25">
      <c r="A59" s="57">
        <v>33</v>
      </c>
      <c r="B59" s="58">
        <f t="shared" si="0"/>
        <v>975741.73826438468</v>
      </c>
      <c r="C59" s="59">
        <f t="shared" si="1"/>
        <v>1174.9095541617135</v>
      </c>
      <c r="D59" s="58">
        <f t="shared" si="2"/>
        <v>0.9987958806023286</v>
      </c>
      <c r="E59" s="59">
        <f t="shared" si="3"/>
        <v>1.2041193976713993E-3</v>
      </c>
      <c r="F59" s="60">
        <f>B59*POWER(1/(1+Feuil1!$C$15),A59)</f>
        <v>507608.88427002303</v>
      </c>
      <c r="G59" s="59">
        <f>SUM(F59:F$136)</f>
        <v>15238529.017553763</v>
      </c>
      <c r="H59" s="58">
        <f>SUM(G59:G$136)</f>
        <v>320417233.60790318</v>
      </c>
      <c r="I59" s="59">
        <f>C59*POWER(1/(1+Feuil1!$C$15),(A59+0.5))</f>
        <v>605.19966840966424</v>
      </c>
      <c r="J59" s="60">
        <f>SUM(I59:I$136)</f>
        <v>210892.00203796339</v>
      </c>
      <c r="K59" s="59">
        <f>SUM(J59:J$136)</f>
        <v>9044953.1749308202</v>
      </c>
    </row>
    <row r="60" spans="1:11" x14ac:dyDescent="0.25">
      <c r="A60" s="57">
        <v>34</v>
      </c>
      <c r="B60" s="58">
        <f t="shared" si="0"/>
        <v>974566.82871022297</v>
      </c>
      <c r="C60" s="59">
        <f t="shared" si="1"/>
        <v>1237.0901914504357</v>
      </c>
      <c r="D60" s="58">
        <f t="shared" si="2"/>
        <v>0.99873062559179482</v>
      </c>
      <c r="E60" s="59">
        <f t="shared" si="3"/>
        <v>1.2693744082051817E-3</v>
      </c>
      <c r="F60" s="60">
        <f>B60*POWER(1/(1+Feuil1!$C$15),A60)</f>
        <v>497056.53192749334</v>
      </c>
      <c r="G60" s="59">
        <f>SUM(F60:F$136)</f>
        <v>14730920.13328374</v>
      </c>
      <c r="H60" s="58">
        <f>SUM(G60:G$136)</f>
        <v>305178704.59034944</v>
      </c>
      <c r="I60" s="59">
        <f>C60*POWER(1/(1+Feuil1!$C$15),(A60+0.5))</f>
        <v>624.73442501460499</v>
      </c>
      <c r="J60" s="60">
        <f>SUM(I60:I$136)</f>
        <v>210286.80236955374</v>
      </c>
      <c r="K60" s="59">
        <f>SUM(J60:J$136)</f>
        <v>8834061.1728928573</v>
      </c>
    </row>
    <row r="61" spans="1:11" x14ac:dyDescent="0.25">
      <c r="A61" s="57">
        <v>35</v>
      </c>
      <c r="B61" s="58">
        <f t="shared" si="0"/>
        <v>973329.73851877253</v>
      </c>
      <c r="C61" s="59">
        <f t="shared" si="1"/>
        <v>1305.4496067222208</v>
      </c>
      <c r="D61" s="58">
        <f t="shared" si="2"/>
        <v>0.99865877969709538</v>
      </c>
      <c r="E61" s="59">
        <f t="shared" si="3"/>
        <v>1.3412203029046221E-3</v>
      </c>
      <c r="F61" s="60">
        <f>B61*POWER(1/(1+Feuil1!$C$15),A61)</f>
        <v>486691.74616316991</v>
      </c>
      <c r="G61" s="59">
        <f>SUM(F61:F$136)</f>
        <v>14233863.601356247</v>
      </c>
      <c r="H61" s="58">
        <f>SUM(G61:G$136)</f>
        <v>290447784.4570657</v>
      </c>
      <c r="I61" s="59">
        <f>C61*POWER(1/(1+Feuil1!$C$15),(A61+0.5))</f>
        <v>646.32955297708679</v>
      </c>
      <c r="J61" s="60">
        <f>SUM(I61:I$136)</f>
        <v>209662.06794453916</v>
      </c>
      <c r="K61" s="59">
        <f>SUM(J61:J$136)</f>
        <v>8623774.3705233037</v>
      </c>
    </row>
    <row r="62" spans="1:11" x14ac:dyDescent="0.25">
      <c r="A62" s="57">
        <v>36</v>
      </c>
      <c r="B62" s="58">
        <f t="shared" si="0"/>
        <v>972024.28891205031</v>
      </c>
      <c r="C62" s="59">
        <f t="shared" si="1"/>
        <v>1380.5877009938704</v>
      </c>
      <c r="D62" s="58">
        <f t="shared" si="2"/>
        <v>0.99857967777478163</v>
      </c>
      <c r="E62" s="59">
        <f t="shared" si="3"/>
        <v>1.4203222252183734E-3</v>
      </c>
      <c r="F62" s="60">
        <f>B62*POWER(1/(1+Feuil1!$C$15),A62)</f>
        <v>476508.80912937236</v>
      </c>
      <c r="G62" s="59">
        <f>SUM(F62:F$136)</f>
        <v>13747171.855193077</v>
      </c>
      <c r="H62" s="58">
        <f>SUM(G62:G$136)</f>
        <v>276213920.85570949</v>
      </c>
      <c r="I62" s="59">
        <f>C62*POWER(1/(1+Feuil1!$C$15),(A62+0.5))</f>
        <v>670.12794810173034</v>
      </c>
      <c r="J62" s="60">
        <f>SUM(I62:I$136)</f>
        <v>209015.73839156204</v>
      </c>
      <c r="K62" s="59">
        <f>SUM(J62:J$136)</f>
        <v>8414112.3025787678</v>
      </c>
    </row>
    <row r="63" spans="1:11" x14ac:dyDescent="0.25">
      <c r="A63" s="57">
        <v>37</v>
      </c>
      <c r="B63" s="58">
        <f t="shared" si="0"/>
        <v>970643.70121105644</v>
      </c>
      <c r="C63" s="59">
        <f t="shared" si="1"/>
        <v>1463.16028079018</v>
      </c>
      <c r="D63" s="58">
        <f t="shared" si="2"/>
        <v>0.99849258767252635</v>
      </c>
      <c r="E63" s="59">
        <f t="shared" si="3"/>
        <v>1.5074123274736451E-3</v>
      </c>
      <c r="F63" s="60">
        <f>B63*POWER(1/(1+Feuil1!$C$15),A63)</f>
        <v>466501.97360515053</v>
      </c>
      <c r="G63" s="59">
        <f>SUM(F63:F$136)</f>
        <v>13270663.046063704</v>
      </c>
      <c r="H63" s="58">
        <f>SUM(G63:G$136)</f>
        <v>262466749.0005163</v>
      </c>
      <c r="I63" s="59">
        <f>C63*POWER(1/(1+Feuil1!$C$15),(A63+0.5))</f>
        <v>696.28247136361995</v>
      </c>
      <c r="J63" s="60">
        <f>SUM(I63:I$136)</f>
        <v>208345.61044346032</v>
      </c>
      <c r="K63" s="59">
        <f>SUM(J63:J$136)</f>
        <v>8205096.5641872026</v>
      </c>
    </row>
    <row r="64" spans="1:11" x14ac:dyDescent="0.25">
      <c r="A64" s="57">
        <v>38</v>
      </c>
      <c r="B64" s="58">
        <f t="shared" si="0"/>
        <v>969180.54093026626</v>
      </c>
      <c r="C64" s="59">
        <f t="shared" si="1"/>
        <v>1553.8837660677964</v>
      </c>
      <c r="D64" s="58">
        <f t="shared" si="2"/>
        <v>0.99839670350317156</v>
      </c>
      <c r="E64" s="59">
        <f t="shared" si="3"/>
        <v>1.6032964968284436E-3</v>
      </c>
      <c r="F64" s="60">
        <f>B64*POWER(1/(1+Feuil1!$C$15),A64)</f>
        <v>456665.45370524249</v>
      </c>
      <c r="G64" s="59">
        <f>SUM(F64:F$136)</f>
        <v>12804161.072458556</v>
      </c>
      <c r="H64" s="58">
        <f>SUM(G64:G$136)</f>
        <v>249196085.95445263</v>
      </c>
      <c r="I64" s="59">
        <f>C64*POWER(1/(1+Feuil1!$C$15),(A64+0.5))</f>
        <v>724.95644748596101</v>
      </c>
      <c r="J64" s="60">
        <f>SUM(I64:I$136)</f>
        <v>207649.32797209671</v>
      </c>
      <c r="K64" s="59">
        <f>SUM(J64:J$136)</f>
        <v>7996750.9537437428</v>
      </c>
    </row>
    <row r="65" spans="1:11" x14ac:dyDescent="0.25">
      <c r="A65" s="57">
        <v>39</v>
      </c>
      <c r="B65" s="58">
        <f t="shared" si="0"/>
        <v>967626.65716419846</v>
      </c>
      <c r="C65" s="59">
        <f t="shared" si="1"/>
        <v>1653.540183751611</v>
      </c>
      <c r="D65" s="58">
        <f t="shared" si="2"/>
        <v>0.99829113824892179</v>
      </c>
      <c r="E65" s="59">
        <f t="shared" si="3"/>
        <v>1.7088617510782056E-3</v>
      </c>
      <c r="F65" s="60">
        <f>B65*POWER(1/(1+Feuil1!$C$15),A65)</f>
        <v>446993.41527754336</v>
      </c>
      <c r="G65" s="59">
        <f>SUM(F65:F$136)</f>
        <v>12347495.618753312</v>
      </c>
      <c r="H65" s="58">
        <f>SUM(G65:G$136)</f>
        <v>236391924.88199407</v>
      </c>
      <c r="I65" s="59">
        <f>C65*POWER(1/(1+Feuil1!$C$15),(A65+0.5))</f>
        <v>756.32415154352384</v>
      </c>
      <c r="J65" s="60">
        <f>SUM(I65:I$136)</f>
        <v>206924.37152461076</v>
      </c>
      <c r="K65" s="59">
        <f>SUM(J65:J$136)</f>
        <v>7789101.6257716455</v>
      </c>
    </row>
    <row r="66" spans="1:11" x14ac:dyDescent="0.25">
      <c r="A66" s="57">
        <v>40</v>
      </c>
      <c r="B66" s="58">
        <f t="shared" si="0"/>
        <v>965973.11698044685</v>
      </c>
      <c r="C66" s="59">
        <f t="shared" si="1"/>
        <v>1762.9824375386816</v>
      </c>
      <c r="D66" s="58">
        <f t="shared" si="2"/>
        <v>0.99817491563010607</v>
      </c>
      <c r="E66" s="59">
        <f t="shared" si="3"/>
        <v>1.8250843698939256E-3</v>
      </c>
      <c r="F66" s="60">
        <f>B66*POWER(1/(1+Feuil1!$C$15),A66)</f>
        <v>437479.96600705071</v>
      </c>
      <c r="G66" s="59">
        <f>SUM(F66:F$136)</f>
        <v>11900502.203475768</v>
      </c>
      <c r="H66" s="58">
        <f>SUM(G66:G$136)</f>
        <v>224044429.26324075</v>
      </c>
      <c r="I66" s="59">
        <f>C66*POWER(1/(1+Feuil1!$C$15),(A66+0.5))</f>
        <v>790.57127351695874</v>
      </c>
      <c r="J66" s="60">
        <f>SUM(I66:I$136)</f>
        <v>206168.04737306721</v>
      </c>
      <c r="K66" s="59">
        <f>SUM(J66:J$136)</f>
        <v>7582177.2542470349</v>
      </c>
    </row>
    <row r="67" spans="1:11" x14ac:dyDescent="0.25">
      <c r="A67" s="57">
        <v>41</v>
      </c>
      <c r="B67" s="58">
        <f t="shared" si="0"/>
        <v>964210.13454290817</v>
      </c>
      <c r="C67" s="59">
        <f t="shared" si="1"/>
        <v>1883.1398362007458</v>
      </c>
      <c r="D67" s="58">
        <f t="shared" si="2"/>
        <v>0.99804696116672387</v>
      </c>
      <c r="E67" s="59">
        <f t="shared" si="3"/>
        <v>1.9530388332761328E-3</v>
      </c>
      <c r="F67" s="60">
        <f>B67*POWER(1/(1+Feuil1!$C$15),A67)</f>
        <v>428119.14525387209</v>
      </c>
      <c r="G67" s="59">
        <f>SUM(F67:F$136)</f>
        <v>11463022.237468718</v>
      </c>
      <c r="H67" s="58">
        <f>SUM(G67:G$136)</f>
        <v>212143927.05976498</v>
      </c>
      <c r="I67" s="59">
        <f>C67*POWER(1/(1+Feuil1!$C$15),(A67+0.5))</f>
        <v>827.89534838864961</v>
      </c>
      <c r="J67" s="60">
        <f>SUM(I67:I$136)</f>
        <v>205377.47609955026</v>
      </c>
      <c r="K67" s="59">
        <f>SUM(J67:J$136)</f>
        <v>7376009.2068739682</v>
      </c>
    </row>
    <row r="68" spans="1:11" x14ac:dyDescent="0.25">
      <c r="A68" s="57">
        <v>42</v>
      </c>
      <c r="B68" s="58">
        <f t="shared" si="0"/>
        <v>962326.99470670742</v>
      </c>
      <c r="C68" s="59">
        <f t="shared" si="1"/>
        <v>2015.0238518774277</v>
      </c>
      <c r="D68" s="58">
        <f t="shared" si="2"/>
        <v>0.9979060923543025</v>
      </c>
      <c r="E68" s="59">
        <f t="shared" si="3"/>
        <v>2.0939076456975014E-3</v>
      </c>
      <c r="F68" s="60">
        <f>B68*POWER(1/(1+Feuil1!$C$15),A68)</f>
        <v>418904.91366462968</v>
      </c>
      <c r="G68" s="59">
        <f>SUM(F68:F$136)</f>
        <v>11034903.092214847</v>
      </c>
      <c r="H68" s="58">
        <f>SUM(G68:G$136)</f>
        <v>200680904.82229626</v>
      </c>
      <c r="I68" s="59">
        <f>C68*POWER(1/(1+Feuil1!$C$15),(A68+0.5))</f>
        <v>868.50613658381383</v>
      </c>
      <c r="J68" s="60">
        <f>SUM(I68:I$136)</f>
        <v>204549.58075116161</v>
      </c>
      <c r="K68" s="59">
        <f>SUM(J68:J$136)</f>
        <v>7170631.7307744185</v>
      </c>
    </row>
    <row r="69" spans="1:11" x14ac:dyDescent="0.25">
      <c r="A69" s="57">
        <v>43</v>
      </c>
      <c r="B69" s="58">
        <f t="shared" si="0"/>
        <v>960311.97085483</v>
      </c>
      <c r="C69" s="59">
        <f t="shared" si="1"/>
        <v>2159.7340664296644</v>
      </c>
      <c r="D69" s="58">
        <f t="shared" si="2"/>
        <v>0.99775100786830018</v>
      </c>
      <c r="E69" s="59">
        <f t="shared" si="3"/>
        <v>2.2489921316998229E-3</v>
      </c>
      <c r="F69" s="60">
        <f>B69*POWER(1/(1+Feuil1!$C$15),A69)</f>
        <v>409831.14261086966</v>
      </c>
      <c r="G69" s="59">
        <f>SUM(F69:F$136)</f>
        <v>10615998.178550215</v>
      </c>
      <c r="H69" s="58">
        <f>SUM(G69:G$136)</f>
        <v>189646001.73008138</v>
      </c>
      <c r="I69" s="59">
        <f>C69*POWER(1/(1+Feuil1!$C$15),(A69+0.5))</f>
        <v>912.62593630344395</v>
      </c>
      <c r="J69" s="60">
        <f>SUM(I69:I$136)</f>
        <v>203681.07461457775</v>
      </c>
      <c r="K69" s="59">
        <f>SUM(J69:J$136)</f>
        <v>6966082.1500232574</v>
      </c>
    </row>
    <row r="70" spans="1:11" x14ac:dyDescent="0.25">
      <c r="A70" s="57">
        <v>44</v>
      </c>
      <c r="B70" s="58">
        <f t="shared" si="0"/>
        <v>958152.23678840033</v>
      </c>
      <c r="C70" s="59">
        <f t="shared" si="1"/>
        <v>2318.4642471754923</v>
      </c>
      <c r="D70" s="58">
        <f t="shared" si="2"/>
        <v>0.997580275703424</v>
      </c>
      <c r="E70" s="59">
        <f t="shared" si="3"/>
        <v>2.419724296575998E-3</v>
      </c>
      <c r="F70" s="60">
        <f>B70*POWER(1/(1+Feuil1!$C$15),A70)</f>
        <v>400891.60352530616</v>
      </c>
      <c r="G70" s="59">
        <f>SUM(F70:F$136)</f>
        <v>10206167.035939345</v>
      </c>
      <c r="H70" s="58">
        <f>SUM(G70:G$136)</f>
        <v>179030003.5515312</v>
      </c>
      <c r="I70" s="59">
        <f>C70*POWER(1/(1+Feuil1!$C$15),(A70+0.5))</f>
        <v>960.48980545456288</v>
      </c>
      <c r="J70" s="60">
        <f>SUM(I70:I$136)</f>
        <v>202768.44867827432</v>
      </c>
      <c r="K70" s="59">
        <f>SUM(J70:J$136)</f>
        <v>6762401.0754086785</v>
      </c>
    </row>
    <row r="71" spans="1:11" x14ac:dyDescent="0.25">
      <c r="A71" s="57">
        <v>45</v>
      </c>
      <c r="B71" s="58">
        <f t="shared" si="0"/>
        <v>955833.77254122484</v>
      </c>
      <c r="C71" s="59">
        <f t="shared" si="1"/>
        <v>2492.5084726896603</v>
      </c>
      <c r="D71" s="58">
        <f t="shared" si="2"/>
        <v>0.99739232014572687</v>
      </c>
      <c r="E71" s="59">
        <f t="shared" si="3"/>
        <v>2.6076798542731261E-3</v>
      </c>
      <c r="F71" s="60">
        <f>B71*POWER(1/(1+Feuil1!$C$15),A71)</f>
        <v>392079.95722741436</v>
      </c>
      <c r="G71" s="59">
        <f>SUM(F71:F$136)</f>
        <v>9805275.4324140381</v>
      </c>
      <c r="H71" s="58">
        <f>SUM(G71:G$136)</f>
        <v>168823836.5155918</v>
      </c>
      <c r="I71" s="59">
        <f>C71*POWER(1/(1+Feuil1!$C$15),(A71+0.5))</f>
        <v>1012.3456664124594</v>
      </c>
      <c r="J71" s="60">
        <f>SUM(I71:I$136)</f>
        <v>201807.95887281976</v>
      </c>
      <c r="K71" s="59">
        <f>SUM(J71:J$136)</f>
        <v>6559632.6267304048</v>
      </c>
    </row>
    <row r="72" spans="1:11" x14ac:dyDescent="0.25">
      <c r="A72" s="57">
        <v>46</v>
      </c>
      <c r="B72" s="58">
        <f t="shared" si="0"/>
        <v>953341.26406853518</v>
      </c>
      <c r="C72" s="59">
        <f t="shared" si="1"/>
        <v>2683.2672040229663</v>
      </c>
      <c r="D72" s="58">
        <f t="shared" si="2"/>
        <v>0.99718540746618722</v>
      </c>
      <c r="E72" s="59">
        <f t="shared" si="3"/>
        <v>2.8145925338127764E-3</v>
      </c>
      <c r="F72" s="60">
        <f>B72*POWER(1/(1+Feuil1!$C$15),A72)</f>
        <v>383389.7433545962</v>
      </c>
      <c r="G72" s="59">
        <f>SUM(F72:F$136)</f>
        <v>9413195.4751866218</v>
      </c>
      <c r="H72" s="58">
        <f>SUM(G72:G$136)</f>
        <v>159018561.08317775</v>
      </c>
      <c r="I72" s="59">
        <f>C72*POWER(1/(1+Feuil1!$C$15),(A72+0.5))</f>
        <v>1068.4542616415222</v>
      </c>
      <c r="J72" s="60">
        <f>SUM(I72:I$136)</f>
        <v>200795.61320640729</v>
      </c>
      <c r="K72" s="59">
        <f>SUM(J72:J$136)</f>
        <v>6357824.6678575855</v>
      </c>
    </row>
    <row r="73" spans="1:11" x14ac:dyDescent="0.25">
      <c r="A73" s="57">
        <v>47</v>
      </c>
      <c r="B73" s="58">
        <f t="shared" si="0"/>
        <v>950657.99686451221</v>
      </c>
      <c r="C73" s="59">
        <f t="shared" si="1"/>
        <v>2892.253165862523</v>
      </c>
      <c r="D73" s="58">
        <f t="shared" si="2"/>
        <v>0.99695763021464945</v>
      </c>
      <c r="E73" s="59">
        <f t="shared" si="3"/>
        <v>3.0423697853505516E-3</v>
      </c>
      <c r="F73" s="60">
        <f>B73*POWER(1/(1+Feuil1!$C$15),A73)</f>
        <v>374814.3700445196</v>
      </c>
      <c r="G73" s="59">
        <f>SUM(F73:F$136)</f>
        <v>9029805.7318320256</v>
      </c>
      <c r="H73" s="58">
        <f>SUM(G73:G$136)</f>
        <v>149605365.60799116</v>
      </c>
      <c r="I73" s="59">
        <f>C73*POWER(1/(1+Feuil1!$C$15),(A73+0.5))</f>
        <v>1129.0889221780046</v>
      </c>
      <c r="J73" s="60">
        <f>SUM(I73:I$136)</f>
        <v>199727.15894476578</v>
      </c>
      <c r="K73" s="59">
        <f>SUM(J73:J$136)</f>
        <v>6157029.0546511794</v>
      </c>
    </row>
    <row r="74" spans="1:11" x14ac:dyDescent="0.25">
      <c r="A74" s="57">
        <v>48</v>
      </c>
      <c r="B74" s="58">
        <f t="shared" si="0"/>
        <v>947765.74369864969</v>
      </c>
      <c r="C74" s="59">
        <f t="shared" si="1"/>
        <v>3121.0968648783164</v>
      </c>
      <c r="D74" s="58">
        <f t="shared" si="2"/>
        <v>0.99670688998243573</v>
      </c>
      <c r="E74" s="59">
        <f t="shared" si="3"/>
        <v>3.2931100175642714E-3</v>
      </c>
      <c r="F74" s="60">
        <f>B74*POWER(1/(1+Feuil1!$C$15),A74)</f>
        <v>366347.10404900083</v>
      </c>
      <c r="G74" s="59">
        <f>SUM(F74:F$136)</f>
        <v>8654991.3617875073</v>
      </c>
      <c r="H74" s="58">
        <f>SUM(G74:G$136)</f>
        <v>140575559.87615913</v>
      </c>
      <c r="I74" s="59">
        <f>C74*POWER(1/(1+Feuil1!$C$15),(A74+0.5))</f>
        <v>1194.5351040593646</v>
      </c>
      <c r="J74" s="60">
        <f>SUM(I74:I$136)</f>
        <v>198598.07002258775</v>
      </c>
      <c r="K74" s="59">
        <f>SUM(J74:J$136)</f>
        <v>5957301.8957064133</v>
      </c>
    </row>
    <row r="75" spans="1:11" x14ac:dyDescent="0.25">
      <c r="A75" s="57">
        <v>49</v>
      </c>
      <c r="B75" s="58">
        <f t="shared" si="0"/>
        <v>944644.64683377137</v>
      </c>
      <c r="C75" s="59">
        <f t="shared" si="1"/>
        <v>3371.551527630887</v>
      </c>
      <c r="D75" s="58">
        <f t="shared" si="2"/>
        <v>0.99643087849073031</v>
      </c>
      <c r="E75" s="59">
        <f t="shared" si="3"/>
        <v>3.5691215092696904E-3</v>
      </c>
      <c r="F75" s="60">
        <f>B75*POWER(1/(1+Feuil1!$C$15),A75)</f>
        <v>357981.06150073663</v>
      </c>
      <c r="G75" s="59">
        <f>SUM(F75:F$136)</f>
        <v>8288644.2577385046</v>
      </c>
      <c r="H75" s="58">
        <f>SUM(G75:G$136)</f>
        <v>131920568.51437171</v>
      </c>
      <c r="I75" s="59">
        <f>C75*POWER(1/(1+Feuil1!$C$15),(A75+0.5))</f>
        <v>1265.0896398498996</v>
      </c>
      <c r="J75" s="60">
        <f>SUM(I75:I$136)</f>
        <v>197403.5349185284</v>
      </c>
      <c r="K75" s="59">
        <f>SUM(J75:J$136)</f>
        <v>5758703.8256838266</v>
      </c>
    </row>
    <row r="76" spans="1:11" x14ac:dyDescent="0.25">
      <c r="A76" s="57">
        <v>50</v>
      </c>
      <c r="B76" s="58">
        <f t="shared" si="0"/>
        <v>941273.09530614049</v>
      </c>
      <c r="C76" s="59">
        <f t="shared" si="1"/>
        <v>3645.4971868782304</v>
      </c>
      <c r="D76" s="58">
        <f t="shared" si="2"/>
        <v>0.99612705684985869</v>
      </c>
      <c r="E76" s="59">
        <f t="shared" si="3"/>
        <v>3.8729431501413059E-3</v>
      </c>
      <c r="F76" s="60">
        <f>B76*POWER(1/(1+Feuil1!$C$15),A76)</f>
        <v>349709.19960217952</v>
      </c>
      <c r="G76" s="59">
        <f>SUM(F76:F$136)</f>
        <v>7930663.196237768</v>
      </c>
      <c r="H76" s="58">
        <f>SUM(G76:G$136)</f>
        <v>123631924.25663321</v>
      </c>
      <c r="I76" s="59">
        <f>C76*POWER(1/(1+Feuil1!$C$15),(A76+0.5))</f>
        <v>1341.059643424778</v>
      </c>
      <c r="J76" s="60">
        <f>SUM(I76:I$136)</f>
        <v>196138.4452786785</v>
      </c>
      <c r="K76" s="59">
        <f>SUM(J76:J$136)</f>
        <v>5561300.2907652976</v>
      </c>
    </row>
    <row r="77" spans="1:11" x14ac:dyDescent="0.25">
      <c r="A77" s="57">
        <v>51</v>
      </c>
      <c r="B77" s="58">
        <f t="shared" si="0"/>
        <v>937627.59811926226</v>
      </c>
      <c r="C77" s="59">
        <f t="shared" si="1"/>
        <v>3944.9435815494508</v>
      </c>
      <c r="D77" s="58">
        <f t="shared" si="2"/>
        <v>0.99579263282196218</v>
      </c>
      <c r="E77" s="59">
        <f t="shared" si="3"/>
        <v>4.2073671780378241E-3</v>
      </c>
      <c r="F77" s="60">
        <f>B77*POWER(1/(1+Feuil1!$C$15),A77)</f>
        <v>341524.30956180283</v>
      </c>
      <c r="G77" s="59">
        <f>SUM(F77:F$136)</f>
        <v>7580953.9966355888</v>
      </c>
      <c r="H77" s="58">
        <f>SUM(G77:G$136)</f>
        <v>115701261.06039546</v>
      </c>
      <c r="I77" s="59">
        <f>C77*POWER(1/(1+Feuil1!$C$15),(A77+0.5))</f>
        <v>1422.7609960309655</v>
      </c>
      <c r="J77" s="60">
        <f>SUM(I77:I$136)</f>
        <v>194797.38563525371</v>
      </c>
      <c r="K77" s="59">
        <f>SUM(J77:J$136)</f>
        <v>5365161.8454866186</v>
      </c>
    </row>
    <row r="78" spans="1:11" x14ac:dyDescent="0.25">
      <c r="A78" s="57">
        <v>52</v>
      </c>
      <c r="B78" s="58">
        <f t="shared" si="0"/>
        <v>933682.65453771281</v>
      </c>
      <c r="C78" s="59">
        <f t="shared" si="1"/>
        <v>4272.0314607633045</v>
      </c>
      <c r="D78" s="58">
        <f t="shared" si="2"/>
        <v>0.99542453590628344</v>
      </c>
      <c r="E78" s="59">
        <f t="shared" si="3"/>
        <v>4.5754640937165636E-3</v>
      </c>
      <c r="F78" s="60">
        <f>B78*POWER(1/(1+Feuil1!$C$15),A78)</f>
        <v>333419.0111678926</v>
      </c>
      <c r="G78" s="59">
        <f>SUM(F78:F$136)</f>
        <v>7239429.6870737867</v>
      </c>
      <c r="H78" s="58">
        <f>SUM(G78:G$136)</f>
        <v>108120307.06375985</v>
      </c>
      <c r="I78" s="59">
        <f>C78*POWER(1/(1+Feuil1!$C$15),(A78+0.5))</f>
        <v>1510.5163303267782</v>
      </c>
      <c r="J78" s="60">
        <f>SUM(I78:I$136)</f>
        <v>193374.62463922275</v>
      </c>
      <c r="K78" s="59">
        <f>SUM(J78:J$136)</f>
        <v>5170364.4598513665</v>
      </c>
    </row>
    <row r="79" spans="1:11" x14ac:dyDescent="0.25">
      <c r="A79" s="57">
        <v>53</v>
      </c>
      <c r="B79" s="58">
        <f t="shared" si="0"/>
        <v>929410.6230769495</v>
      </c>
      <c r="C79" s="59">
        <f t="shared" si="1"/>
        <v>4629.0317946969299</v>
      </c>
      <c r="D79" s="58">
        <f t="shared" si="2"/>
        <v>0.99501939005240558</v>
      </c>
      <c r="E79" s="59">
        <f t="shared" si="3"/>
        <v>4.9806099475944166E-3</v>
      </c>
      <c r="F79" s="60">
        <f>B79*POWER(1/(1+Feuil1!$C$15),A79)</f>
        <v>325385.74946483469</v>
      </c>
      <c r="G79" s="59">
        <f>SUM(F79:F$136)</f>
        <v>6906010.6759058936</v>
      </c>
      <c r="H79" s="58">
        <f>SUM(G79:G$136)</f>
        <v>100880877.37668608</v>
      </c>
      <c r="I79" s="59">
        <f>C79*POWER(1/(1+Feuil1!$C$15),(A79+0.5))</f>
        <v>1604.6524166092765</v>
      </c>
      <c r="J79" s="60">
        <f>SUM(I79:I$136)</f>
        <v>191864.10830889599</v>
      </c>
      <c r="K79" s="59">
        <f>SUM(J79:J$136)</f>
        <v>4976989.8352121422</v>
      </c>
    </row>
    <row r="80" spans="1:11" x14ac:dyDescent="0.25">
      <c r="A80" s="57">
        <v>54</v>
      </c>
      <c r="B80" s="58">
        <f t="shared" si="0"/>
        <v>924781.59128225257</v>
      </c>
      <c r="C80" s="59">
        <f t="shared" si="1"/>
        <v>5018.3422935358249</v>
      </c>
      <c r="D80" s="58">
        <f t="shared" si="2"/>
        <v>0.99457348379245125</v>
      </c>
      <c r="E80" s="59">
        <f t="shared" si="3"/>
        <v>5.4265162075487483E-3</v>
      </c>
      <c r="F80" s="60">
        <f>B80*POWER(1/(1+Feuil1!$C$15),A80)</f>
        <v>317416.79408259282</v>
      </c>
      <c r="G80" s="59">
        <f>SUM(F80:F$136)</f>
        <v>6580624.9264410604</v>
      </c>
      <c r="H80" s="58">
        <f>SUM(G80:G$136)</f>
        <v>93974866.700780198</v>
      </c>
      <c r="I80" s="59">
        <f>C80*POWER(1/(1+Feuil1!$C$15),(A80+0.5))</f>
        <v>1705.4968418250871</v>
      </c>
      <c r="J80" s="60">
        <f>SUM(I80:I$136)</f>
        <v>190259.4558922867</v>
      </c>
      <c r="K80" s="59">
        <f>SUM(J80:J$136)</f>
        <v>4785125.7269032467</v>
      </c>
    </row>
    <row r="81" spans="1:11" x14ac:dyDescent="0.25">
      <c r="A81" s="57">
        <v>55</v>
      </c>
      <c r="B81" s="58">
        <f t="shared" si="0"/>
        <v>919763.24898871675</v>
      </c>
      <c r="C81" s="59">
        <f t="shared" si="1"/>
        <v>5442.4805190811167</v>
      </c>
      <c r="D81" s="58">
        <f t="shared" si="2"/>
        <v>0.99408273756853716</v>
      </c>
      <c r="E81" s="59">
        <f t="shared" si="3"/>
        <v>5.9172624314628441E-3</v>
      </c>
      <c r="F81" s="60">
        <f>B81*POWER(1/(1+Feuil1!$C$15),A81)</f>
        <v>309504.24186760338</v>
      </c>
      <c r="G81" s="59">
        <f>SUM(F81:F$136)</f>
        <v>6263208.1323584663</v>
      </c>
      <c r="H81" s="58">
        <f>SUM(G81:G$136)</f>
        <v>87394241.774339125</v>
      </c>
      <c r="I81" s="59">
        <f>C81*POWER(1/(1+Feuil1!$C$15),(A81+0.5))</f>
        <v>1813.3738573908436</v>
      </c>
      <c r="J81" s="60">
        <f>SUM(I81:I$136)</f>
        <v>188553.95905046162</v>
      </c>
      <c r="K81" s="59">
        <f>SUM(J81:J$136)</f>
        <v>4594866.2710109595</v>
      </c>
    </row>
    <row r="82" spans="1:11" x14ac:dyDescent="0.25">
      <c r="A82" s="57">
        <v>56</v>
      </c>
      <c r="B82" s="58">
        <f t="shared" si="0"/>
        <v>914320.76846963563</v>
      </c>
      <c r="C82" s="59">
        <f t="shared" si="1"/>
        <v>5904.0727410162799</v>
      </c>
      <c r="D82" s="58">
        <f t="shared" si="2"/>
        <v>0.99354266801693858</v>
      </c>
      <c r="E82" s="59">
        <f t="shared" si="3"/>
        <v>6.4573319830614206E-3</v>
      </c>
      <c r="F82" s="60">
        <f>B82*POWER(1/(1+Feuil1!$C$15),A82)</f>
        <v>301640.02357335476</v>
      </c>
      <c r="G82" s="59">
        <f>SUM(F82:F$136)</f>
        <v>5953703.8904908644</v>
      </c>
      <c r="H82" s="58">
        <f>SUM(G82:G$136)</f>
        <v>81131033.641980663</v>
      </c>
      <c r="I82" s="59">
        <f>C82*POWER(1/(1+Feuil1!$C$15),(A82+0.5))</f>
        <v>1928.5992565765466</v>
      </c>
      <c r="J82" s="60">
        <f>SUM(I82:I$136)</f>
        <v>186740.58519307076</v>
      </c>
      <c r="K82" s="59">
        <f>SUM(J82:J$136)</f>
        <v>4406312.3119604979</v>
      </c>
    </row>
    <row r="83" spans="1:11" x14ac:dyDescent="0.25">
      <c r="A83" s="57">
        <v>57</v>
      </c>
      <c r="B83" s="58">
        <f t="shared" si="0"/>
        <v>908416.69572861935</v>
      </c>
      <c r="C83" s="59">
        <f t="shared" si="1"/>
        <v>6405.8375411148882</v>
      </c>
      <c r="D83" s="58">
        <f t="shared" si="2"/>
        <v>0.9929483489556773</v>
      </c>
      <c r="E83" s="59">
        <f t="shared" si="3"/>
        <v>7.0516510443227043E-3</v>
      </c>
      <c r="F83" s="60">
        <f>B83*POWER(1/(1+Feuil1!$C$15),A83)</f>
        <v>293815.91549192462</v>
      </c>
      <c r="G83" s="59">
        <f>SUM(F83:F$136)</f>
        <v>5652063.8669175096</v>
      </c>
      <c r="H83" s="58">
        <f>SUM(G83:G$136)</f>
        <v>75177329.751489803</v>
      </c>
      <c r="I83" s="59">
        <f>C83*POWER(1/(1+Feuil1!$C$15),(A83+0.5))</f>
        <v>2051.4741266647411</v>
      </c>
      <c r="J83" s="60">
        <f>SUM(I83:I$136)</f>
        <v>184811.98593649422</v>
      </c>
      <c r="K83" s="59">
        <f>SUM(J83:J$136)</f>
        <v>4219571.7267674264</v>
      </c>
    </row>
    <row r="84" spans="1:11" x14ac:dyDescent="0.25">
      <c r="A84" s="57">
        <v>58</v>
      </c>
      <c r="B84" s="58">
        <f t="shared" si="0"/>
        <v>902010.85818750446</v>
      </c>
      <c r="C84" s="59">
        <f t="shared" si="1"/>
        <v>6950.5630044485442</v>
      </c>
      <c r="D84" s="58">
        <f t="shared" si="2"/>
        <v>0.99229436880791555</v>
      </c>
      <c r="E84" s="59">
        <f t="shared" si="3"/>
        <v>7.70563119208445E-3</v>
      </c>
      <c r="F84" s="60">
        <f>B84*POWER(1/(1+Feuil1!$C$15),A84)</f>
        <v>286023.55704373273</v>
      </c>
      <c r="G84" s="59">
        <f>SUM(F84:F$136)</f>
        <v>5358247.951425585</v>
      </c>
      <c r="H84" s="58">
        <f>SUM(G84:G$136)</f>
        <v>69525265.884572297</v>
      </c>
      <c r="I84" s="59">
        <f>C84*POWER(1/(1+Feuil1!$C$15),(A84+0.5))</f>
        <v>2182.2773059454412</v>
      </c>
      <c r="J84" s="60">
        <f>SUM(I84:I$136)</f>
        <v>182760.51180982948</v>
      </c>
      <c r="K84" s="59">
        <f>SUM(J84:J$136)</f>
        <v>4034759.7408309309</v>
      </c>
    </row>
    <row r="85" spans="1:11" x14ac:dyDescent="0.25">
      <c r="A85" s="57">
        <v>59</v>
      </c>
      <c r="B85" s="58">
        <f t="shared" si="0"/>
        <v>895060.29518305592</v>
      </c>
      <c r="C85" s="59">
        <f t="shared" si="1"/>
        <v>7541.0761587128509</v>
      </c>
      <c r="D85" s="58">
        <f t="shared" si="2"/>
        <v>0.99157478418013101</v>
      </c>
      <c r="E85" s="59">
        <f t="shared" si="3"/>
        <v>8.4252158198689919E-3</v>
      </c>
      <c r="F85" s="60">
        <f>B85*POWER(1/(1+Feuil1!$C$15),A85)</f>
        <v>278254.47549108381</v>
      </c>
      <c r="G85" s="59">
        <f>SUM(F85:F$136)</f>
        <v>5072224.3943818528</v>
      </c>
      <c r="H85" s="58">
        <f>SUM(G85:G$136)</f>
        <v>64167017.933146678</v>
      </c>
      <c r="I85" s="59">
        <f>C85*POWER(1/(1+Feuil1!$C$15),(A85+0.5))</f>
        <v>2321.2563617370924</v>
      </c>
      <c r="J85" s="60">
        <f>SUM(I85:I$136)</f>
        <v>180578.23450388401</v>
      </c>
      <c r="K85" s="59">
        <f>SUM(J85:J$136)</f>
        <v>3851999.2290211013</v>
      </c>
    </row>
    <row r="86" spans="1:11" x14ac:dyDescent="0.25">
      <c r="A86" s="57">
        <v>60</v>
      </c>
      <c r="B86" s="58">
        <f t="shared" si="0"/>
        <v>887519.21902434307</v>
      </c>
      <c r="C86" s="59">
        <f t="shared" si="1"/>
        <v>8180.2031348794699</v>
      </c>
      <c r="D86" s="58">
        <f t="shared" si="2"/>
        <v>0.99078306930201232</v>
      </c>
      <c r="E86" s="59">
        <f t="shared" si="3"/>
        <v>9.2169306979876797E-3</v>
      </c>
      <c r="F86" s="60">
        <f>B86*POWER(1/(1+Feuil1!$C$15),A86)</f>
        <v>270500.1191002226</v>
      </c>
      <c r="G86" s="59">
        <f>SUM(F86:F$136)</f>
        <v>4793969.9188907677</v>
      </c>
      <c r="H86" s="58">
        <f>SUM(G86:G$136)</f>
        <v>59094793.53876482</v>
      </c>
      <c r="I86" s="59">
        <f>C86*POWER(1/(1+Feuil1!$C$15),(A86+0.5))</f>
        <v>2468.6168943529328</v>
      </c>
      <c r="J86" s="60">
        <f>SUM(I86:I$136)</f>
        <v>178256.97814214695</v>
      </c>
      <c r="K86" s="59">
        <f>SUM(J86:J$136)</f>
        <v>3671420.9945172174</v>
      </c>
    </row>
    <row r="87" spans="1:11" x14ac:dyDescent="0.25">
      <c r="A87" s="57">
        <v>61</v>
      </c>
      <c r="B87" s="58">
        <f t="shared" si="0"/>
        <v>879339.0158894636</v>
      </c>
      <c r="C87" s="59">
        <f t="shared" si="1"/>
        <v>8870.7183305158978</v>
      </c>
      <c r="D87" s="58">
        <f t="shared" si="2"/>
        <v>0.98991206102512919</v>
      </c>
      <c r="E87" s="59">
        <f t="shared" si="3"/>
        <v>1.0087938974870814E-2</v>
      </c>
      <c r="F87" s="60">
        <f>B87*POWER(1/(1+Feuil1!$C$15),A87)</f>
        <v>262751.90024380229</v>
      </c>
      <c r="G87" s="59">
        <f>SUM(F87:F$136)</f>
        <v>4523469.7997905463</v>
      </c>
      <c r="H87" s="58">
        <f>SUM(G87:G$136)</f>
        <v>54300823.61987406</v>
      </c>
      <c r="I87" s="59">
        <f>C87*POWER(1/(1+Feuil1!$C$15),(A87+0.5))</f>
        <v>2624.5099649614172</v>
      </c>
      <c r="J87" s="60">
        <f>SUM(I87:I$136)</f>
        <v>175788.36124779403</v>
      </c>
      <c r="K87" s="59">
        <f>SUM(J87:J$136)</f>
        <v>3493164.0163750704</v>
      </c>
    </row>
    <row r="88" spans="1:11" x14ac:dyDescent="0.25">
      <c r="A88" s="57">
        <v>62</v>
      </c>
      <c r="B88" s="58">
        <f t="shared" si="0"/>
        <v>870468.2975589477</v>
      </c>
      <c r="C88" s="59">
        <f t="shared" si="1"/>
        <v>9615.2806707073469</v>
      </c>
      <c r="D88" s="58">
        <f t="shared" si="2"/>
        <v>0.98895389907056763</v>
      </c>
      <c r="E88" s="59">
        <f t="shared" si="3"/>
        <v>1.1046100929432368E-2</v>
      </c>
      <c r="F88" s="60">
        <f>B88*POWER(1/(1+Feuil1!$C$15),A88)</f>
        <v>255001.25010648184</v>
      </c>
      <c r="G88" s="59">
        <f>SUM(F88:F$136)</f>
        <v>4260717.8995467434</v>
      </c>
      <c r="H88" s="58">
        <f>SUM(G88:G$136)</f>
        <v>49777353.820083514</v>
      </c>
      <c r="I88" s="59">
        <f>C88*POWER(1/(1+Feuil1!$C$15),(A88+0.5))</f>
        <v>2789.0174449129559</v>
      </c>
      <c r="J88" s="60">
        <f>SUM(I88:I$136)</f>
        <v>173163.85128283262</v>
      </c>
      <c r="K88" s="59">
        <f>SUM(J88:J$136)</f>
        <v>3317375.6551272767</v>
      </c>
    </row>
    <row r="89" spans="1:11" x14ac:dyDescent="0.25">
      <c r="A89" s="57">
        <v>63</v>
      </c>
      <c r="B89" s="58">
        <f t="shared" si="0"/>
        <v>860853.01688824035</v>
      </c>
      <c r="C89" s="59">
        <f t="shared" si="1"/>
        <v>10416.354894332006</v>
      </c>
      <c r="D89" s="58">
        <f t="shared" si="2"/>
        <v>0.98789996121290902</v>
      </c>
      <c r="E89" s="59">
        <f t="shared" si="3"/>
        <v>1.2100038787090983E-2</v>
      </c>
      <c r="F89" s="60">
        <f>B89*POWER(1/(1+Feuil1!$C$15),A89)</f>
        <v>247239.68682419046</v>
      </c>
      <c r="G89" s="59">
        <f>SUM(F89:F$136)</f>
        <v>4005716.6494402625</v>
      </c>
      <c r="H89" s="58">
        <f>SUM(G89:G$136)</f>
        <v>45516635.920536771</v>
      </c>
      <c r="I89" s="59">
        <f>C89*POWER(1/(1+Feuil1!$C$15),(A89+0.5))</f>
        <v>2962.1350932931059</v>
      </c>
      <c r="J89" s="60">
        <f>SUM(I89:I$136)</f>
        <v>170374.83383791966</v>
      </c>
      <c r="K89" s="59">
        <f>SUM(J89:J$136)</f>
        <v>3144211.8038444435</v>
      </c>
    </row>
    <row r="90" spans="1:11" x14ac:dyDescent="0.25">
      <c r="A90" s="57">
        <v>64</v>
      </c>
      <c r="B90" s="58">
        <f t="shared" si="0"/>
        <v>850436.66199390835</v>
      </c>
      <c r="C90" s="59">
        <f t="shared" si="1"/>
        <v>11276.115664731944</v>
      </c>
      <c r="D90" s="58">
        <f t="shared" si="2"/>
        <v>0.98674079309058205</v>
      </c>
      <c r="E90" s="59">
        <f t="shared" si="3"/>
        <v>1.3259206909417953E-2</v>
      </c>
      <c r="F90" s="60">
        <f>B90*POWER(1/(1+Feuil1!$C$15),A90)</f>
        <v>239458.8990430485</v>
      </c>
      <c r="G90" s="59">
        <f>SUM(F90:F$136)</f>
        <v>3758476.9626160725</v>
      </c>
      <c r="H90" s="58">
        <f>SUM(G90:G$136)</f>
        <v>41510919.271096505</v>
      </c>
      <c r="I90" s="59">
        <f>C90*POWER(1/(1+Feuil1!$C$15),(A90+0.5))</f>
        <v>3143.7531919540993</v>
      </c>
      <c r="J90" s="60">
        <f>SUM(I90:I$136)</f>
        <v>167412.69874462654</v>
      </c>
      <c r="K90" s="59">
        <f>SUM(J90:J$136)</f>
        <v>2973836.9700065241</v>
      </c>
    </row>
    <row r="91" spans="1:11" x14ac:dyDescent="0.25">
      <c r="A91" s="57">
        <v>65</v>
      </c>
      <c r="B91" s="58">
        <f t="shared" ref="B91:B136" si="4">$B$11*$C$11^A91*$D$11^($E$11^A91)</f>
        <v>839160.5463291764</v>
      </c>
      <c r="C91" s="59">
        <f t="shared" ref="C91:C136" si="5">B91-B92</f>
        <v>12196.332239890588</v>
      </c>
      <c r="D91" s="58">
        <f t="shared" ref="D91:D136" si="6">B92/B91</f>
        <v>0.98546603234239005</v>
      </c>
      <c r="E91" s="59">
        <f t="shared" ref="E91:E136" si="7">1-D91</f>
        <v>1.4533967657609947E-2</v>
      </c>
      <c r="F91" s="60">
        <f>B91*POWER(1/(1+Feuil1!$C$15),A91)</f>
        <v>231650.84701405422</v>
      </c>
      <c r="G91" s="59">
        <f>SUM(F91:F$136)</f>
        <v>3519018.0635730238</v>
      </c>
      <c r="H91" s="58">
        <f>SUM(G91:G$136)</f>
        <v>37752442.308480427</v>
      </c>
      <c r="I91" s="59">
        <f>C91*POWER(1/(1+Feuil1!$C$15),(A91+0.5))</f>
        <v>3333.6346077437033</v>
      </c>
      <c r="J91" s="60">
        <f>SUM(I91:I$136)</f>
        <v>164268.94555267243</v>
      </c>
      <c r="K91" s="59">
        <f>SUM(J91:J$136)</f>
        <v>2806424.2712618969</v>
      </c>
    </row>
    <row r="92" spans="1:11" x14ac:dyDescent="0.25">
      <c r="A92" s="57">
        <v>66</v>
      </c>
      <c r="B92" s="58">
        <f t="shared" si="4"/>
        <v>826964.21408928582</v>
      </c>
      <c r="C92" s="59">
        <f t="shared" si="5"/>
        <v>13178.231473039603</v>
      </c>
      <c r="D92" s="58">
        <f t="shared" si="6"/>
        <v>0.98406432678885336</v>
      </c>
      <c r="E92" s="59">
        <f t="shared" si="7"/>
        <v>1.5935673211146639E-2</v>
      </c>
      <c r="F92" s="60">
        <f>B92*POWER(1/(1+Feuil1!$C$15),A92)</f>
        <v>223807.88342715098</v>
      </c>
      <c r="G92" s="59">
        <f>SUM(F92:F$136)</f>
        <v>3287367.2165589696</v>
      </c>
      <c r="H92" s="58">
        <f>SUM(G92:G$136)</f>
        <v>34233424.244907402</v>
      </c>
      <c r="I92" s="59">
        <f>C92*POWER(1/(1+Feuil1!$C$15),(A92+0.5))</f>
        <v>3531.3902157979473</v>
      </c>
      <c r="J92" s="60">
        <f>SUM(I92:I$136)</f>
        <v>160935.31094492873</v>
      </c>
      <c r="K92" s="59">
        <f>SUM(J92:J$136)</f>
        <v>2642155.3257092247</v>
      </c>
    </row>
    <row r="93" spans="1:11" x14ac:dyDescent="0.25">
      <c r="A93" s="57">
        <v>67</v>
      </c>
      <c r="B93" s="58">
        <f t="shared" si="4"/>
        <v>813785.98261624621</v>
      </c>
      <c r="C93" s="59">
        <f t="shared" si="5"/>
        <v>14222.337095230585</v>
      </c>
      <c r="D93" s="58">
        <f t="shared" si="6"/>
        <v>0.98252324640748034</v>
      </c>
      <c r="E93" s="59">
        <f t="shared" si="7"/>
        <v>1.7476753592519656E-2</v>
      </c>
      <c r="F93" s="60">
        <f>B93*POWER(1/(1+Feuil1!$C$15),A93)</f>
        <v>215922.89621056613</v>
      </c>
      <c r="G93" s="59">
        <f>SUM(F93:F$136)</f>
        <v>3063559.3331318186</v>
      </c>
      <c r="H93" s="58">
        <f>SUM(G93:G$136)</f>
        <v>30946057.028348438</v>
      </c>
      <c r="I93" s="59">
        <f>C93*POWER(1/(1+Feuil1!$C$15),(A93+0.5))</f>
        <v>3736.4517123224982</v>
      </c>
      <c r="J93" s="60">
        <f>SUM(I93:I$136)</f>
        <v>157403.9207291308</v>
      </c>
      <c r="K93" s="59">
        <f>SUM(J93:J$136)</f>
        <v>2481220.0147642959</v>
      </c>
    </row>
    <row r="94" spans="1:11" x14ac:dyDescent="0.25">
      <c r="A94" s="57">
        <v>68</v>
      </c>
      <c r="B94" s="58">
        <f t="shared" si="4"/>
        <v>799563.64552101563</v>
      </c>
      <c r="C94" s="59">
        <f t="shared" si="5"/>
        <v>15328.283613873296</v>
      </c>
      <c r="D94" s="58">
        <f t="shared" si="6"/>
        <v>0.98082918889604465</v>
      </c>
      <c r="E94" s="59">
        <f t="shared" si="7"/>
        <v>1.9170811103955354E-2</v>
      </c>
      <c r="F94" s="60">
        <f>B94*POWER(1/(1+Feuil1!$C$15),A94)</f>
        <v>207989.47544952048</v>
      </c>
      <c r="G94" s="59">
        <f>SUM(F94:F$136)</f>
        <v>2847636.4369212519</v>
      </c>
      <c r="H94" s="58">
        <f>SUM(G94:G$136)</f>
        <v>27882497.695216618</v>
      </c>
      <c r="I94" s="59">
        <f>C94*POWER(1/(1+Feuil1!$C$15),(A94+0.5))</f>
        <v>3948.0419780854836</v>
      </c>
      <c r="J94" s="60">
        <f>SUM(I94:I$136)</f>
        <v>153667.46901680832</v>
      </c>
      <c r="K94" s="59">
        <f>SUM(J94:J$136)</f>
        <v>2323816.0940351649</v>
      </c>
    </row>
    <row r="95" spans="1:11" x14ac:dyDescent="0.25">
      <c r="A95" s="57">
        <v>69</v>
      </c>
      <c r="B95" s="58">
        <f t="shared" si="4"/>
        <v>784235.36190714233</v>
      </c>
      <c r="C95" s="59">
        <f t="shared" si="5"/>
        <v>16494.60381543322</v>
      </c>
      <c r="D95" s="58">
        <f t="shared" si="6"/>
        <v>0.97896727868108269</v>
      </c>
      <c r="E95" s="59">
        <f t="shared" si="7"/>
        <v>2.1032721318917313E-2</v>
      </c>
      <c r="F95" s="60">
        <f>B95*POWER(1/(1+Feuil1!$C$15),A95)</f>
        <v>200002.10637653622</v>
      </c>
      <c r="G95" s="59">
        <f>SUM(F95:F$136)</f>
        <v>2639646.9614717313</v>
      </c>
      <c r="H95" s="58">
        <f>SUM(G95:G$136)</f>
        <v>25034861.258295365</v>
      </c>
      <c r="I95" s="59">
        <f>C95*POWER(1/(1+Feuil1!$C$15),(A95+0.5))</f>
        <v>4165.1433335467709</v>
      </c>
      <c r="J95" s="60">
        <f>SUM(I95:I$136)</f>
        <v>149719.42703872282</v>
      </c>
      <c r="K95" s="59">
        <f>SUM(J95:J$136)</f>
        <v>2170148.6250183573</v>
      </c>
    </row>
    <row r="96" spans="1:11" x14ac:dyDescent="0.25">
      <c r="A96" s="57">
        <v>70</v>
      </c>
      <c r="B96" s="58">
        <f t="shared" si="4"/>
        <v>767740.75809170911</v>
      </c>
      <c r="C96" s="59">
        <f t="shared" si="5"/>
        <v>17718.489869863144</v>
      </c>
      <c r="D96" s="58">
        <f t="shared" si="6"/>
        <v>0.97692125931427154</v>
      </c>
      <c r="E96" s="59">
        <f t="shared" si="7"/>
        <v>2.307874068572846E-2</v>
      </c>
      <c r="F96" s="60">
        <f>B96*POWER(1/(1+Feuil1!$C$15),A96)</f>
        <v>191956.3900097275</v>
      </c>
      <c r="G96" s="59">
        <f>SUM(F96:F$136)</f>
        <v>2439644.8550951951</v>
      </c>
      <c r="H96" s="58">
        <f>SUM(G96:G$136)</f>
        <v>22395214.296823636</v>
      </c>
      <c r="I96" s="59">
        <f>C96*POWER(1/(1+Feuil1!$C$15),(A96+0.5))</f>
        <v>4386.4642623973295</v>
      </c>
      <c r="J96" s="60">
        <f>SUM(I96:I$136)</f>
        <v>145554.28370517609</v>
      </c>
      <c r="K96" s="59">
        <f>SUM(J96:J$136)</f>
        <v>2020429.1979796349</v>
      </c>
    </row>
    <row r="97" spans="1:11" x14ac:dyDescent="0.25">
      <c r="A97" s="57">
        <v>71</v>
      </c>
      <c r="B97" s="58">
        <f t="shared" si="4"/>
        <v>750022.26822184597</v>
      </c>
      <c r="C97" s="59">
        <f t="shared" si="5"/>
        <v>18995.529494565097</v>
      </c>
      <c r="D97" s="58">
        <f t="shared" si="6"/>
        <v>0.97467337931232401</v>
      </c>
      <c r="E97" s="59">
        <f t="shared" si="7"/>
        <v>2.5326620687675994E-2</v>
      </c>
      <c r="F97" s="60">
        <f>B97*POWER(1/(1+Feuil1!$C$15),A97)</f>
        <v>183849.29241345535</v>
      </c>
      <c r="G97" s="59">
        <f>SUM(F97:F$136)</f>
        <v>2247688.4650854673</v>
      </c>
      <c r="H97" s="58">
        <f>SUM(G97:G$136)</f>
        <v>19955569.441728443</v>
      </c>
      <c r="I97" s="59">
        <f>C97*POWER(1/(1+Feuil1!$C$15),(A97+0.5))</f>
        <v>4610.4054813288349</v>
      </c>
      <c r="J97" s="60">
        <f>SUM(I97:I$136)</f>
        <v>141167.81944277877</v>
      </c>
      <c r="K97" s="59">
        <f>SUM(J97:J$136)</f>
        <v>1874874.9142744585</v>
      </c>
    </row>
    <row r="98" spans="1:11" x14ac:dyDescent="0.25">
      <c r="A98" s="57">
        <v>72</v>
      </c>
      <c r="B98" s="58">
        <f t="shared" si="4"/>
        <v>731026.73872728087</v>
      </c>
      <c r="C98" s="59">
        <f t="shared" si="5"/>
        <v>20319.420651819091</v>
      </c>
      <c r="D98" s="58">
        <f t="shared" si="6"/>
        <v>0.97220427164238177</v>
      </c>
      <c r="E98" s="59">
        <f t="shared" si="7"/>
        <v>2.7795728357618232E-2</v>
      </c>
      <c r="F98" s="60">
        <f>B98*POWER(1/(1+Feuil1!$C$15),A98)</f>
        <v>175679.42266745307</v>
      </c>
      <c r="G98" s="59">
        <f>SUM(F98:F$136)</f>
        <v>2063839.1726720126</v>
      </c>
      <c r="H98" s="58">
        <f>SUM(G98:G$136)</f>
        <v>17707880.976642974</v>
      </c>
      <c r="I98" s="59">
        <f>C98*POWER(1/(1+Feuil1!$C$15),(A98+0.5))</f>
        <v>4835.026608026662</v>
      </c>
      <c r="J98" s="60">
        <f>SUM(I98:I$136)</f>
        <v>136557.41396144993</v>
      </c>
      <c r="K98" s="59">
        <f>SUM(J98:J$136)</f>
        <v>1733707.0948316797</v>
      </c>
    </row>
    <row r="99" spans="1:11" x14ac:dyDescent="0.25">
      <c r="A99" s="57">
        <v>73</v>
      </c>
      <c r="B99" s="58">
        <f t="shared" si="4"/>
        <v>710707.31807546178</v>
      </c>
      <c r="C99" s="59">
        <f t="shared" si="5"/>
        <v>21681.670933058602</v>
      </c>
      <c r="D99" s="58">
        <f t="shared" si="6"/>
        <v>0.96949282724178099</v>
      </c>
      <c r="E99" s="59">
        <f t="shared" si="7"/>
        <v>3.0507172758219014E-2</v>
      </c>
      <c r="F99" s="60">
        <f>B99*POWER(1/(1+Feuil1!$C$15),A99)</f>
        <v>167447.33838918171</v>
      </c>
      <c r="G99" s="59">
        <f>SUM(F99:F$136)</f>
        <v>1888159.7500045595</v>
      </c>
      <c r="H99" s="58">
        <f>SUM(G99:G$136)</f>
        <v>15644041.803970961</v>
      </c>
      <c r="I99" s="59">
        <f>C99*POWER(1/(1+Feuil1!$C$15),(A99+0.5))</f>
        <v>5058.0151317507871</v>
      </c>
      <c r="J99" s="60">
        <f>SUM(I99:I$136)</f>
        <v>131722.38735342328</v>
      </c>
      <c r="K99" s="59">
        <f>SUM(J99:J$136)</f>
        <v>1597149.6808702301</v>
      </c>
    </row>
    <row r="100" spans="1:11" x14ac:dyDescent="0.25">
      <c r="A100" s="57">
        <v>74</v>
      </c>
      <c r="B100" s="58">
        <f t="shared" si="4"/>
        <v>689025.64714240318</v>
      </c>
      <c r="C100" s="59">
        <f t="shared" si="5"/>
        <v>23071.291224836605</v>
      </c>
      <c r="D100" s="58">
        <f t="shared" si="6"/>
        <v>0.96651606319660199</v>
      </c>
      <c r="E100" s="59">
        <f t="shared" si="7"/>
        <v>3.3483936803398007E-2</v>
      </c>
      <c r="F100" s="60">
        <f>B100*POWER(1/(1+Feuil1!$C$15),A100)</f>
        <v>159155.87598925389</v>
      </c>
      <c r="G100" s="59">
        <f>SUM(F100:F$136)</f>
        <v>1720712.411615378</v>
      </c>
      <c r="H100" s="58">
        <f>SUM(G100:G$136)</f>
        <v>13755882.053966403</v>
      </c>
      <c r="I100" s="59">
        <f>C100*POWER(1/(1+Feuil1!$C$15),(A100+0.5))</f>
        <v>5276.6599214890757</v>
      </c>
      <c r="J100" s="60">
        <f>SUM(I100:I$136)</f>
        <v>126664.3722216725</v>
      </c>
      <c r="K100" s="59">
        <f>SUM(J100:J$136)</f>
        <v>1465427.2935168066</v>
      </c>
    </row>
    <row r="101" spans="1:11" x14ac:dyDescent="0.25">
      <c r="A101" s="57">
        <v>75</v>
      </c>
      <c r="B101" s="58">
        <f t="shared" si="4"/>
        <v>665954.35591756657</v>
      </c>
      <c r="C101" s="59">
        <f t="shared" si="5"/>
        <v>24474.497526600724</v>
      </c>
      <c r="D101" s="58">
        <f t="shared" si="6"/>
        <v>0.96324898649716129</v>
      </c>
      <c r="E101" s="59">
        <f t="shared" si="7"/>
        <v>3.6751013502838714E-2</v>
      </c>
      <c r="F101" s="60">
        <f>B101*POWER(1/(1+Feuil1!$C$15),A101)</f>
        <v>150810.5006820983</v>
      </c>
      <c r="G101" s="59">
        <f>SUM(F101:F$136)</f>
        <v>1561556.5356261239</v>
      </c>
      <c r="H101" s="58">
        <f>SUM(G101:G$136)</f>
        <v>12035169.642351024</v>
      </c>
      <c r="I101" s="59">
        <f>C101*POWER(1/(1+Feuil1!$C$15),(A101+0.5))</f>
        <v>5487.8321073790385</v>
      </c>
      <c r="J101" s="60">
        <f>SUM(I101:I$136)</f>
        <v>121387.71230018343</v>
      </c>
      <c r="K101" s="59">
        <f>SUM(J101:J$136)</f>
        <v>1338762.9212951344</v>
      </c>
    </row>
    <row r="102" spans="1:11" x14ac:dyDescent="0.25">
      <c r="A102" s="57">
        <v>76</v>
      </c>
      <c r="B102" s="58">
        <f t="shared" si="4"/>
        <v>641479.85839096585</v>
      </c>
      <c r="C102" s="59">
        <f t="shared" si="5"/>
        <v>25874.439918354503</v>
      </c>
      <c r="D102" s="58">
        <f t="shared" si="6"/>
        <v>0.95966445465138095</v>
      </c>
      <c r="E102" s="59">
        <f t="shared" si="7"/>
        <v>4.0335545348619051E-2</v>
      </c>
      <c r="F102" s="60">
        <f>B102*POWER(1/(1+Feuil1!$C$15),A102)</f>
        <v>142419.66856388297</v>
      </c>
      <c r="G102" s="59">
        <f>SUM(F102:F$136)</f>
        <v>1410746.0349440256</v>
      </c>
      <c r="H102" s="58">
        <f>SUM(G102:G$136)</f>
        <v>10473613.106724899</v>
      </c>
      <c r="I102" s="59">
        <f>C102*POWER(1/(1+Feuil1!$C$15),(A102+0.5))</f>
        <v>5687.9768215900658</v>
      </c>
      <c r="J102" s="60">
        <f>SUM(I102:I$136)</f>
        <v>115899.88019280438</v>
      </c>
      <c r="K102" s="59">
        <f>SUM(J102:J$136)</f>
        <v>1217375.2089949506</v>
      </c>
    </row>
    <row r="103" spans="1:11" x14ac:dyDescent="0.25">
      <c r="A103" s="57">
        <v>77</v>
      </c>
      <c r="B103" s="58">
        <f t="shared" si="4"/>
        <v>615605.41847261135</v>
      </c>
      <c r="C103" s="59">
        <f t="shared" si="5"/>
        <v>27250.983586506802</v>
      </c>
      <c r="D103" s="58">
        <f t="shared" si="6"/>
        <v>0.95573303488114247</v>
      </c>
      <c r="E103" s="59">
        <f t="shared" si="7"/>
        <v>4.4266965118857526E-2</v>
      </c>
      <c r="F103" s="60">
        <f>B103*POWER(1/(1+Feuil1!$C$15),A103)</f>
        <v>133995.18976861684</v>
      </c>
      <c r="G103" s="59">
        <f>SUM(F103:F$136)</f>
        <v>1268326.3663801427</v>
      </c>
      <c r="H103" s="58">
        <f>SUM(G103:G$136)</f>
        <v>9062867.0717808716</v>
      </c>
      <c r="I103" s="59">
        <f>C103*POWER(1/(1+Feuil1!$C$15),(A103+0.5))</f>
        <v>5873.119947742739</v>
      </c>
      <c r="J103" s="60">
        <f>SUM(I103:I$136)</f>
        <v>110211.90337121433</v>
      </c>
      <c r="K103" s="59">
        <f>SUM(J103:J$136)</f>
        <v>1101475.3288021465</v>
      </c>
    </row>
    <row r="104" spans="1:11" x14ac:dyDescent="0.25">
      <c r="A104" s="57">
        <v>78</v>
      </c>
      <c r="B104" s="58">
        <f t="shared" si="4"/>
        <v>588354.43488610454</v>
      </c>
      <c r="C104" s="59">
        <f t="shared" si="5"/>
        <v>28580.573301969212</v>
      </c>
      <c r="D104" s="58">
        <f t="shared" si="6"/>
        <v>0.95142286416604993</v>
      </c>
      <c r="E104" s="59">
        <f t="shared" si="7"/>
        <v>4.8577135833950069E-2</v>
      </c>
      <c r="F104" s="60">
        <f>B104*POWER(1/(1+Feuil1!$C$15),A104)</f>
        <v>125552.57782062232</v>
      </c>
      <c r="G104" s="59">
        <f>SUM(F104:F$136)</f>
        <v>1134331.1766115257</v>
      </c>
      <c r="H104" s="58">
        <f>SUM(G104:G$136)</f>
        <v>7794540.7054007323</v>
      </c>
      <c r="I104" s="59">
        <f>C104*POWER(1/(1+Feuil1!$C$15),(A104+0.5))</f>
        <v>6038.8946431705772</v>
      </c>
      <c r="J104" s="60">
        <f>SUM(I104:I$136)</f>
        <v>104338.78342347158</v>
      </c>
      <c r="K104" s="59">
        <f>SUM(J104:J$136)</f>
        <v>991263.42543093255</v>
      </c>
    </row>
    <row r="105" spans="1:11" x14ac:dyDescent="0.25">
      <c r="A105" s="57">
        <v>79</v>
      </c>
      <c r="B105" s="58">
        <f t="shared" si="4"/>
        <v>559773.86158413533</v>
      </c>
      <c r="C105" s="59">
        <f t="shared" si="5"/>
        <v>29836.219405034324</v>
      </c>
      <c r="D105" s="58">
        <f t="shared" si="6"/>
        <v>0.94669951304871736</v>
      </c>
      <c r="E105" s="59">
        <f t="shared" si="7"/>
        <v>5.3300486951282644E-2</v>
      </c>
      <c r="F105" s="60">
        <f>B105*POWER(1/(1+Feuil1!$C$15),A105)</f>
        <v>117111.36587600723</v>
      </c>
      <c r="G105" s="59">
        <f>SUM(F105:F$136)</f>
        <v>1008778.5987909029</v>
      </c>
      <c r="H105" s="58">
        <f>SUM(G105:G$136)</f>
        <v>6660209.5287892064</v>
      </c>
      <c r="I105" s="59">
        <f>C105*POWER(1/(1+Feuil1!$C$15),(A105+0.5))</f>
        <v>6180.5928773904325</v>
      </c>
      <c r="J105" s="60">
        <f>SUM(I105:I$136)</f>
        <v>98299.888780301015</v>
      </c>
      <c r="K105" s="59">
        <f>SUM(J105:J$136)</f>
        <v>886924.64200746082</v>
      </c>
    </row>
    <row r="106" spans="1:11" x14ac:dyDescent="0.25">
      <c r="A106" s="57">
        <v>80</v>
      </c>
      <c r="B106" s="58">
        <f t="shared" si="4"/>
        <v>529937.64217910101</v>
      </c>
      <c r="C106" s="59">
        <f t="shared" si="5"/>
        <v>30987.649527053407</v>
      </c>
      <c r="D106" s="58">
        <f t="shared" si="6"/>
        <v>0.94152585689208201</v>
      </c>
      <c r="E106" s="59">
        <f t="shared" si="7"/>
        <v>5.8474143107917986E-2</v>
      </c>
      <c r="F106" s="60">
        <f>B106*POWER(1/(1+Feuil1!$C$15),A106)</f>
        <v>108695.36573263352</v>
      </c>
      <c r="G106" s="59">
        <f>SUM(F106:F$136)</f>
        <v>891667.23291489575</v>
      </c>
      <c r="H106" s="58">
        <f>SUM(G106:G$136)</f>
        <v>5651430.9299983038</v>
      </c>
      <c r="I106" s="59">
        <f>C106*POWER(1/(1+Feuil1!$C$15),(A106+0.5))</f>
        <v>6293.2474510461379</v>
      </c>
      <c r="J106" s="60">
        <f>SUM(I106:I$136)</f>
        <v>92119.295902910584</v>
      </c>
      <c r="K106" s="59">
        <f>SUM(J106:J$136)</f>
        <v>788624.75322715973</v>
      </c>
    </row>
    <row r="107" spans="1:11" x14ac:dyDescent="0.25">
      <c r="A107" s="57">
        <v>81</v>
      </c>
      <c r="B107" s="58">
        <f t="shared" si="4"/>
        <v>498949.9926520476</v>
      </c>
      <c r="C107" s="59">
        <f t="shared" si="5"/>
        <v>32001.674986086378</v>
      </c>
      <c r="D107" s="58">
        <f t="shared" si="6"/>
        <v>0.93586195919957982</v>
      </c>
      <c r="E107" s="59">
        <f t="shared" si="7"/>
        <v>6.4138040800420182E-2</v>
      </c>
      <c r="F107" s="60">
        <f>B107*POWER(1/(1+Feuil1!$C$15),A107)</f>
        <v>100332.84055060394</v>
      </c>
      <c r="G107" s="59">
        <f>SUM(F107:F$136)</f>
        <v>782971.86718226224</v>
      </c>
      <c r="H107" s="58">
        <f>SUM(G107:G$136)</f>
        <v>4759763.697083408</v>
      </c>
      <c r="I107" s="59">
        <f>C107*POWER(1/(1+Feuil1!$C$15),(A107+0.5))</f>
        <v>6371.7497641031214</v>
      </c>
      <c r="J107" s="60">
        <f>SUM(I107:I$136)</f>
        <v>85826.048451864423</v>
      </c>
      <c r="K107" s="59">
        <f>SUM(J107:J$136)</f>
        <v>696505.4573242492</v>
      </c>
    </row>
    <row r="108" spans="1:11" x14ac:dyDescent="0.25">
      <c r="A108" s="57">
        <v>82</v>
      </c>
      <c r="B108" s="58">
        <f t="shared" si="4"/>
        <v>466948.31766596122</v>
      </c>
      <c r="C108" s="59">
        <f t="shared" si="5"/>
        <v>32842.822675059258</v>
      </c>
      <c r="D108" s="58">
        <f t="shared" si="6"/>
        <v>0.92966497269071668</v>
      </c>
      <c r="E108" s="59">
        <f t="shared" si="7"/>
        <v>7.0335027309283316E-2</v>
      </c>
      <c r="F108" s="60">
        <f>B108*POWER(1/(1+Feuil1!$C$15),A108)</f>
        <v>92056.55757818358</v>
      </c>
      <c r="G108" s="59">
        <f>SUM(F108:F$136)</f>
        <v>682639.0266316582</v>
      </c>
      <c r="H108" s="58">
        <f>SUM(G108:G$136)</f>
        <v>3976791.8299011458</v>
      </c>
      <c r="I108" s="59">
        <f>C108*POWER(1/(1+Feuil1!$C$15),(A108+0.5))</f>
        <v>6411.0077976854</v>
      </c>
      <c r="J108" s="60">
        <f>SUM(I108:I$136)</f>
        <v>79454.2986877613</v>
      </c>
      <c r="K108" s="59">
        <f>SUM(J108:J$136)</f>
        <v>610679.40887238481</v>
      </c>
    </row>
    <row r="109" spans="1:11" x14ac:dyDescent="0.25">
      <c r="A109" s="57">
        <v>83</v>
      </c>
      <c r="B109" s="58">
        <f t="shared" si="4"/>
        <v>434105.49499090196</v>
      </c>
      <c r="C109" s="59">
        <f t="shared" si="5"/>
        <v>33474.280570827832</v>
      </c>
      <c r="D109" s="58">
        <f t="shared" si="6"/>
        <v>0.92288906508421553</v>
      </c>
      <c r="E109" s="59">
        <f t="shared" si="7"/>
        <v>7.7110934915784468E-2</v>
      </c>
      <c r="F109" s="60">
        <f>B109*POWER(1/(1+Feuil1!$C$15),A109)</f>
        <v>83903.683418552377</v>
      </c>
      <c r="G109" s="59">
        <f>SUM(F109:F$136)</f>
        <v>590582.46905347472</v>
      </c>
      <c r="H109" s="58">
        <f>SUM(G109:G$136)</f>
        <v>3294152.8032694869</v>
      </c>
      <c r="I109" s="59">
        <f>C109*POWER(1/(1+Feuil1!$C$15),(A109+0.5))</f>
        <v>6406.1471436161819</v>
      </c>
      <c r="J109" s="60">
        <f>SUM(I109:I$136)</f>
        <v>73043.290890075907</v>
      </c>
      <c r="K109" s="59">
        <f>SUM(J109:J$136)</f>
        <v>531225.11018462351</v>
      </c>
    </row>
    <row r="110" spans="1:11" x14ac:dyDescent="0.25">
      <c r="A110" s="57">
        <v>84</v>
      </c>
      <c r="B110" s="58">
        <f t="shared" si="4"/>
        <v>400631.21442007413</v>
      </c>
      <c r="C110" s="59">
        <f t="shared" si="5"/>
        <v>33859.195650842856</v>
      </c>
      <c r="D110" s="58">
        <f t="shared" si="6"/>
        <v>0.91548537799318741</v>
      </c>
      <c r="E110" s="59">
        <f t="shared" si="7"/>
        <v>8.451462200681259E-2</v>
      </c>
      <c r="F110" s="60">
        <f>B110*POWER(1/(1+Feuil1!$C$15),A110)</f>
        <v>75915.482301244905</v>
      </c>
      <c r="G110" s="59">
        <f>SUM(F110:F$136)</f>
        <v>506678.78563492227</v>
      </c>
      <c r="H110" s="58">
        <f>SUM(G110:G$136)</f>
        <v>2703570.3342160126</v>
      </c>
      <c r="I110" s="59">
        <f>C110*POWER(1/(1+Feuil1!$C$15),(A110+0.5))</f>
        <v>6352.7552393029646</v>
      </c>
      <c r="J110" s="60">
        <f>SUM(I110:I$136)</f>
        <v>66637.143746459697</v>
      </c>
      <c r="K110" s="59">
        <f>SUM(J110:J$136)</f>
        <v>458181.81929454749</v>
      </c>
    </row>
    <row r="111" spans="1:11" x14ac:dyDescent="0.25">
      <c r="A111" s="57">
        <v>85</v>
      </c>
      <c r="B111" s="58">
        <f t="shared" si="4"/>
        <v>366772.01876923128</v>
      </c>
      <c r="C111" s="59">
        <f t="shared" si="5"/>
        <v>33962.344760581153</v>
      </c>
      <c r="D111" s="58">
        <f t="shared" si="6"/>
        <v>0.90740202899188482</v>
      </c>
      <c r="E111" s="59">
        <f t="shared" si="7"/>
        <v>9.2597971008115176E-2</v>
      </c>
      <c r="F111" s="60">
        <f>B111*POWER(1/(1+Feuil1!$C$15),A111)</f>
        <v>68136.778441265007</v>
      </c>
      <c r="G111" s="59">
        <f>SUM(F111:F$136)</f>
        <v>430763.30333367741</v>
      </c>
      <c r="H111" s="58">
        <f>SUM(G111:G$136)</f>
        <v>2196891.5485810898</v>
      </c>
      <c r="I111" s="59">
        <f>C111*POWER(1/(1+Feuil1!$C$15),(A111+0.5))</f>
        <v>6247.1650572942463</v>
      </c>
      <c r="J111" s="60">
        <f>SUM(I111:I$136)</f>
        <v>60284.38850715672</v>
      </c>
      <c r="K111" s="59">
        <f>SUM(J111:J$136)</f>
        <v>391544.67554808781</v>
      </c>
    </row>
    <row r="112" spans="1:11" x14ac:dyDescent="0.25">
      <c r="A112" s="57">
        <v>86</v>
      </c>
      <c r="B112" s="58">
        <f t="shared" si="4"/>
        <v>332809.67400865012</v>
      </c>
      <c r="C112" s="59">
        <f t="shared" si="5"/>
        <v>33752.169729225978</v>
      </c>
      <c r="D112" s="58">
        <f t="shared" si="6"/>
        <v>0.89858416877524805</v>
      </c>
      <c r="E112" s="59">
        <f t="shared" si="7"/>
        <v>0.10141583122475195</v>
      </c>
      <c r="F112" s="60">
        <f>B112*POWER(1/(1+Feuil1!$C$15),A112)</f>
        <v>60615.148045661168</v>
      </c>
      <c r="G112" s="59">
        <f>SUM(F112:F$136)</f>
        <v>362626.52489241236</v>
      </c>
      <c r="H112" s="58">
        <f>SUM(G112:G$136)</f>
        <v>1766128.245247412</v>
      </c>
      <c r="I112" s="59">
        <f>C112*POWER(1/(1+Feuil1!$C$15),(A112+0.5))</f>
        <v>6086.769263820066</v>
      </c>
      <c r="J112" s="60">
        <f>SUM(I112:I$136)</f>
        <v>54037.223449862475</v>
      </c>
      <c r="K112" s="59">
        <f>SUM(J112:J$136)</f>
        <v>331260.28704093106</v>
      </c>
    </row>
    <row r="113" spans="1:11" x14ac:dyDescent="0.25">
      <c r="A113" s="57">
        <v>87</v>
      </c>
      <c r="B113" s="58">
        <f t="shared" si="4"/>
        <v>299057.50427942415</v>
      </c>
      <c r="C113" s="59">
        <f t="shared" si="5"/>
        <v>33203.126353260188</v>
      </c>
      <c r="D113" s="58">
        <f t="shared" si="6"/>
        <v>0.88897410739361726</v>
      </c>
      <c r="E113" s="59">
        <f t="shared" si="7"/>
        <v>0.11102589260638274</v>
      </c>
      <c r="F113" s="60">
        <f>B113*POWER(1/(1+Feuil1!$C$15),A113)</f>
        <v>53399.816099802971</v>
      </c>
      <c r="G113" s="59">
        <f>SUM(F113:F$136)</f>
        <v>302011.3768467512</v>
      </c>
      <c r="H113" s="58">
        <f>SUM(G113:G$136)</f>
        <v>1403501.7203549996</v>
      </c>
      <c r="I113" s="59">
        <f>C113*POWER(1/(1+Feuil1!$C$15),(A113+0.5))</f>
        <v>5870.3493722523299</v>
      </c>
      <c r="J113" s="60">
        <f>SUM(I113:I$136)</f>
        <v>47950.454186042407</v>
      </c>
      <c r="K113" s="59">
        <f>SUM(J113:J$136)</f>
        <v>277223.06359106861</v>
      </c>
    </row>
    <row r="114" spans="1:11" x14ac:dyDescent="0.25">
      <c r="A114" s="57">
        <v>88</v>
      </c>
      <c r="B114" s="58">
        <f t="shared" si="4"/>
        <v>265854.37792616396</v>
      </c>
      <c r="C114" s="59">
        <f t="shared" si="5"/>
        <v>32298.242738045927</v>
      </c>
      <c r="D114" s="58">
        <f t="shared" si="6"/>
        <v>0.87851152578342662</v>
      </c>
      <c r="E114" s="59">
        <f t="shared" si="7"/>
        <v>0.12148847421657338</v>
      </c>
      <c r="F114" s="60">
        <f>B114*POWER(1/(1+Feuil1!$C$15),A114)</f>
        <v>46540.248874809477</v>
      </c>
      <c r="G114" s="59">
        <f>SUM(F114:F$136)</f>
        <v>248611.56074694826</v>
      </c>
      <c r="H114" s="58">
        <f>SUM(G114:G$136)</f>
        <v>1101490.3435082489</v>
      </c>
      <c r="I114" s="59">
        <f>C114*POWER(1/(1+Feuil1!$C$15),(A114+0.5))</f>
        <v>5598.3970105144308</v>
      </c>
      <c r="J114" s="60">
        <f>SUM(I114:I$136)</f>
        <v>42080.104813790073</v>
      </c>
      <c r="K114" s="59">
        <f>SUM(J114:J$136)</f>
        <v>229272.60940502633</v>
      </c>
    </row>
    <row r="115" spans="1:11" x14ac:dyDescent="0.25">
      <c r="A115" s="57">
        <v>89</v>
      </c>
      <c r="B115" s="58">
        <f t="shared" si="4"/>
        <v>233556.13518811803</v>
      </c>
      <c r="C115" s="59">
        <f t="shared" si="5"/>
        <v>31031.718227518752</v>
      </c>
      <c r="D115" s="58">
        <f t="shared" si="6"/>
        <v>0.86713379118675593</v>
      </c>
      <c r="E115" s="59">
        <f t="shared" si="7"/>
        <v>0.13286620881324407</v>
      </c>
      <c r="F115" s="60">
        <f>B115*POWER(1/(1+Feuil1!$C$15),A115)</f>
        <v>40084.455930734584</v>
      </c>
      <c r="G115" s="59">
        <f>SUM(F115:F$136)</f>
        <v>202071.31187213879</v>
      </c>
      <c r="H115" s="58">
        <f>SUM(G115:G$136)</f>
        <v>852878.78276130056</v>
      </c>
      <c r="I115" s="59">
        <f>C115*POWER(1/(1+Feuil1!$C$15),(A115+0.5))</f>
        <v>5273.3967896073946</v>
      </c>
      <c r="J115" s="60">
        <f>SUM(I115:I$136)</f>
        <v>36481.707803275654</v>
      </c>
      <c r="K115" s="59">
        <f>SUM(J115:J$136)</f>
        <v>187192.50459123624</v>
      </c>
    </row>
    <row r="116" spans="1:11" x14ac:dyDescent="0.25">
      <c r="A116" s="57">
        <v>90</v>
      </c>
      <c r="B116" s="58">
        <f t="shared" si="4"/>
        <v>202524.41696059928</v>
      </c>
      <c r="C116" s="59">
        <f t="shared" si="5"/>
        <v>29411.325428195356</v>
      </c>
      <c r="D116" s="58">
        <f t="shared" si="6"/>
        <v>0.85477639748535961</v>
      </c>
      <c r="E116" s="59">
        <f t="shared" si="7"/>
        <v>0.14522360251464039</v>
      </c>
      <c r="F116" s="60">
        <f>B116*POWER(1/(1+Feuil1!$C$15),A116)</f>
        <v>34077.04533223169</v>
      </c>
      <c r="G116" s="59">
        <f>SUM(F116:F$136)</f>
        <v>161986.85594140421</v>
      </c>
      <c r="H116" s="58">
        <f>SUM(G116:G$136)</f>
        <v>650807.47088916169</v>
      </c>
      <c r="I116" s="59">
        <f>C116*POWER(1/(1+Feuil1!$C$15),(A116+0.5))</f>
        <v>4900.0335327366856</v>
      </c>
      <c r="J116" s="60">
        <f>SUM(I116:I$136)</f>
        <v>31208.311013668263</v>
      </c>
      <c r="K116" s="59">
        <f>SUM(J116:J$136)</f>
        <v>150710.79678796054</v>
      </c>
    </row>
    <row r="117" spans="1:11" x14ac:dyDescent="0.25">
      <c r="A117" s="57">
        <v>91</v>
      </c>
      <c r="B117" s="58">
        <f t="shared" si="4"/>
        <v>173113.09153240392</v>
      </c>
      <c r="C117" s="59">
        <f t="shared" si="5"/>
        <v>27460.314490651683</v>
      </c>
      <c r="D117" s="58">
        <f t="shared" si="6"/>
        <v>0.84137355385677715</v>
      </c>
      <c r="E117" s="59">
        <f t="shared" si="7"/>
        <v>0.15862644614322285</v>
      </c>
      <c r="F117" s="60">
        <f>B117*POWER(1/(1+Feuil1!$C$15),A117)</f>
        <v>28557.111809833616</v>
      </c>
      <c r="G117" s="59">
        <f>SUM(F117:F$136)</f>
        <v>127909.81060917258</v>
      </c>
      <c r="H117" s="58">
        <f>SUM(G117:G$136)</f>
        <v>488820.61494775763</v>
      </c>
      <c r="I117" s="59">
        <f>C117*POWER(1/(1+Feuil1!$C$15),(A117+0.5))</f>
        <v>4485.2823837949627</v>
      </c>
      <c r="J117" s="60">
        <f>SUM(I117:I$136)</f>
        <v>26308.277480931578</v>
      </c>
      <c r="K117" s="59">
        <f>SUM(J117:J$136)</f>
        <v>119502.4857742922</v>
      </c>
    </row>
    <row r="118" spans="1:11" x14ac:dyDescent="0.25">
      <c r="A118" s="57">
        <v>92</v>
      </c>
      <c r="B118" s="58">
        <f t="shared" si="4"/>
        <v>145652.77704175224</v>
      </c>
      <c r="C118" s="59">
        <f t="shared" si="5"/>
        <v>25218.475141320101</v>
      </c>
      <c r="D118" s="58">
        <f t="shared" si="6"/>
        <v>0.82685894732998411</v>
      </c>
      <c r="E118" s="59">
        <f t="shared" si="7"/>
        <v>0.17314105267001589</v>
      </c>
      <c r="F118" s="60">
        <f>B118*POWER(1/(1+Feuil1!$C$15),A118)</f>
        <v>23556.077109142207</v>
      </c>
      <c r="G118" s="59">
        <f>SUM(F118:F$136)</f>
        <v>99352.698799338963</v>
      </c>
      <c r="H118" s="58">
        <f>SUM(G118:G$136)</f>
        <v>360910.804338585</v>
      </c>
      <c r="I118" s="59">
        <f>C118*POWER(1/(1+Feuil1!$C$15),(A118+0.5))</f>
        <v>4038.3405051479622</v>
      </c>
      <c r="J118" s="60">
        <f>SUM(I118:I$136)</f>
        <v>21822.995097136616</v>
      </c>
      <c r="K118" s="59">
        <f>SUM(J118:J$136)</f>
        <v>93194.208293360629</v>
      </c>
    </row>
    <row r="119" spans="1:11" x14ac:dyDescent="0.25">
      <c r="A119" s="57">
        <v>93</v>
      </c>
      <c r="B119" s="58">
        <f t="shared" si="4"/>
        <v>120434.30190043214</v>
      </c>
      <c r="C119" s="59">
        <f t="shared" si="5"/>
        <v>22742.005872015507</v>
      </c>
      <c r="D119" s="58">
        <f t="shared" si="6"/>
        <v>0.8111667065516166</v>
      </c>
      <c r="E119" s="59">
        <f t="shared" si="7"/>
        <v>0.1888332934483834</v>
      </c>
      <c r="F119" s="60">
        <f>B119*POWER(1/(1+Feuil1!$C$15),A119)</f>
        <v>19095.640315381621</v>
      </c>
      <c r="G119" s="59">
        <f>SUM(F119:F$136)</f>
        <v>75796.621690196756</v>
      </c>
      <c r="H119" s="58">
        <f>SUM(G119:G$136)</f>
        <v>261558.10553924603</v>
      </c>
      <c r="I119" s="59">
        <f>C119*POWER(1/(1+Feuil1!$C$15),(A119+0.5))</f>
        <v>3570.3657488819827</v>
      </c>
      <c r="J119" s="60">
        <f>SUM(I119:I$136)</f>
        <v>17784.654591988652</v>
      </c>
      <c r="K119" s="59">
        <f>SUM(J119:J$136)</f>
        <v>71371.213196224009</v>
      </c>
    </row>
    <row r="120" spans="1:11" x14ac:dyDescent="0.25">
      <c r="A120" s="57">
        <v>94</v>
      </c>
      <c r="B120" s="58">
        <f t="shared" si="4"/>
        <v>97692.296028416633</v>
      </c>
      <c r="C120" s="59">
        <f t="shared" si="5"/>
        <v>20101.890235395244</v>
      </c>
      <c r="D120" s="58">
        <f t="shared" si="6"/>
        <v>0.79423259507025989</v>
      </c>
      <c r="E120" s="59">
        <f t="shared" si="7"/>
        <v>0.20576740492974011</v>
      </c>
      <c r="F120" s="60">
        <f>B120*POWER(1/(1+Feuil1!$C$15),A120)</f>
        <v>15186.027121688612</v>
      </c>
      <c r="G120" s="59">
        <f>SUM(F120:F$136)</f>
        <v>56700.981374815106</v>
      </c>
      <c r="H120" s="58">
        <f>SUM(G120:G$136)</f>
        <v>185761.48384904928</v>
      </c>
      <c r="I120" s="59">
        <f>C120*POWER(1/(1+Feuil1!$C$15),(A120+0.5))</f>
        <v>3094.0025388306703</v>
      </c>
      <c r="J120" s="60">
        <f>SUM(I120:I$136)</f>
        <v>14214.288843106669</v>
      </c>
      <c r="K120" s="59">
        <f>SUM(J120:J$136)</f>
        <v>53586.55860423539</v>
      </c>
    </row>
    <row r="121" spans="1:11" x14ac:dyDescent="0.25">
      <c r="A121" s="57">
        <v>95</v>
      </c>
      <c r="B121" s="58">
        <f t="shared" si="4"/>
        <v>77590.405793021389</v>
      </c>
      <c r="C121" s="59">
        <f t="shared" si="5"/>
        <v>17380.602978582145</v>
      </c>
      <c r="D121" s="58">
        <f t="shared" si="6"/>
        <v>0.775995462313391</v>
      </c>
      <c r="E121" s="59">
        <f t="shared" si="7"/>
        <v>0.224004537686609</v>
      </c>
      <c r="F121" s="60">
        <f>B121*POWER(1/(1+Feuil1!$C$15),A121)</f>
        <v>11824.742872221665</v>
      </c>
      <c r="G121" s="59">
        <f>SUM(F121:F$136)</f>
        <v>41514.954253126496</v>
      </c>
      <c r="H121" s="58">
        <f>SUM(G121:G$136)</f>
        <v>129060.50247423421</v>
      </c>
      <c r="I121" s="59">
        <f>C121*POWER(1/(1+Feuil1!$C$15),(A121+0.5))</f>
        <v>2622.6989110068362</v>
      </c>
      <c r="J121" s="60">
        <f>SUM(I121:I$136)</f>
        <v>11120.286304276002</v>
      </c>
      <c r="K121" s="59">
        <f>SUM(J121:J$136)</f>
        <v>39372.269761128722</v>
      </c>
    </row>
    <row r="122" spans="1:11" x14ac:dyDescent="0.25">
      <c r="A122" s="57">
        <v>96</v>
      </c>
      <c r="B122" s="58">
        <f t="shared" si="4"/>
        <v>60209.802814439245</v>
      </c>
      <c r="C122" s="59">
        <f t="shared" si="5"/>
        <v>14667.169459497491</v>
      </c>
      <c r="D122" s="58">
        <f t="shared" si="6"/>
        <v>0.75639897867295336</v>
      </c>
      <c r="E122" s="59">
        <f t="shared" si="7"/>
        <v>0.24360102132704664</v>
      </c>
      <c r="F122" s="60">
        <f>B122*POWER(1/(1+Feuil1!$C$15),A122)</f>
        <v>8996.0262861437495</v>
      </c>
      <c r="G122" s="59">
        <f>SUM(F122:F$136)</f>
        <v>29690.211380904821</v>
      </c>
      <c r="H122" s="58">
        <f>SUM(G122:G$136)</f>
        <v>87545.548221107718</v>
      </c>
      <c r="I122" s="59">
        <f>C122*POWER(1/(1+Feuil1!$C$15),(A122+0.5))</f>
        <v>2169.8501110342359</v>
      </c>
      <c r="J122" s="60">
        <f>SUM(I122:I$136)</f>
        <v>8497.5873932691647</v>
      </c>
      <c r="K122" s="59">
        <f>SUM(J122:J$136)</f>
        <v>28251.983456852711</v>
      </c>
    </row>
    <row r="123" spans="1:11" x14ac:dyDescent="0.25">
      <c r="A123" s="57">
        <v>97</v>
      </c>
      <c r="B123" s="58">
        <f t="shared" si="4"/>
        <v>45542.633354941754</v>
      </c>
      <c r="C123" s="59">
        <f t="shared" si="5"/>
        <v>12050.868746264976</v>
      </c>
      <c r="D123" s="58">
        <f t="shared" si="6"/>
        <v>0.7353936771212779</v>
      </c>
      <c r="E123" s="59">
        <f t="shared" si="7"/>
        <v>0.2646063228787221</v>
      </c>
      <c r="F123" s="60">
        <f>B123*POWER(1/(1+Feuil1!$C$15),A123)</f>
        <v>6671.1618577982081</v>
      </c>
      <c r="G123" s="59">
        <f>SUM(F123:F$136)</f>
        <v>20694.185094761076</v>
      </c>
      <c r="H123" s="58">
        <f>SUM(G123:G$136)</f>
        <v>57855.336840202857</v>
      </c>
      <c r="I123" s="59">
        <f>C123*POWER(1/(1+Feuil1!$C$15),(A123+0.5))</f>
        <v>1747.8397399616017</v>
      </c>
      <c r="J123" s="60">
        <f>SUM(I123:I$136)</f>
        <v>6327.7372822349298</v>
      </c>
      <c r="K123" s="59">
        <f>SUM(J123:J$136)</f>
        <v>19754.396063583546</v>
      </c>
    </row>
    <row r="124" spans="1:11" x14ac:dyDescent="0.25">
      <c r="A124" s="57">
        <v>98</v>
      </c>
      <c r="B124" s="58">
        <f t="shared" si="4"/>
        <v>33491.764608676778</v>
      </c>
      <c r="C124" s="59">
        <f t="shared" si="5"/>
        <v>9614.1688293263505</v>
      </c>
      <c r="D124" s="58">
        <f t="shared" si="6"/>
        <v>0.71293931682430411</v>
      </c>
      <c r="E124" s="59">
        <f t="shared" si="7"/>
        <v>0.28706068317569589</v>
      </c>
      <c r="F124" s="60">
        <f>B124*POWER(1/(1+Feuil1!$C$15),A124)</f>
        <v>4809.7355385072942</v>
      </c>
      <c r="G124" s="59">
        <f>SUM(F124:F$136)</f>
        <v>14023.02323696287</v>
      </c>
      <c r="H124" s="58">
        <f>SUM(G124:G$136)</f>
        <v>37161.151745441784</v>
      </c>
      <c r="I124" s="59">
        <f>C124*POWER(1/(1+Feuil1!$C$15),(A124+0.5))</f>
        <v>1367.0828204003487</v>
      </c>
      <c r="J124" s="60">
        <f>SUM(I124:I$136)</f>
        <v>4579.8975422733274</v>
      </c>
      <c r="K124" s="59">
        <f>SUM(J124:J$136)</f>
        <v>13426.658781348619</v>
      </c>
    </row>
    <row r="125" spans="1:11" x14ac:dyDescent="0.25">
      <c r="A125" s="57">
        <v>99</v>
      </c>
      <c r="B125" s="58">
        <f t="shared" si="4"/>
        <v>23877.595779350428</v>
      </c>
      <c r="C125" s="59">
        <f t="shared" si="5"/>
        <v>7425.75145099152</v>
      </c>
      <c r="D125" s="58">
        <f t="shared" si="6"/>
        <v>0.6890075734754928</v>
      </c>
      <c r="E125" s="59">
        <f t="shared" si="7"/>
        <v>0.3109924265245072</v>
      </c>
      <c r="F125" s="60">
        <f>B125*POWER(1/(1+Feuil1!$C$15),A125)</f>
        <v>3361.8133028715356</v>
      </c>
      <c r="G125" s="59">
        <f>SUM(F125:F$136)</f>
        <v>9213.2876984555769</v>
      </c>
      <c r="H125" s="58">
        <f>SUM(G125:G$136)</f>
        <v>23138.12850847892</v>
      </c>
      <c r="I125" s="59">
        <f>C125*POWER(1/(1+Feuil1!$C$15),(A125+0.5))</f>
        <v>1035.1977477739065</v>
      </c>
      <c r="J125" s="60">
        <f>SUM(I125:I$136)</f>
        <v>3212.8147218729805</v>
      </c>
      <c r="K125" s="59">
        <f>SUM(J125:J$136)</f>
        <v>8846.7612390752911</v>
      </c>
    </row>
    <row r="126" spans="1:11" x14ac:dyDescent="0.25">
      <c r="A126" s="57">
        <v>100</v>
      </c>
      <c r="B126" s="58">
        <f t="shared" si="4"/>
        <v>16451.844328358908</v>
      </c>
      <c r="C126" s="59">
        <f t="shared" si="5"/>
        <v>5534.6464588341969</v>
      </c>
      <c r="D126" s="58">
        <f t="shared" si="6"/>
        <v>0.66358504564173171</v>
      </c>
      <c r="E126" s="59">
        <f t="shared" si="7"/>
        <v>0.33641495435826829</v>
      </c>
      <c r="F126" s="60">
        <f>B126*POWER(1/(1+Feuil1!$C$15),A126)</f>
        <v>2270.8968885187733</v>
      </c>
      <c r="G126" s="59">
        <f>SUM(F126:F$136)</f>
        <v>5851.4743955840404</v>
      </c>
      <c r="H126" s="58">
        <f>SUM(G126:G$136)</f>
        <v>13924.840810023343</v>
      </c>
      <c r="I126" s="59">
        <f>C126*POWER(1/(1+Feuil1!$C$15),(A126+0.5))</f>
        <v>756.43675384674361</v>
      </c>
      <c r="J126" s="60">
        <f>SUM(I126:I$136)</f>
        <v>2177.616974099074</v>
      </c>
      <c r="K126" s="59">
        <f>SUM(J126:J$136)</f>
        <v>5633.9465172023083</v>
      </c>
    </row>
    <row r="127" spans="1:11" x14ac:dyDescent="0.25">
      <c r="A127" s="57">
        <v>101</v>
      </c>
      <c r="B127" s="58">
        <f t="shared" si="4"/>
        <v>10917.197869524711</v>
      </c>
      <c r="C127" s="59">
        <f t="shared" si="5"/>
        <v>3966.4740447026461</v>
      </c>
      <c r="D127" s="58">
        <f t="shared" si="6"/>
        <v>0.63667654538212293</v>
      </c>
      <c r="E127" s="59">
        <f t="shared" si="7"/>
        <v>0.36332345461787707</v>
      </c>
      <c r="F127" s="60">
        <f>B127*POWER(1/(1+Feuil1!$C$15),A127)</f>
        <v>1477.3855053092125</v>
      </c>
      <c r="G127" s="59">
        <f>SUM(F127:F$136)</f>
        <v>3580.5775070652685</v>
      </c>
      <c r="H127" s="58">
        <f>SUM(G127:G$136)</f>
        <v>8073.3664144393015</v>
      </c>
      <c r="I127" s="59">
        <f>C127*POWER(1/(1+Feuil1!$C$15),(A127+0.5))</f>
        <v>531.48031400277068</v>
      </c>
      <c r="J127" s="60">
        <f>SUM(I127:I$136)</f>
        <v>1421.1802202523299</v>
      </c>
      <c r="K127" s="59">
        <f>SUM(J127:J$136)</f>
        <v>3456.3295431032352</v>
      </c>
    </row>
    <row r="128" spans="1:11" x14ac:dyDescent="0.25">
      <c r="A128" s="57">
        <v>102</v>
      </c>
      <c r="B128" s="58">
        <f t="shared" si="4"/>
        <v>6950.7238248220647</v>
      </c>
      <c r="C128" s="59">
        <f t="shared" si="5"/>
        <v>2722.5386489677503</v>
      </c>
      <c r="D128" s="58">
        <f t="shared" si="6"/>
        <v>0.60830861395396529</v>
      </c>
      <c r="E128" s="59">
        <f t="shared" si="7"/>
        <v>0.39169138604603471</v>
      </c>
      <c r="F128" s="60">
        <f>B128*POWER(1/(1+Feuil1!$C$15),A128)</f>
        <v>922.17323501754061</v>
      </c>
      <c r="G128" s="59">
        <f>SUM(F128:F$136)</f>
        <v>2103.1920017560556</v>
      </c>
      <c r="H128" s="58">
        <f>SUM(G128:G$136)</f>
        <v>4492.7889073740325</v>
      </c>
      <c r="I128" s="59">
        <f>C128*POWER(1/(1+Feuil1!$C$15),(A128+0.5))</f>
        <v>357.64853307468763</v>
      </c>
      <c r="J128" s="60">
        <f>SUM(I128:I$136)</f>
        <v>889.69990624955915</v>
      </c>
      <c r="K128" s="59">
        <f>SUM(J128:J$136)</f>
        <v>2035.149322850905</v>
      </c>
    </row>
    <row r="129" spans="1:11" x14ac:dyDescent="0.25">
      <c r="A129" s="57">
        <v>103</v>
      </c>
      <c r="B129" s="58">
        <f t="shared" si="4"/>
        <v>4228.1851758543144</v>
      </c>
      <c r="C129" s="59">
        <f t="shared" si="5"/>
        <v>1782.0398070098031</v>
      </c>
      <c r="D129" s="58">
        <f t="shared" si="6"/>
        <v>0.57853316898550033</v>
      </c>
      <c r="E129" s="59">
        <f t="shared" si="7"/>
        <v>0.42146683101449967</v>
      </c>
      <c r="F129" s="60">
        <f>B129*POWER(1/(1+Feuil1!$C$15),A129)</f>
        <v>549.96659060682782</v>
      </c>
      <c r="G129" s="59">
        <f>SUM(F129:F$136)</f>
        <v>1181.0187667385153</v>
      </c>
      <c r="H129" s="58">
        <f>SUM(G129:G$136)</f>
        <v>2389.5969056179792</v>
      </c>
      <c r="I129" s="59">
        <f>C129*POWER(1/(1+Feuil1!$C$15),(A129+0.5))</f>
        <v>229.50894872724345</v>
      </c>
      <c r="J129" s="60">
        <f>SUM(I129:I$136)</f>
        <v>532.0513731748714</v>
      </c>
      <c r="K129" s="59">
        <f>SUM(J129:J$136)</f>
        <v>1145.449416601346</v>
      </c>
    </row>
    <row r="130" spans="1:11" x14ac:dyDescent="0.25">
      <c r="A130" s="57">
        <v>104</v>
      </c>
      <c r="B130" s="58">
        <f t="shared" si="4"/>
        <v>2446.1453688445113</v>
      </c>
      <c r="C130" s="59">
        <f t="shared" si="5"/>
        <v>1107.0492014911617</v>
      </c>
      <c r="D130" s="58">
        <f t="shared" si="6"/>
        <v>0.54743114796399039</v>
      </c>
      <c r="E130" s="59">
        <f t="shared" si="7"/>
        <v>0.45256885203600961</v>
      </c>
      <c r="F130" s="60">
        <f>B130*POWER(1/(1+Feuil1!$C$15),A130)</f>
        <v>311.9352102940386</v>
      </c>
      <c r="G130" s="59">
        <f>SUM(F130:F$136)</f>
        <v>631.05217613168725</v>
      </c>
      <c r="H130" s="58">
        <f>SUM(G130:G$136)</f>
        <v>1208.5781388794635</v>
      </c>
      <c r="I130" s="59">
        <f>C130*POWER(1/(1+Feuil1!$C$15),(A130+0.5))</f>
        <v>139.78126739277513</v>
      </c>
      <c r="J130" s="60">
        <f>SUM(I130:I$136)</f>
        <v>302.54242444762804</v>
      </c>
      <c r="K130" s="59">
        <f>SUM(J130:J$136)</f>
        <v>613.3980434264746</v>
      </c>
    </row>
    <row r="131" spans="1:11" x14ac:dyDescent="0.25">
      <c r="A131" s="57">
        <v>105</v>
      </c>
      <c r="B131" s="58">
        <f t="shared" si="4"/>
        <v>1339.0961673533495</v>
      </c>
      <c r="C131" s="59">
        <f t="shared" si="5"/>
        <v>649.30635300949541</v>
      </c>
      <c r="D131" s="58">
        <f t="shared" si="6"/>
        <v>0.5151159649027941</v>
      </c>
      <c r="E131" s="59">
        <f t="shared" si="7"/>
        <v>0.4848840350972059</v>
      </c>
      <c r="F131" s="60">
        <f>B131*POWER(1/(1+Feuil1!$C$15),A131)</f>
        <v>167.41475515848461</v>
      </c>
      <c r="G131" s="59">
        <f>SUM(F131:F$136)</f>
        <v>319.11696583764871</v>
      </c>
      <c r="H131" s="58">
        <f>SUM(G131:G$136)</f>
        <v>577.52596274777602</v>
      </c>
      <c r="I131" s="59">
        <f>C131*POWER(1/(1+Feuil1!$C$15),(A131+0.5))</f>
        <v>80.376951654049961</v>
      </c>
      <c r="J131" s="60">
        <f>SUM(I131:I$136)</f>
        <v>162.76115705485296</v>
      </c>
      <c r="K131" s="59">
        <f>SUM(J131:J$136)</f>
        <v>310.85561897884656</v>
      </c>
    </row>
    <row r="132" spans="1:11" x14ac:dyDescent="0.25">
      <c r="A132" s="57">
        <v>106</v>
      </c>
      <c r="B132" s="58">
        <f t="shared" si="4"/>
        <v>689.78981434385412</v>
      </c>
      <c r="C132" s="59">
        <f t="shared" si="5"/>
        <v>357.49285284556333</v>
      </c>
      <c r="D132" s="58">
        <f t="shared" si="6"/>
        <v>0.48173654436225655</v>
      </c>
      <c r="E132" s="59">
        <f t="shared" si="7"/>
        <v>0.51826345563774345</v>
      </c>
      <c r="F132" s="60">
        <f>B132*POWER(1/(1+Feuil1!$C$15),A132)</f>
        <v>84.547071708262564</v>
      </c>
      <c r="G132" s="59">
        <f>SUM(F132:F$136)</f>
        <v>151.70221067916401</v>
      </c>
      <c r="H132" s="58">
        <f>SUM(G132:G$136)</f>
        <v>258.40899691012737</v>
      </c>
      <c r="I132" s="59">
        <f>C132*POWER(1/(1+Feuil1!$C$15),(A132+0.5))</f>
        <v>43.385945959725944</v>
      </c>
      <c r="J132" s="60">
        <f>SUM(I132:I$136)</f>
        <v>82.384205400802969</v>
      </c>
      <c r="K132" s="59">
        <f>SUM(J132:J$136)</f>
        <v>148.09446192399358</v>
      </c>
    </row>
    <row r="133" spans="1:11" x14ac:dyDescent="0.25">
      <c r="A133" s="57">
        <v>107</v>
      </c>
      <c r="B133" s="58">
        <f t="shared" si="4"/>
        <v>332.29696149829078</v>
      </c>
      <c r="C133" s="59">
        <f t="shared" si="5"/>
        <v>183.60083584075909</v>
      </c>
      <c r="D133" s="58">
        <f t="shared" si="6"/>
        <v>0.44747964286846642</v>
      </c>
      <c r="E133" s="59">
        <f t="shared" si="7"/>
        <v>0.55252035713153358</v>
      </c>
      <c r="F133" s="60">
        <f>B133*POWER(1/(1+Feuil1!$C$15),A133)</f>
        <v>39.930798196751283</v>
      </c>
      <c r="G133" s="59">
        <f>SUM(F133:F$136)</f>
        <v>67.155138970901476</v>
      </c>
      <c r="H133" s="58">
        <f>SUM(G133:G$136)</f>
        <v>106.70678623096333</v>
      </c>
      <c r="I133" s="59">
        <f>C133*POWER(1/(1+Feuil1!$C$15),(A133+0.5))</f>
        <v>21.84520826997516</v>
      </c>
      <c r="J133" s="60">
        <f>SUM(I133:I$136)</f>
        <v>38.998259441077018</v>
      </c>
      <c r="K133" s="59">
        <f>SUM(J133:J$136)</f>
        <v>65.710256523190594</v>
      </c>
    </row>
    <row r="134" spans="1:11" x14ac:dyDescent="0.25">
      <c r="A134" s="57">
        <v>108</v>
      </c>
      <c r="B134" s="58">
        <f t="shared" si="4"/>
        <v>148.6961256575317</v>
      </c>
      <c r="C134" s="59">
        <f t="shared" si="5"/>
        <v>87.348398943562955</v>
      </c>
      <c r="D134" s="58">
        <f t="shared" si="6"/>
        <v>0.41257111738917307</v>
      </c>
      <c r="E134" s="59">
        <f t="shared" si="7"/>
        <v>0.58742888261082693</v>
      </c>
      <c r="F134" s="60">
        <f>B134*POWER(1/(1+Feuil1!$C$15),A134)</f>
        <v>17.51786207503438</v>
      </c>
      <c r="G134" s="59">
        <f>SUM(F134:F$136)</f>
        <v>27.224340774150185</v>
      </c>
      <c r="H134" s="58">
        <f>SUM(G134:G$136)</f>
        <v>39.551647260061841</v>
      </c>
      <c r="I134" s="59">
        <f>C134*POWER(1/(1+Feuil1!$C$15),(A134+0.5))</f>
        <v>10.189111453751046</v>
      </c>
      <c r="J134" s="60">
        <f>SUM(I134:I$136)</f>
        <v>17.153051171101861</v>
      </c>
      <c r="K134" s="59">
        <f>SUM(J134:J$136)</f>
        <v>26.711997082113587</v>
      </c>
    </row>
    <row r="135" spans="1:11" x14ac:dyDescent="0.25">
      <c r="A135" s="57">
        <v>109</v>
      </c>
      <c r="B135" s="58">
        <f t="shared" si="4"/>
        <v>61.34772671396874</v>
      </c>
      <c r="C135" s="59">
        <f t="shared" si="5"/>
        <v>38.202716411505676</v>
      </c>
      <c r="D135" s="58">
        <f t="shared" si="6"/>
        <v>0.37727576133954771</v>
      </c>
      <c r="E135" s="59">
        <f t="shared" si="7"/>
        <v>0.62272423866045234</v>
      </c>
      <c r="F135" s="60">
        <f>B135*POWER(1/(1+Feuil1!$C$15),A135)</f>
        <v>7.0856509123199531</v>
      </c>
      <c r="G135" s="59">
        <f>SUM(F135:F$136)</f>
        <v>9.7064786991158059</v>
      </c>
      <c r="H135" s="58">
        <f>SUM(G135:G$136)</f>
        <v>12.327306485911659</v>
      </c>
      <c r="I135" s="59">
        <f>C135*POWER(1/(1+Feuil1!$C$15),(A135+0.5))</f>
        <v>4.368933523689905</v>
      </c>
      <c r="J135" s="60">
        <f>SUM(I135:I$136)</f>
        <v>6.9639397173508151</v>
      </c>
      <c r="K135" s="59">
        <f>SUM(J135:J$136)</f>
        <v>9.5589459110117261</v>
      </c>
    </row>
    <row r="136" spans="1:11" ht="15.75" thickBot="1" x14ac:dyDescent="0.3">
      <c r="A136" s="61">
        <v>110</v>
      </c>
      <c r="B136" s="62">
        <f t="shared" si="4"/>
        <v>23.145010302463067</v>
      </c>
      <c r="C136" s="63">
        <f t="shared" si="5"/>
        <v>23.145010302463067</v>
      </c>
      <c r="D136" s="62">
        <f t="shared" si="6"/>
        <v>0</v>
      </c>
      <c r="E136" s="63">
        <f t="shared" si="7"/>
        <v>1</v>
      </c>
      <c r="F136" s="64">
        <f>B136*POWER(1/(1+Feuil1!$C$15),A136)</f>
        <v>2.6208277867958536</v>
      </c>
      <c r="G136" s="63">
        <f>SUM(F136:F$136)</f>
        <v>2.6208277867958536</v>
      </c>
      <c r="H136" s="62">
        <f>SUM(G136:G$136)</f>
        <v>2.6208277867958536</v>
      </c>
      <c r="I136" s="63">
        <f>C136*POWER(1/(1+Feuil1!$C$15),(A136+0.5))</f>
        <v>2.5950061936609106</v>
      </c>
      <c r="J136" s="64">
        <f>SUM(I136:I$136)</f>
        <v>2.5950061936609106</v>
      </c>
      <c r="K136" s="63">
        <f>SUM(J136:J$136)</f>
        <v>2.5950061936609106</v>
      </c>
    </row>
  </sheetData>
  <sheetProtection algorithmName="SHA-512" hashValue="RrQ9hO772pRj3GR5g6qn0eSG/3x3g19ChzMJRj2ibwxp2/sG6jKn8+XKINmnG/KhRTbrIvpNCvxKupg59KTO+g==" saltValue="Y2q6+9D4+88Hr5pSfCKWiw==" spinCount="100000" sheet="1" objects="1" scenarios="1"/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 Charly Djiomou Ngongang</dc:creator>
  <cp:lastModifiedBy>Cedric  Charly Djiomou Ngongang</cp:lastModifiedBy>
  <dcterms:created xsi:type="dcterms:W3CDTF">2015-12-19T10:15:57Z</dcterms:created>
  <dcterms:modified xsi:type="dcterms:W3CDTF">2020-04-25T18:58:28Z</dcterms:modified>
</cp:coreProperties>
</file>