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12"/>
  <workbookPr defaultThemeVersion="166925"/>
  <xr:revisionPtr revIDLastSave="0" documentId="8_{EA5DA40D-5905-4932-8B19-E2FC64ED40F9}" xr6:coauthVersionLast="47" xr6:coauthVersionMax="47" xr10:uidLastSave="{00000000-0000-0000-0000-000000000000}"/>
  <bookViews>
    <workbookView xWindow="-15" yWindow="-15" windowWidth="14415" windowHeight="12495" xr2:uid="{00000000-000D-0000-FFFF-FFFF00000000}"/>
  </bookViews>
  <sheets>
    <sheet name="Values" sheetId="1" r:id="rId1"/>
    <sheet name="Comparison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2" l="1"/>
  <c r="H14" i="2" s="1"/>
  <c r="G13" i="2"/>
  <c r="H13" i="2" s="1"/>
  <c r="G12" i="2"/>
  <c r="H12" i="2" s="1"/>
  <c r="G11" i="2"/>
  <c r="H11" i="2" s="1"/>
  <c r="G10" i="2"/>
  <c r="H10" i="2" s="1"/>
  <c r="B18" i="1"/>
  <c r="G20" i="1"/>
  <c r="F20" i="1"/>
  <c r="E20" i="1"/>
  <c r="D20" i="1"/>
  <c r="C20" i="1"/>
  <c r="B20" i="1"/>
  <c r="G19" i="1"/>
  <c r="F19" i="1"/>
  <c r="E19" i="1"/>
  <c r="D19" i="1"/>
  <c r="C19" i="1"/>
  <c r="B19" i="1"/>
  <c r="F18" i="1"/>
  <c r="G18" i="1"/>
  <c r="E18" i="1"/>
  <c r="D18" i="1"/>
  <c r="C18" i="1"/>
  <c r="B11" i="2"/>
  <c r="C11" i="2" s="1"/>
  <c r="B12" i="2"/>
  <c r="C12" i="2" s="1"/>
  <c r="B13" i="2"/>
  <c r="C13" i="2" s="1"/>
  <c r="B14" i="2"/>
  <c r="C14" i="2" s="1"/>
  <c r="B10" i="2"/>
  <c r="C10" i="2" s="1"/>
  <c r="B5" i="2" s="1"/>
  <c r="P14" i="1"/>
  <c r="G40" i="1" s="1"/>
  <c r="O14" i="1"/>
  <c r="F40" i="1" s="1"/>
  <c r="N14" i="1"/>
  <c r="E40" i="1" s="1"/>
  <c r="M14" i="1"/>
  <c r="D40" i="1" s="1"/>
  <c r="L14" i="1"/>
  <c r="L40" i="1" s="1"/>
  <c r="P13" i="1"/>
  <c r="G38" i="1" s="1"/>
  <c r="O13" i="1"/>
  <c r="F38" i="1" s="1"/>
  <c r="N13" i="1"/>
  <c r="E38" i="1" s="1"/>
  <c r="M13" i="1"/>
  <c r="D38" i="1" s="1"/>
  <c r="L13" i="1"/>
  <c r="C38" i="1" s="1"/>
  <c r="P12" i="1"/>
  <c r="G36" i="1" s="1"/>
  <c r="O12" i="1"/>
  <c r="F36" i="1" s="1"/>
  <c r="N12" i="1"/>
  <c r="E36" i="1" s="1"/>
  <c r="M12" i="1"/>
  <c r="D36" i="1" s="1"/>
  <c r="L12" i="1"/>
  <c r="C36" i="1" s="1"/>
  <c r="P11" i="1"/>
  <c r="G34" i="1" s="1"/>
  <c r="O11" i="1"/>
  <c r="O34" i="1" s="1"/>
  <c r="N11" i="1"/>
  <c r="E34" i="1" s="1"/>
  <c r="M11" i="1"/>
  <c r="M34" i="1" s="1"/>
  <c r="L11" i="1"/>
  <c r="C34" i="1" s="1"/>
  <c r="P10" i="1"/>
  <c r="G32" i="1" s="1"/>
  <c r="O10" i="1"/>
  <c r="F32" i="1" s="1"/>
  <c r="N10" i="1"/>
  <c r="N32" i="1" s="1"/>
  <c r="M10" i="1"/>
  <c r="D32" i="1" s="1"/>
  <c r="L10" i="1"/>
  <c r="C32" i="1" s="1"/>
  <c r="K10" i="1"/>
  <c r="B32" i="1" s="1"/>
  <c r="K11" i="1"/>
  <c r="B34" i="1" s="1"/>
  <c r="K12" i="1"/>
  <c r="B36" i="1" s="1"/>
  <c r="K13" i="1"/>
  <c r="B38" i="1" s="1"/>
  <c r="K14" i="1"/>
  <c r="B40" i="1" s="1"/>
  <c r="I4" i="1"/>
  <c r="J4" i="1"/>
  <c r="I5" i="1"/>
  <c r="J5" i="1"/>
  <c r="I6" i="1"/>
  <c r="J6" i="1"/>
  <c r="I7" i="1"/>
  <c r="J7" i="1"/>
  <c r="L3" i="1"/>
  <c r="O24" i="1" s="1"/>
  <c r="L4" i="1"/>
  <c r="L25" i="1" s="1"/>
  <c r="L5" i="1"/>
  <c r="L26" i="1" s="1"/>
  <c r="L6" i="1"/>
  <c r="N27" i="1" s="1"/>
  <c r="L7" i="1"/>
  <c r="L28" i="1" s="1"/>
  <c r="I3" i="1"/>
  <c r="J3" i="1"/>
  <c r="H3" i="1"/>
  <c r="H4" i="1"/>
  <c r="H5" i="1"/>
  <c r="H6" i="1"/>
  <c r="H7" i="1"/>
  <c r="B15" i="1"/>
  <c r="C15" i="1"/>
  <c r="D15" i="1"/>
  <c r="E15" i="1"/>
  <c r="F15" i="1"/>
  <c r="G15" i="1"/>
  <c r="G18" i="2" l="1"/>
  <c r="H18" i="2" s="1"/>
  <c r="G19" i="2"/>
  <c r="H19" i="2" s="1"/>
  <c r="G17" i="2"/>
  <c r="H17" i="2" s="1"/>
  <c r="G5" i="2"/>
  <c r="B19" i="2"/>
  <c r="C19" i="2" s="1"/>
  <c r="B17" i="2"/>
  <c r="C17" i="2" s="1"/>
  <c r="B18" i="2"/>
  <c r="C18" i="2" s="1"/>
  <c r="K4" i="1"/>
  <c r="G25" i="1" s="1"/>
  <c r="K3" i="1"/>
  <c r="C24" i="1" s="1"/>
  <c r="K5" i="1"/>
  <c r="F26" i="1" s="1"/>
  <c r="N28" i="1"/>
  <c r="N41" i="1" s="1"/>
  <c r="L24" i="1"/>
  <c r="L33" i="1" s="1"/>
  <c r="N26" i="1"/>
  <c r="N37" i="1" s="1"/>
  <c r="P28" i="1"/>
  <c r="P41" i="1" s="1"/>
  <c r="K7" i="1"/>
  <c r="K24" i="1"/>
  <c r="K33" i="1" s="1"/>
  <c r="N25" i="1"/>
  <c r="N35" i="1" s="1"/>
  <c r="P27" i="1"/>
  <c r="P39" i="1" s="1"/>
  <c r="L27" i="1"/>
  <c r="L39" i="1" s="1"/>
  <c r="K25" i="1"/>
  <c r="K35" i="1" s="1"/>
  <c r="N24" i="1"/>
  <c r="N33" i="1" s="1"/>
  <c r="P26" i="1"/>
  <c r="P37" i="1" s="1"/>
  <c r="K26" i="1"/>
  <c r="K37" i="1" s="1"/>
  <c r="M28" i="1"/>
  <c r="M41" i="1" s="1"/>
  <c r="P25" i="1"/>
  <c r="P35" i="1" s="1"/>
  <c r="K27" i="1"/>
  <c r="K39" i="1" s="1"/>
  <c r="M27" i="1"/>
  <c r="M39" i="1" s="1"/>
  <c r="P24" i="1"/>
  <c r="P33" i="1" s="1"/>
  <c r="K28" i="1"/>
  <c r="K41" i="1" s="1"/>
  <c r="M26" i="1"/>
  <c r="M37" i="1" s="1"/>
  <c r="O28" i="1"/>
  <c r="O41" i="1" s="1"/>
  <c r="M25" i="1"/>
  <c r="M35" i="1" s="1"/>
  <c r="O27" i="1"/>
  <c r="O39" i="1" s="1"/>
  <c r="M24" i="1"/>
  <c r="M33" i="1" s="1"/>
  <c r="O26" i="1"/>
  <c r="O37" i="1" s="1"/>
  <c r="O25" i="1"/>
  <c r="O35" i="1" s="1"/>
  <c r="K6" i="1"/>
  <c r="N34" i="1"/>
  <c r="F34" i="1"/>
  <c r="C40" i="1"/>
  <c r="D34" i="1"/>
  <c r="L32" i="1"/>
  <c r="O36" i="1"/>
  <c r="O40" i="1"/>
  <c r="N36" i="1"/>
  <c r="N40" i="1"/>
  <c r="E32" i="1"/>
  <c r="M36" i="1"/>
  <c r="M40" i="1"/>
  <c r="L36" i="1"/>
  <c r="K36" i="1"/>
  <c r="K40" i="1"/>
  <c r="P34" i="1"/>
  <c r="P38" i="1"/>
  <c r="O38" i="1"/>
  <c r="N38" i="1"/>
  <c r="M38" i="1"/>
  <c r="L34" i="1"/>
  <c r="L38" i="1"/>
  <c r="K34" i="1"/>
  <c r="K38" i="1"/>
  <c r="P32" i="1"/>
  <c r="P36" i="1"/>
  <c r="P40" i="1"/>
  <c r="K32" i="1"/>
  <c r="O32" i="1"/>
  <c r="M32" i="1"/>
  <c r="O33" i="1"/>
  <c r="L35" i="1"/>
  <c r="N39" i="1"/>
  <c r="L41" i="1"/>
  <c r="L37" i="1"/>
  <c r="M15" i="1"/>
  <c r="N15" i="1"/>
  <c r="K15" i="1"/>
  <c r="O15" i="1"/>
  <c r="L15" i="1"/>
  <c r="P15" i="1"/>
  <c r="G6" i="2" l="1"/>
  <c r="B6" i="2"/>
  <c r="N42" i="1"/>
  <c r="E24" i="1"/>
  <c r="B24" i="1"/>
  <c r="B33" i="1" s="1"/>
  <c r="D26" i="1"/>
  <c r="G24" i="1"/>
  <c r="E26" i="1"/>
  <c r="F24" i="1"/>
  <c r="C26" i="1"/>
  <c r="B26" i="1"/>
  <c r="G26" i="1"/>
  <c r="F25" i="1"/>
  <c r="D25" i="1"/>
  <c r="D24" i="1"/>
  <c r="E25" i="1"/>
  <c r="B25" i="1"/>
  <c r="C25" i="1"/>
  <c r="D28" i="1"/>
  <c r="G28" i="1"/>
  <c r="B28" i="1"/>
  <c r="F28" i="1"/>
  <c r="E28" i="1"/>
  <c r="C28" i="1"/>
  <c r="G27" i="1"/>
  <c r="F27" i="1"/>
  <c r="E27" i="1"/>
  <c r="D27" i="1"/>
  <c r="C27" i="1"/>
  <c r="B27" i="1"/>
  <c r="K29" i="1"/>
  <c r="C39" i="1" l="1"/>
  <c r="C35" i="1"/>
  <c r="D35" i="1"/>
  <c r="F35" i="1"/>
  <c r="G39" i="1"/>
  <c r="G35" i="1"/>
  <c r="D41" i="1"/>
  <c r="F33" i="1"/>
  <c r="B41" i="1"/>
  <c r="D37" i="1"/>
  <c r="G37" i="1"/>
  <c r="E37" i="1"/>
  <c r="B35" i="1"/>
  <c r="E39" i="1"/>
  <c r="E33" i="1"/>
  <c r="D33" i="1"/>
  <c r="G41" i="1"/>
  <c r="E35" i="1"/>
  <c r="B37" i="1"/>
  <c r="G33" i="1"/>
  <c r="E41" i="1"/>
  <c r="C37" i="1"/>
  <c r="C33" i="1"/>
  <c r="F37" i="1"/>
  <c r="C41" i="1"/>
  <c r="F39" i="1"/>
  <c r="D39" i="1"/>
  <c r="B39" i="1"/>
  <c r="F41" i="1"/>
  <c r="N29" i="1"/>
  <c r="M29" i="1"/>
  <c r="O29" i="1"/>
  <c r="P29" i="1"/>
  <c r="L29" i="1"/>
  <c r="B29" i="1"/>
  <c r="C29" i="1"/>
  <c r="F29" i="1"/>
  <c r="D29" i="1"/>
  <c r="E29" i="1"/>
  <c r="G29" i="1"/>
  <c r="G42" i="1" l="1"/>
  <c r="G4" i="2" s="1"/>
  <c r="B42" i="1"/>
  <c r="B4" i="2" s="1"/>
  <c r="D42" i="1"/>
  <c r="F42" i="1"/>
  <c r="P42" i="1"/>
  <c r="E42" i="1"/>
  <c r="M42" i="1"/>
  <c r="C42" i="1"/>
  <c r="L42" i="1"/>
  <c r="K42" i="1"/>
  <c r="O42" i="1"/>
</calcChain>
</file>

<file path=xl/sharedStrings.xml><?xml version="1.0" encoding="utf-8"?>
<sst xmlns="http://schemas.openxmlformats.org/spreadsheetml/2006/main" count="194" uniqueCount="56">
  <si>
    <t>Ship Parameters</t>
  </si>
  <si>
    <t>Role Control Values</t>
  </si>
  <si>
    <t>Ships</t>
  </si>
  <si>
    <t>Points</t>
  </si>
  <si>
    <t>Service</t>
  </si>
  <si>
    <t>Lieutenant</t>
  </si>
  <si>
    <t>Captain</t>
  </si>
  <si>
    <t>Service Value</t>
  </si>
  <si>
    <t>Lt Value</t>
  </si>
  <si>
    <t>Cpt Value</t>
  </si>
  <si>
    <t>Adjusted</t>
  </si>
  <si>
    <t>Generic (500)</t>
  </si>
  <si>
    <t>Generic</t>
  </si>
  <si>
    <t>Capital</t>
  </si>
  <si>
    <t>Cruiser</t>
  </si>
  <si>
    <t>Destroyer</t>
  </si>
  <si>
    <t>Frigate</t>
  </si>
  <si>
    <t>Fighter</t>
  </si>
  <si>
    <t>Battlefield Fleet</t>
  </si>
  <si>
    <t>Fleet Ship values</t>
  </si>
  <si>
    <t>Option</t>
  </si>
  <si>
    <t>A</t>
  </si>
  <si>
    <t>B</t>
  </si>
  <si>
    <t>C</t>
  </si>
  <si>
    <t>D</t>
  </si>
  <si>
    <t>E</t>
  </si>
  <si>
    <t>F</t>
  </si>
  <si>
    <t>Name</t>
  </si>
  <si>
    <t>Capital Ship</t>
  </si>
  <si>
    <t>Cruiser Ship</t>
  </si>
  <si>
    <t>Destroyer Ship</t>
  </si>
  <si>
    <t>Frigate Ship</t>
  </si>
  <si>
    <t>Fighter Ship</t>
  </si>
  <si>
    <t>Total</t>
  </si>
  <si>
    <t xml:space="preserve">Total </t>
  </si>
  <si>
    <t>Battlefield Crew Sizes</t>
  </si>
  <si>
    <t>What is the adjusted score value per battlefield fleet</t>
  </si>
  <si>
    <t>Player has to have at least one ship that can hold a captain (edited)</t>
  </si>
  <si>
    <t>Each game mode will have a max amount of points which the player has to fill as part of their deck so no overflow/underflow</t>
  </si>
  <si>
    <t>Trying to make the adjust values balanced, for example 1 capital vs 1 destroyer and 5 fighters = -1000</t>
  </si>
  <si>
    <t>Adjusted Fleet Role Values</t>
  </si>
  <si>
    <r>
      <rPr>
        <sz val="11"/>
        <color rgb="FFFF0000"/>
        <rFont val="Calibri"/>
        <family val="2"/>
        <scheme val="minor"/>
      </rPr>
      <t>Generic</t>
    </r>
    <r>
      <rPr>
        <sz val="11"/>
        <color theme="1"/>
        <rFont val="Calibri"/>
        <family val="2"/>
        <scheme val="minor"/>
      </rPr>
      <t xml:space="preserve"> Fleet Role Values</t>
    </r>
  </si>
  <si>
    <t>Capital Crew</t>
  </si>
  <si>
    <t>Cruiser Crew</t>
  </si>
  <si>
    <t>Destroyer Crew</t>
  </si>
  <si>
    <t>Frigate Crew</t>
  </si>
  <si>
    <t>Fighter Crew</t>
  </si>
  <si>
    <t>Combined Adjusted Fleet Values</t>
  </si>
  <si>
    <r>
      <t xml:space="preserve">Combined </t>
    </r>
    <r>
      <rPr>
        <sz val="11"/>
        <color rgb="FFFF0000"/>
        <rFont val="Calibri"/>
        <family val="2"/>
        <scheme val="minor"/>
      </rPr>
      <t>Generic</t>
    </r>
    <r>
      <rPr>
        <sz val="11"/>
        <color theme="1"/>
        <rFont val="Calibri"/>
        <family val="2"/>
        <scheme val="minor"/>
      </rPr>
      <t xml:space="preserve"> Fleet Values</t>
    </r>
  </si>
  <si>
    <t>Player A</t>
  </si>
  <si>
    <t>Player B</t>
  </si>
  <si>
    <t>Fleet Option</t>
  </si>
  <si>
    <t>Ship Points</t>
  </si>
  <si>
    <t>Crew Points</t>
  </si>
  <si>
    <t>No. of</t>
  </si>
  <si>
    <t>Crew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</si>
</sst>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theme="0"/>
      </left>
      <right style="thin">
        <color theme="0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3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34"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8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/>
        <top/>
        <bottom style="thin">
          <color theme="4" tint="0.39997558519241921"/>
        </bottom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indexed="64"/>
          <bgColor indexed="65"/>
        </patternFill>
      </fill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8" tint="0.59999389629810485"/>
          <bgColor theme="8" tint="0.59999389629810485"/>
        </patternFill>
      </fill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theme="8" tint="0.59999389629810485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indexed="65"/>
        </patternFill>
      </fill>
      <alignment horizontal="center" vertical="bottom" textRotation="0" wrapText="0" relative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numFmt numFmtId="0" formatCode="General"/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bgColor auto="1"/>
        </patternFill>
      </fill>
    </dxf>
    <dxf>
      <fill>
        <patternFill patternType="none">
          <bgColor indexed="65"/>
        </patternFill>
      </fill>
      <alignment horizontal="center" vertical="bottom" textRotation="0" wrapText="0" relative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none">
          <fgColor theme="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relativeIndent="0" justifyLastLine="0" shrinkToFit="0" readingOrder="0"/>
    </dxf>
    <dxf>
      <fill>
        <patternFill>
          <bgColor theme="0"/>
        </patternFill>
      </fill>
    </dxf>
    <dxf>
      <fill>
        <patternFill patternType="solid">
          <fgColor theme="4" tint="0.79998168889431442"/>
          <bgColor theme="4" tint="0.79998168889431442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horizontal style="thin">
          <color theme="4" tint="0.39997558519241921"/>
        </horizontal>
      </border>
    </dxf>
  </dxfs>
  <tableStyles count="1" defaultTableStyle="TableStyleMedium2" defaultPivotStyle="PivotStyleMedium9">
    <tableStyle name="TableStyleMedium2 2" pivot="0" count="7" xr9:uid="{00000000-0011-0000-FFFF-FFFF00000000}">
      <tableStyleElement type="wholeTable" dxfId="133"/>
      <tableStyleElement type="headerRow" dxfId="132"/>
      <tableStyleElement type="totalRow" dxfId="131"/>
      <tableStyleElement type="firstColumn" dxfId="130"/>
      <tableStyleElement type="lastColumn" dxfId="129"/>
      <tableStyleElement type="firstColumnStripe" dxfId="128"/>
      <tableStyleElement type="secondColumnStripe" dxfId="12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blBattlefieldFlt" displayName="TblBattlefieldFlt" ref="A9:G15" totalsRowCount="1" headerRowDxfId="126" dataDxfId="125" totalsRowDxfId="124">
  <autoFilter ref="A9:G14" xr:uid="{00000000-0009-0000-0100-000001000000}"/>
  <tableColumns count="7">
    <tableColumn id="1" xr3:uid="{00000000-0010-0000-0000-000001000000}" name="Option" totalsRowLabel="Total" dataDxfId="122" totalsRowDxfId="123"/>
    <tableColumn id="2" xr3:uid="{00000000-0010-0000-0000-000002000000}" name="A" totalsRowFunction="sum" dataDxfId="120" totalsRowDxfId="121"/>
    <tableColumn id="3" xr3:uid="{00000000-0010-0000-0000-000003000000}" name="B" totalsRowFunction="sum" dataDxfId="118" totalsRowDxfId="119"/>
    <tableColumn id="4" xr3:uid="{00000000-0010-0000-0000-000004000000}" name="C" totalsRowFunction="sum" dataDxfId="116" totalsRowDxfId="117"/>
    <tableColumn id="5" xr3:uid="{00000000-0010-0000-0000-000005000000}" name="D" totalsRowFunction="sum" dataDxfId="114" totalsRowDxfId="115"/>
    <tableColumn id="6" xr3:uid="{00000000-0010-0000-0000-000006000000}" name="E" totalsRowFunction="sum" dataDxfId="112" totalsRowDxfId="113"/>
    <tableColumn id="7" xr3:uid="{00000000-0010-0000-0000-000007000000}" name="F" totalsRowFunction="sum" dataDxfId="110" totalsRowDxfId="111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9000000}" name="TblFltCrewSizes" displayName="TblFltCrewSizes" ref="A17:G20" totalsRowShown="0" headerRowDxfId="8" dataDxfId="7">
  <autoFilter ref="A17:G20" xr:uid="{00000000-0009-0000-0100-00000E000000}"/>
  <tableColumns count="7">
    <tableColumn id="1" xr3:uid="{00000000-0010-0000-0900-000001000000}" name="Option" dataDxfId="6"/>
    <tableColumn id="2" xr3:uid="{00000000-0010-0000-0900-000002000000}" name="A" dataDxfId="5"/>
    <tableColumn id="3" xr3:uid="{00000000-0010-0000-0900-000003000000}" name="B" dataDxfId="4"/>
    <tableColumn id="4" xr3:uid="{00000000-0010-0000-0900-000004000000}" name="C" dataDxfId="3"/>
    <tableColumn id="5" xr3:uid="{00000000-0010-0000-0900-000005000000}" name="D" dataDxfId="2"/>
    <tableColumn id="6" xr3:uid="{00000000-0010-0000-0900-000006000000}" name="E" dataDxfId="1"/>
    <tableColumn id="7" xr3:uid="{00000000-0010-0000-0900-000007000000}" name="F" dataDxfId="0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blFleetShipValues" displayName="TblFleetShipValues" ref="J9:Q15" totalsRowCount="1" headerRowDxfId="109" dataDxfId="108" totalsRowDxfId="107">
  <autoFilter ref="J9:Q14" xr:uid="{00000000-0009-0000-0100-000002000000}"/>
  <tableColumns count="8">
    <tableColumn id="1" xr3:uid="{00000000-0010-0000-0100-000001000000}" name="Option" totalsRowLabel="Total " dataDxfId="105" totalsRowDxfId="106"/>
    <tableColumn id="2" xr3:uid="{00000000-0010-0000-0100-000002000000}" name="A" totalsRowFunction="sum" dataDxfId="103" totalsRowDxfId="104">
      <calculatedColumnFormula>(INDEX(TblBattlefieldFlt[[A]:[F]],MATCH(TblFleetShipValues[[#This Row],[Option]],TblBattlefieldFlt[Option],0),MATCH(TblFleetShipValues[[#Headers],[A]],TblBattlefieldFlt[[#Headers],[A]:[F]],0)))*(INDEX(TblShipPoints[Points],MATCH(TblFleetShipValues[[#This Row],[Option]],TblShipPoints[Ships],0)))</calculatedColumnFormula>
    </tableColumn>
    <tableColumn id="3" xr3:uid="{00000000-0010-0000-0100-000003000000}" name="B" totalsRowFunction="sum" dataDxfId="101" totalsRowDxfId="102">
      <calculatedColumnFormula>C10*#REF!</calculatedColumnFormula>
    </tableColumn>
    <tableColumn id="4" xr3:uid="{00000000-0010-0000-0100-000004000000}" name="C" totalsRowFunction="sum" dataDxfId="99" totalsRowDxfId="100">
      <calculatedColumnFormula>D10*#REF!</calculatedColumnFormula>
    </tableColumn>
    <tableColumn id="5" xr3:uid="{00000000-0010-0000-0100-000005000000}" name="D" totalsRowFunction="sum" dataDxfId="97" totalsRowDxfId="98">
      <calculatedColumnFormula>E10*#REF!</calculatedColumnFormula>
    </tableColumn>
    <tableColumn id="6" xr3:uid="{00000000-0010-0000-0100-000006000000}" name="E" totalsRowFunction="sum" dataDxfId="95" totalsRowDxfId="96">
      <calculatedColumnFormula>F10*#REF!</calculatedColumnFormula>
    </tableColumn>
    <tableColumn id="7" xr3:uid="{00000000-0010-0000-0100-000007000000}" name="F" totalsRowFunction="sum" dataDxfId="93" totalsRowDxfId="94">
      <calculatedColumnFormula>G10*#REF!</calculatedColumnFormula>
    </tableColumn>
    <tableColumn id="8" xr3:uid="{00000000-0010-0000-0100-000008000000}" name="Name" dataDxfId="91" totalsRowDxfId="92"/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blRoleControlValues" displayName="TblRoleControlValues" ref="N2:Q3" totalsRowShown="0" headerRowDxfId="90" dataDxfId="89">
  <autoFilter ref="N2:Q3" xr:uid="{00000000-0009-0000-0100-000005000000}"/>
  <tableColumns count="4">
    <tableColumn id="1" xr3:uid="{00000000-0010-0000-0200-000001000000}" name="Generic" dataDxfId="88"/>
    <tableColumn id="2" xr3:uid="{00000000-0010-0000-0200-000002000000}" name="Service" dataDxfId="87"/>
    <tableColumn id="3" xr3:uid="{00000000-0010-0000-0200-000003000000}" name="Lieutenant" dataDxfId="86"/>
    <tableColumn id="4" xr3:uid="{00000000-0010-0000-0200-000004000000}" name="Captain" dataDxfId="85"/>
  </tableColumns>
  <tableStyleInfo name="TableStyleMedium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blAdjFleetRolesValues" displayName="TblAdjFleetRolesValues" ref="A23:H29" totalsRowCount="1" headerRowDxfId="84" dataDxfId="83" totalsRowDxfId="82">
  <autoFilter ref="A23:H28" xr:uid="{00000000-0009-0000-0100-000006000000}"/>
  <tableColumns count="8">
    <tableColumn id="1" xr3:uid="{00000000-0010-0000-0300-000001000000}" name="Option" totalsRowLabel="Total" dataDxfId="80" totalsRowDxfId="81"/>
    <tableColumn id="2" xr3:uid="{00000000-0010-0000-0300-000002000000}" name="A" totalsRowFunction="sum" dataDxfId="78" totalsRowDxfId="79">
      <calculatedColumnFormula>(INDEX(TblBattlefieldFlt[[A]:[F]],MATCH($A24,TblBattlefieldFlt[Option],0),MATCH(B$23,TblBattlefieldFlt[[#Headers],[A]:[F]],0)))*(INDEX(TblShipCrew[Adjusted],MATCH($A24,TblShipCrew[Ships],0)))</calculatedColumnFormula>
    </tableColumn>
    <tableColumn id="3" xr3:uid="{00000000-0010-0000-0300-000003000000}" name="B" totalsRowFunction="sum" dataDxfId="76" totalsRowDxfId="77">
      <calculatedColumnFormula>(INDEX(TblBattlefieldFlt[[A]:[F]],MATCH($A24,TblBattlefieldFlt[Option],0),MATCH(C$23,TblBattlefieldFlt[[#Headers],[A]:[F]],0)))*(INDEX(TblShipCrew[Adjusted],MATCH($A24,TblShipCrew[Ships],0)))</calculatedColumnFormula>
    </tableColumn>
    <tableColumn id="4" xr3:uid="{00000000-0010-0000-0300-000004000000}" name="C" totalsRowFunction="sum" dataDxfId="74" totalsRowDxfId="75">
      <calculatedColumnFormula>(INDEX(TblBattlefieldFlt[[A]:[F]],MATCH($A24,TblBattlefieldFlt[Option],0),MATCH(D$23,TblBattlefieldFlt[[#Headers],[A]:[F]],0)))*(INDEX(TblShipCrew[Adjusted],MATCH($A24,TblShipCrew[Ships],0)))</calculatedColumnFormula>
    </tableColumn>
    <tableColumn id="5" xr3:uid="{00000000-0010-0000-0300-000005000000}" name="D" totalsRowFunction="sum" dataDxfId="72" totalsRowDxfId="73">
      <calculatedColumnFormula>(INDEX(TblBattlefieldFlt[[A]:[F]],MATCH($A24,TblBattlefieldFlt[Option],0),MATCH(E$23,TblBattlefieldFlt[[#Headers],[A]:[F]],0)))*(INDEX(TblShipCrew[Adjusted],MATCH($A24,TblShipCrew[Ships],0)))</calculatedColumnFormula>
    </tableColumn>
    <tableColumn id="6" xr3:uid="{00000000-0010-0000-0300-000006000000}" name="E" totalsRowFunction="sum" dataDxfId="70" totalsRowDxfId="71">
      <calculatedColumnFormula>(INDEX(TblBattlefieldFlt[[A]:[F]],MATCH($A24,TblBattlefieldFlt[Option],0),MATCH(F$23,TblBattlefieldFlt[[#Headers],[A]:[F]],0)))*(INDEX(TblShipCrew[Adjusted],MATCH($A24,TblShipCrew[Ships],0)))</calculatedColumnFormula>
    </tableColumn>
    <tableColumn id="7" xr3:uid="{00000000-0010-0000-0300-000007000000}" name="F" totalsRowFunction="sum" dataDxfId="68" totalsRowDxfId="69">
      <calculatedColumnFormula>(INDEX(TblBattlefieldFlt[[A]:[F]],MATCH($A24,TblBattlefieldFlt[Option],0),MATCH(G$23,TblBattlefieldFlt[[#Headers],[A]:[F]],0)))*(INDEX(TblShipCrew[Adjusted],MATCH($A24,TblShipCrew[Ships],0)))</calculatedColumnFormula>
    </tableColumn>
    <tableColumn id="8" xr3:uid="{00000000-0010-0000-0300-000008000000}" name="Name" dataDxfId="66" totalsRowDxfId="67"/>
  </tableColumns>
  <tableStyleInfo name="TableStyleMedium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4000000}" name="TblCombinedAdjFltValues" displayName="TblCombinedAdjFltValues" ref="A31:G42" totalsRowCount="1" headerRowDxfId="65">
  <autoFilter ref="A31:G41" xr:uid="{00000000-0009-0000-0100-000008000000}"/>
  <tableColumns count="7">
    <tableColumn id="1" xr3:uid="{00000000-0010-0000-0400-000001000000}" name="Option" totalsRowLabel="Total"/>
    <tableColumn id="2" xr3:uid="{00000000-0010-0000-0400-000002000000}" name="A" totalsRowFunction="sum" dataDxfId="63" totalsRowDxfId="64">
      <calculatedColumnFormula>K10</calculatedColumnFormula>
    </tableColumn>
    <tableColumn id="3" xr3:uid="{00000000-0010-0000-0400-000003000000}" name="B" totalsRowFunction="sum" dataDxfId="61" totalsRowDxfId="62"/>
    <tableColumn id="4" xr3:uid="{00000000-0010-0000-0400-000004000000}" name="C" totalsRowFunction="sum" dataDxfId="59" totalsRowDxfId="60"/>
    <tableColumn id="5" xr3:uid="{00000000-0010-0000-0400-000005000000}" name="D" totalsRowFunction="sum" totalsRowDxfId="58"/>
    <tableColumn id="6" xr3:uid="{00000000-0010-0000-0400-000006000000}" name="E" totalsRowFunction="sum" totalsRowDxfId="57"/>
    <tableColumn id="7" xr3:uid="{00000000-0010-0000-0400-000007000000}" name="F" totalsRowFunction="sum" totalsRowDxfId="56"/>
  </tableColumns>
  <tableStyleInfo name="TableStyleMedium13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5000000}" name="TblGenFleetRolesValues" displayName="TblGenFleetRolesValues" ref="J23:Q29" totalsRowCount="1" headerRowDxfId="55" dataDxfId="54">
  <autoFilter ref="J23:Q28" xr:uid="{00000000-0009-0000-0100-000009000000}"/>
  <tableColumns count="8">
    <tableColumn id="1" xr3:uid="{00000000-0010-0000-0500-000001000000}" name="Option" totalsRowLabel="Total" dataDxfId="53"/>
    <tableColumn id="2" xr3:uid="{00000000-0010-0000-0500-000002000000}" name="A" totalsRowFunction="sum" dataDxfId="51" totalsRowDxfId="52">
      <calculatedColumnFormula>(INDEX(TblBattlefieldFlt[[A]:[F]],MATCH($J24,TblBattlefieldFlt[Option],0),MATCH(K$23,TblBattlefieldFlt[[#Headers],[A]:[F]],0)))*(INDEX(TblShipCrew[Generic (500)],MATCH($J24,TblShipCrew[Ships],0)))</calculatedColumnFormula>
    </tableColumn>
    <tableColumn id="3" xr3:uid="{00000000-0010-0000-0500-000003000000}" name="B" totalsRowFunction="sum" dataDxfId="49" totalsRowDxfId="50">
      <calculatedColumnFormula>(INDEX(TblBattlefieldFlt[[A]:[F]],MATCH($J24,TblBattlefieldFlt[Option],0),MATCH(L$23,TblBattlefieldFlt[[#Headers],[A]:[F]],0)))*(INDEX(TblShipCrew[Generic (500)],MATCH($J24,TblShipCrew[Ships],0)))</calculatedColumnFormula>
    </tableColumn>
    <tableColumn id="4" xr3:uid="{00000000-0010-0000-0500-000004000000}" name="C" totalsRowFunction="sum" dataDxfId="47" totalsRowDxfId="48">
      <calculatedColumnFormula>(INDEX(TblBattlefieldFlt[[A]:[F]],MATCH($J24,TblBattlefieldFlt[Option],0),MATCH(M$23,TblBattlefieldFlt[[#Headers],[A]:[F]],0)))*(INDEX(TblShipCrew[Generic (500)],MATCH($J24,TblShipCrew[Ships],0)))</calculatedColumnFormula>
    </tableColumn>
    <tableColumn id="5" xr3:uid="{00000000-0010-0000-0500-000005000000}" name="D" totalsRowFunction="sum" dataDxfId="45" totalsRowDxfId="46">
      <calculatedColumnFormula>(INDEX(TblBattlefieldFlt[[A]:[F]],MATCH($J24,TblBattlefieldFlt[Option],0),MATCH(N$23,TblBattlefieldFlt[[#Headers],[A]:[F]],0)))*(INDEX(TblShipCrew[Generic (500)],MATCH($J24,TblShipCrew[Ships],0)))</calculatedColumnFormula>
    </tableColumn>
    <tableColumn id="6" xr3:uid="{00000000-0010-0000-0500-000006000000}" name="E" totalsRowFunction="sum" dataDxfId="43" totalsRowDxfId="44">
      <calculatedColumnFormula>(INDEX(TblBattlefieldFlt[[A]:[F]],MATCH($J24,TblBattlefieldFlt[Option],0),MATCH(O$23,TblBattlefieldFlt[[#Headers],[A]:[F]],0)))*(INDEX(TblShipCrew[Generic (500)],MATCH($J24,TblShipCrew[Ships],0)))</calculatedColumnFormula>
    </tableColumn>
    <tableColumn id="7" xr3:uid="{00000000-0010-0000-0500-000007000000}" name="F" totalsRowFunction="sum" dataDxfId="41" totalsRowDxfId="42">
      <calculatedColumnFormula>(INDEX(TblBattlefieldFlt[[A]:[F]],MATCH($J24,TblBattlefieldFlt[Option],0),MATCH(P$23,TblBattlefieldFlt[[#Headers],[A]:[F]],0)))*(INDEX(TblShipCrew[Generic (500)],MATCH($J24,TblShipCrew[Ships],0)))</calculatedColumnFormula>
    </tableColumn>
    <tableColumn id="8" xr3:uid="{00000000-0010-0000-0500-000008000000}" name="Name" dataDxfId="39" totalsRowDxfId="40"/>
  </tableColumns>
  <tableStyleInfo name="TableStyleMedium10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6000000}" name="TblCombinedGenFltValues" displayName="TblCombinedGenFltValues" ref="J31:P42" totalsRowCount="1" headerRowDxfId="38">
  <autoFilter ref="J31:P41" xr:uid="{00000000-0009-0000-0100-00000A000000}"/>
  <tableColumns count="7">
    <tableColumn id="1" xr3:uid="{00000000-0010-0000-0600-000001000000}" name="Option" totalsRowLabel="Total" totalsRowDxfId="37"/>
    <tableColumn id="2" xr3:uid="{00000000-0010-0000-0600-000002000000}" name="A" totalsRowFunction="sum" dataDxfId="35" totalsRowDxfId="36">
      <calculatedColumnFormula>T10</calculatedColumnFormula>
    </tableColumn>
    <tableColumn id="3" xr3:uid="{00000000-0010-0000-0600-000003000000}" name="B" totalsRowFunction="sum" dataDxfId="33" totalsRowDxfId="34"/>
    <tableColumn id="4" xr3:uid="{00000000-0010-0000-0600-000004000000}" name="C" totalsRowFunction="sum" dataDxfId="31" totalsRowDxfId="32"/>
    <tableColumn id="5" xr3:uid="{00000000-0010-0000-0600-000005000000}" name="D" totalsRowFunction="sum" totalsRowDxfId="30"/>
    <tableColumn id="6" xr3:uid="{00000000-0010-0000-0600-000006000000}" name="E" totalsRowFunction="sum" totalsRowDxfId="29"/>
    <tableColumn id="7" xr3:uid="{00000000-0010-0000-0600-000007000000}" name="F" totalsRowFunction="sum" totalsRowDxfId="28"/>
  </tableColumns>
  <tableStyleInfo name="TableStyleMedium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7000000}" name="TblShipCrew" displayName="TblShipCrew" ref="D2:L7" totalsRowShown="0" headerRowDxfId="27" dataDxfId="26" headerRowBorderDxfId="24" tableBorderDxfId="25">
  <autoFilter ref="D2:L7" xr:uid="{00000000-0009-0000-0100-00000D000000}"/>
  <tableColumns count="9">
    <tableColumn id="1" xr3:uid="{00000000-0010-0000-0700-000001000000}" name="Ships" dataDxfId="23"/>
    <tableColumn id="2" xr3:uid="{00000000-0010-0000-0700-000002000000}" name="Service" dataDxfId="22"/>
    <tableColumn id="3" xr3:uid="{00000000-0010-0000-0700-000003000000}" name="Lieutenant" dataDxfId="21"/>
    <tableColumn id="4" xr3:uid="{00000000-0010-0000-0700-000004000000}" name="Captain" dataDxfId="20"/>
    <tableColumn id="5" xr3:uid="{00000000-0010-0000-0700-000005000000}" name="Service Value" dataDxfId="19">
      <calculatedColumnFormula>TblShipCrew[[#This Row],[Service]]*TblRoleControlValues[Service]</calculatedColumnFormula>
    </tableColumn>
    <tableColumn id="6" xr3:uid="{00000000-0010-0000-0700-000006000000}" name="Lt Value" dataDxfId="18">
      <calculatedColumnFormula>TblShipCrew[[#This Row],[Lieutenant]]*TblRoleControlValues[Lieutenant]</calculatedColumnFormula>
    </tableColumn>
    <tableColumn id="7" xr3:uid="{00000000-0010-0000-0700-000007000000}" name="Cpt Value" dataDxfId="17">
      <calculatedColumnFormula>TblShipCrew[[#This Row],[Captain]]*TblRoleControlValues[Captain]</calculatedColumnFormula>
    </tableColumn>
    <tableColumn id="8" xr3:uid="{00000000-0010-0000-0700-000008000000}" name="Adjusted" dataDxfId="16">
      <calculatedColumnFormula>SUM(TblShipCrew[[#This Row],[Service Value]:[Cpt Value]])</calculatedColumnFormula>
    </tableColumn>
    <tableColumn id="9" xr3:uid="{00000000-0010-0000-0700-000009000000}" name="Generic (500)" dataDxfId="15">
      <calculatedColumnFormula>SUM(TblShipCrew[[#This Row],[Service]:[Captain]])*TblRoleControlValues[Generic]</calculatedColumnFormula>
    </tableColumn>
  </tableColumns>
  <tableStyleInfo name="TableStyleMedium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8000000}" name="TblShipPoints" displayName="TblShipPoints" ref="A2:B7" totalsRowShown="0" headerRowDxfId="14" dataDxfId="13" headerRowBorderDxfId="11" tableBorderDxfId="12">
  <autoFilter ref="A2:B7" xr:uid="{00000000-0009-0000-0100-00000C000000}"/>
  <tableColumns count="2">
    <tableColumn id="1" xr3:uid="{00000000-0010-0000-0800-000001000000}" name="Ships" dataDxfId="10"/>
    <tableColumn id="2" xr3:uid="{00000000-0010-0000-0800-000002000000}" name="Points" dataDxfId="9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"/>
  <sheetViews>
    <sheetView tabSelected="1" workbookViewId="0">
      <selection activeCell="H13" sqref="H13"/>
    </sheetView>
  </sheetViews>
  <sheetFormatPr defaultRowHeight="15"/>
  <cols>
    <col min="1" max="1" width="14.85546875" bestFit="1" customWidth="1"/>
    <col min="2" max="7" width="15.42578125" customWidth="1"/>
    <col min="8" max="8" width="14.85546875" bestFit="1" customWidth="1"/>
    <col min="9" max="9" width="15.140625" bestFit="1" customWidth="1"/>
    <col min="10" max="10" width="14.85546875" bestFit="1" customWidth="1"/>
    <col min="11" max="16" width="15.42578125" customWidth="1"/>
    <col min="17" max="17" width="14.85546875" bestFit="1" customWidth="1"/>
    <col min="18" max="18" width="7.5703125" customWidth="1"/>
    <col min="19" max="19" width="7.7109375" bestFit="1" customWidth="1"/>
    <col min="21" max="22" width="9.7109375" bestFit="1" customWidth="1"/>
    <col min="23" max="23" width="12.85546875" bestFit="1" customWidth="1"/>
    <col min="24" max="24" width="10" bestFit="1" customWidth="1"/>
  </cols>
  <sheetData>
    <row r="1" spans="1:17">
      <c r="A1" s="19" t="s">
        <v>0</v>
      </c>
      <c r="B1" s="19"/>
      <c r="C1" s="19"/>
      <c r="D1" s="19"/>
      <c r="E1" s="19"/>
      <c r="F1" s="19"/>
      <c r="G1" s="19"/>
      <c r="H1" s="19"/>
      <c r="N1" s="19" t="s">
        <v>1</v>
      </c>
      <c r="O1" s="19"/>
      <c r="P1" s="19"/>
    </row>
    <row r="2" spans="1:17">
      <c r="A2" s="9" t="s">
        <v>2</v>
      </c>
      <c r="B2" s="9" t="s">
        <v>3</v>
      </c>
      <c r="D2" s="9" t="s">
        <v>2</v>
      </c>
      <c r="E2" s="9" t="s">
        <v>4</v>
      </c>
      <c r="F2" s="9" t="s">
        <v>5</v>
      </c>
      <c r="G2" s="9" t="s">
        <v>6</v>
      </c>
      <c r="H2" t="s">
        <v>7</v>
      </c>
      <c r="I2" t="s">
        <v>8</v>
      </c>
      <c r="J2" t="s">
        <v>9</v>
      </c>
      <c r="K2" s="9" t="s">
        <v>10</v>
      </c>
      <c r="L2" t="s">
        <v>11</v>
      </c>
      <c r="N2" s="1" t="s">
        <v>12</v>
      </c>
      <c r="O2" s="1" t="s">
        <v>4</v>
      </c>
      <c r="P2" s="1" t="s">
        <v>5</v>
      </c>
      <c r="Q2" s="1" t="s">
        <v>6</v>
      </c>
    </row>
    <row r="3" spans="1:17">
      <c r="A3" s="15" t="s">
        <v>13</v>
      </c>
      <c r="B3" s="16">
        <v>5000</v>
      </c>
      <c r="C3" s="1"/>
      <c r="D3" s="10" t="s">
        <v>13</v>
      </c>
      <c r="E3" s="11">
        <v>6</v>
      </c>
      <c r="F3" s="11">
        <v>2</v>
      </c>
      <c r="G3" s="11">
        <v>2</v>
      </c>
      <c r="H3" s="1">
        <f>TblShipCrew[[#This Row],[Service]]*TblRoleControlValues[Service]</f>
        <v>600</v>
      </c>
      <c r="I3" s="1">
        <f>TblShipCrew[[#This Row],[Lieutenant]]*TblRoleControlValues[Lieutenant]</f>
        <v>400</v>
      </c>
      <c r="J3" s="1">
        <f>TblShipCrew[[#This Row],[Captain]]*TblRoleControlValues[Captain]</f>
        <v>600</v>
      </c>
      <c r="K3" s="1">
        <f>SUM(TblShipCrew[[#This Row],[Service Value]:[Cpt Value]])</f>
        <v>1600</v>
      </c>
      <c r="L3" s="1">
        <f>SUM(TblShipCrew[[#This Row],[Service]:[Captain]])*TblRoleControlValues[Generic]</f>
        <v>5000</v>
      </c>
      <c r="N3" s="1">
        <v>500</v>
      </c>
      <c r="O3" s="1">
        <v>100</v>
      </c>
      <c r="P3" s="1">
        <v>200</v>
      </c>
      <c r="Q3" s="1">
        <v>300</v>
      </c>
    </row>
    <row r="4" spans="1:17">
      <c r="A4" s="10" t="s">
        <v>14</v>
      </c>
      <c r="B4" s="11">
        <v>3500</v>
      </c>
      <c r="C4" s="1"/>
      <c r="D4" s="10" t="s">
        <v>14</v>
      </c>
      <c r="E4" s="11">
        <v>4</v>
      </c>
      <c r="F4" s="11">
        <v>2</v>
      </c>
      <c r="G4" s="11">
        <v>1</v>
      </c>
      <c r="H4" s="1">
        <f>TblShipCrew[[#This Row],[Service]]*TblRoleControlValues[Service]</f>
        <v>400</v>
      </c>
      <c r="I4" s="1">
        <f>TblShipCrew[[#This Row],[Lieutenant]]*TblRoleControlValues[Lieutenant]</f>
        <v>400</v>
      </c>
      <c r="J4" s="1">
        <f>TblShipCrew[[#This Row],[Captain]]*TblRoleControlValues[Captain]</f>
        <v>300</v>
      </c>
      <c r="K4" s="1">
        <f>SUM(TblShipCrew[[#This Row],[Service Value]:[Cpt Value]])</f>
        <v>1100</v>
      </c>
      <c r="L4" s="1">
        <f>SUM(TblShipCrew[[#This Row],[Service]:[Captain]])*TblRoleControlValues[Generic]</f>
        <v>3500</v>
      </c>
    </row>
    <row r="5" spans="1:17">
      <c r="A5" s="10" t="s">
        <v>15</v>
      </c>
      <c r="B5" s="11">
        <v>2500</v>
      </c>
      <c r="C5" s="1"/>
      <c r="D5" s="10" t="s">
        <v>15</v>
      </c>
      <c r="E5" s="11">
        <v>3</v>
      </c>
      <c r="F5" s="11">
        <v>1</v>
      </c>
      <c r="G5" s="11">
        <v>1</v>
      </c>
      <c r="H5" s="1">
        <f>TblShipCrew[[#This Row],[Service]]*TblRoleControlValues[Service]</f>
        <v>300</v>
      </c>
      <c r="I5" s="1">
        <f>TblShipCrew[[#This Row],[Lieutenant]]*TblRoleControlValues[Lieutenant]</f>
        <v>200</v>
      </c>
      <c r="J5" s="1">
        <f>TblShipCrew[[#This Row],[Captain]]*TblRoleControlValues[Captain]</f>
        <v>300</v>
      </c>
      <c r="K5" s="1">
        <f>SUM(TblShipCrew[[#This Row],[Service Value]:[Cpt Value]])</f>
        <v>800</v>
      </c>
      <c r="L5" s="1">
        <f>SUM(TblShipCrew[[#This Row],[Service]:[Captain]])*TblRoleControlValues[Generic]</f>
        <v>2500</v>
      </c>
    </row>
    <row r="6" spans="1:17">
      <c r="A6" s="10" t="s">
        <v>16</v>
      </c>
      <c r="B6" s="11">
        <v>1500</v>
      </c>
      <c r="C6" s="1"/>
      <c r="D6" s="10" t="s">
        <v>16</v>
      </c>
      <c r="E6" s="11">
        <v>3</v>
      </c>
      <c r="F6" s="11">
        <v>1</v>
      </c>
      <c r="G6" s="11">
        <v>0</v>
      </c>
      <c r="H6" s="1">
        <f>TblShipCrew[[#This Row],[Service]]*TblRoleControlValues[Service]</f>
        <v>300</v>
      </c>
      <c r="I6" s="1">
        <f>TblShipCrew[[#This Row],[Lieutenant]]*TblRoleControlValues[Lieutenant]</f>
        <v>200</v>
      </c>
      <c r="J6" s="1">
        <f>TblShipCrew[[#This Row],[Captain]]*TblRoleControlValues[Captain]</f>
        <v>0</v>
      </c>
      <c r="K6" s="1">
        <f>SUM(TblShipCrew[[#This Row],[Service Value]:[Cpt Value]])</f>
        <v>500</v>
      </c>
      <c r="L6" s="1">
        <f>SUM(TblShipCrew[[#This Row],[Service]:[Captain]])*TblRoleControlValues[Generic]</f>
        <v>2000</v>
      </c>
    </row>
    <row r="7" spans="1:17">
      <c r="A7" t="s">
        <v>17</v>
      </c>
      <c r="B7" s="1">
        <v>500</v>
      </c>
      <c r="C7" s="1"/>
      <c r="D7" t="s">
        <v>17</v>
      </c>
      <c r="E7" s="1">
        <v>2</v>
      </c>
      <c r="F7" s="1">
        <v>0</v>
      </c>
      <c r="G7" s="1">
        <v>0</v>
      </c>
      <c r="H7" s="1">
        <f>TblShipCrew[[#This Row],[Service]]*TblRoleControlValues[Service]</f>
        <v>200</v>
      </c>
      <c r="I7" s="1">
        <f>TblShipCrew[[#This Row],[Lieutenant]]*TblRoleControlValues[Lieutenant]</f>
        <v>0</v>
      </c>
      <c r="J7" s="1">
        <f>TblShipCrew[[#This Row],[Captain]]*TblRoleControlValues[Captain]</f>
        <v>0</v>
      </c>
      <c r="K7" s="1">
        <f>SUM(TblShipCrew[[#This Row],[Service Value]:[Cpt Value]])</f>
        <v>200</v>
      </c>
      <c r="L7" s="1">
        <f>SUM(TblShipCrew[[#This Row],[Service]:[Captain]])*TblRoleControlValues[Generic]</f>
        <v>1000</v>
      </c>
    </row>
    <row r="8" spans="1:17">
      <c r="A8" s="19" t="s">
        <v>18</v>
      </c>
      <c r="B8" s="19"/>
      <c r="C8" s="19"/>
      <c r="D8" s="19"/>
      <c r="E8" s="19"/>
      <c r="F8" s="19"/>
      <c r="G8" s="19"/>
      <c r="J8" s="19" t="s">
        <v>19</v>
      </c>
      <c r="K8" s="19"/>
      <c r="L8" s="19"/>
      <c r="M8" s="19"/>
      <c r="N8" s="19"/>
      <c r="O8" s="19"/>
      <c r="P8" s="19"/>
      <c r="Q8" s="19"/>
    </row>
    <row r="9" spans="1:17">
      <c r="A9" s="8" t="s">
        <v>20</v>
      </c>
      <c r="B9" s="1" t="s">
        <v>21</v>
      </c>
      <c r="C9" s="1" t="s">
        <v>22</v>
      </c>
      <c r="D9" s="1" t="s">
        <v>23</v>
      </c>
      <c r="E9" s="1" t="s">
        <v>24</v>
      </c>
      <c r="F9" s="1" t="s">
        <v>25</v>
      </c>
      <c r="G9" s="1" t="s">
        <v>26</v>
      </c>
      <c r="H9" s="1"/>
      <c r="J9" s="8" t="s">
        <v>20</v>
      </c>
      <c r="K9" s="14" t="s">
        <v>21</v>
      </c>
      <c r="L9" s="14" t="s">
        <v>22</v>
      </c>
      <c r="M9" s="14" t="s">
        <v>23</v>
      </c>
      <c r="N9" s="14" t="s">
        <v>24</v>
      </c>
      <c r="O9" s="14" t="s">
        <v>25</v>
      </c>
      <c r="P9" s="14" t="s">
        <v>26</v>
      </c>
      <c r="Q9" s="14" t="s">
        <v>27</v>
      </c>
    </row>
    <row r="10" spans="1:17">
      <c r="A10" t="s">
        <v>13</v>
      </c>
      <c r="B10" s="1">
        <v>1</v>
      </c>
      <c r="C10" s="1"/>
      <c r="D10" s="1"/>
      <c r="E10" s="1"/>
      <c r="F10" s="1"/>
      <c r="G10" s="1"/>
      <c r="H10" s="1"/>
      <c r="J10" t="s">
        <v>13</v>
      </c>
      <c r="K10" s="1">
        <f>(INDEX(TblBattlefieldFlt[[A]:[F]],MATCH(TblFleetShipValues[[#This Row],[Option]],TblBattlefieldFlt[Option],0),MATCH(TblFleetShipValues[[#Headers],[A]],TblBattlefieldFlt[[#Headers],[A]:[F]],0)))*(INDEX(TblShipPoints[Points],MATCH(TblFleetShipValues[[#This Row],[Option]],TblShipPoints[Ships],0)))</f>
        <v>5000</v>
      </c>
      <c r="L10" s="1">
        <f>(INDEX(TblBattlefieldFlt[[A]:[F]],MATCH(TblFleetShipValues[[#This Row],[Option]],TblBattlefieldFlt[Option],0),MATCH(TblFleetShipValues[[#Headers],[B]],TblBattlefieldFlt[[#Headers],[A]:[F]],0)))*(INDEX(TblShipPoints[Points],MATCH(TblFleetShipValues[[#This Row],[Option]],TblShipPoints[Ships],0)))</f>
        <v>0</v>
      </c>
      <c r="M10" s="1">
        <f>(INDEX(TblBattlefieldFlt[[A]:[F]],MATCH(TblFleetShipValues[[#This Row],[Option]],TblBattlefieldFlt[Option],0),MATCH(TblFleetShipValues[[#Headers],[C]],TblBattlefieldFlt[[#Headers],[A]:[F]],0)))*(INDEX(TblShipPoints[Points],MATCH(TblFleetShipValues[[#This Row],[Option]],TblShipPoints[Ships],0)))</f>
        <v>0</v>
      </c>
      <c r="N10" s="1">
        <f>(INDEX(TblBattlefieldFlt[[A]:[F]],MATCH(TblFleetShipValues[[#This Row],[Option]],TblBattlefieldFlt[Option],0),MATCH(TblFleetShipValues[[#Headers],[D]],TblBattlefieldFlt[[#Headers],[A]:[F]],0)))*(INDEX(TblShipPoints[Points],MATCH(TblFleetShipValues[[#This Row],[Option]],TblShipPoints[Ships],0)))</f>
        <v>0</v>
      </c>
      <c r="O10" s="1">
        <f>(INDEX(TblBattlefieldFlt[[A]:[F]],MATCH(TblFleetShipValues[[#This Row],[Option]],TblBattlefieldFlt[Option],0),MATCH(TblFleetShipValues[[#Headers],[E]],TblBattlefieldFlt[[#Headers],[A]:[F]],0)))*(INDEX(TblShipPoints[Points],MATCH(TblFleetShipValues[[#This Row],[Option]],TblShipPoints[Ships],0)))</f>
        <v>0</v>
      </c>
      <c r="P10" s="1">
        <f>(INDEX(TblBattlefieldFlt[[A]:[F]],MATCH(TblFleetShipValues[[#This Row],[Option]],TblBattlefieldFlt[Option],0),MATCH(TblFleetShipValues[[#Headers],[F]],TblBattlefieldFlt[[#Headers],[A]:[F]],0)))*(INDEX(TblShipPoints[Points],MATCH(TblFleetShipValues[[#This Row],[Option]],TblShipPoints[Ships],0)))</f>
        <v>0</v>
      </c>
      <c r="Q10" s="1" t="s">
        <v>28</v>
      </c>
    </row>
    <row r="11" spans="1:17">
      <c r="A11" t="s">
        <v>14</v>
      </c>
      <c r="B11" s="1"/>
      <c r="C11" s="1">
        <v>1</v>
      </c>
      <c r="D11" s="1">
        <v>1</v>
      </c>
      <c r="E11" s="1"/>
      <c r="F11" s="1"/>
      <c r="G11" s="1"/>
      <c r="H11" s="1"/>
      <c r="J11" t="s">
        <v>14</v>
      </c>
      <c r="K11" s="1">
        <f>(INDEX(TblBattlefieldFlt[[A]:[F]],MATCH(TblFleetShipValues[[#This Row],[Option]],TblBattlefieldFlt[Option],0),MATCH(TblFleetShipValues[[#Headers],[A]],TblBattlefieldFlt[[#Headers],[A]:[F]],0)))*(INDEX(TblShipPoints[Points],MATCH(TblFleetShipValues[[#This Row],[Option]],TblShipPoints[Ships],0)))</f>
        <v>0</v>
      </c>
      <c r="L11" s="1">
        <f>(INDEX(TblBattlefieldFlt[[A]:[F]],MATCH(TblFleetShipValues[[#This Row],[Option]],TblBattlefieldFlt[Option],0),MATCH(TblFleetShipValues[[#Headers],[B]],TblBattlefieldFlt[[#Headers],[A]:[F]],0)))*(INDEX(TblShipPoints[Points],MATCH(TblFleetShipValues[[#This Row],[Option]],TblShipPoints[Ships],0)))</f>
        <v>3500</v>
      </c>
      <c r="M11" s="1">
        <f>(INDEX(TblBattlefieldFlt[[A]:[F]],MATCH(TblFleetShipValues[[#This Row],[Option]],TblBattlefieldFlt[Option],0),MATCH(TblFleetShipValues[[#Headers],[C]],TblBattlefieldFlt[[#Headers],[A]:[F]],0)))*(INDEX(TblShipPoints[Points],MATCH(TblFleetShipValues[[#This Row],[Option]],TblShipPoints[Ships],0)))</f>
        <v>3500</v>
      </c>
      <c r="N11" s="1">
        <f>(INDEX(TblBattlefieldFlt[[A]:[F]],MATCH(TblFleetShipValues[[#This Row],[Option]],TblBattlefieldFlt[Option],0),MATCH(TblFleetShipValues[[#Headers],[D]],TblBattlefieldFlt[[#Headers],[A]:[F]],0)))*(INDEX(TblShipPoints[Points],MATCH(TblFleetShipValues[[#This Row],[Option]],TblShipPoints[Ships],0)))</f>
        <v>0</v>
      </c>
      <c r="O11" s="1">
        <f>(INDEX(TblBattlefieldFlt[[A]:[F]],MATCH(TblFleetShipValues[[#This Row],[Option]],TblBattlefieldFlt[Option],0),MATCH(TblFleetShipValues[[#Headers],[E]],TblBattlefieldFlt[[#Headers],[A]:[F]],0)))*(INDEX(TblShipPoints[Points],MATCH(TblFleetShipValues[[#This Row],[Option]],TblShipPoints[Ships],0)))</f>
        <v>0</v>
      </c>
      <c r="P11" s="1">
        <f>(INDEX(TblBattlefieldFlt[[A]:[F]],MATCH(TblFleetShipValues[[#This Row],[Option]],TblBattlefieldFlt[Option],0),MATCH(TblFleetShipValues[[#Headers],[F]],TblBattlefieldFlt[[#Headers],[A]:[F]],0)))*(INDEX(TblShipPoints[Points],MATCH(TblFleetShipValues[[#This Row],[Option]],TblShipPoints[Ships],0)))</f>
        <v>0</v>
      </c>
      <c r="Q11" s="1" t="s">
        <v>29</v>
      </c>
    </row>
    <row r="12" spans="1:17">
      <c r="A12" t="s">
        <v>15</v>
      </c>
      <c r="B12" s="1"/>
      <c r="C12" s="1"/>
      <c r="D12" s="1"/>
      <c r="E12" s="1">
        <v>2</v>
      </c>
      <c r="F12" s="1">
        <v>1</v>
      </c>
      <c r="G12" s="1">
        <v>1</v>
      </c>
      <c r="H12" s="1"/>
      <c r="J12" t="s">
        <v>15</v>
      </c>
      <c r="K12" s="1">
        <f>(INDEX(TblBattlefieldFlt[[A]:[F]],MATCH(TblFleetShipValues[[#This Row],[Option]],TblBattlefieldFlt[Option],0),MATCH(TblFleetShipValues[[#Headers],[A]],TblBattlefieldFlt[[#Headers],[A]:[F]],0)))*(INDEX(TblShipPoints[Points],MATCH(TblFleetShipValues[[#This Row],[Option]],TblShipPoints[Ships],0)))</f>
        <v>0</v>
      </c>
      <c r="L12" s="1">
        <f>(INDEX(TblBattlefieldFlt[[A]:[F]],MATCH(TblFleetShipValues[[#This Row],[Option]],TblBattlefieldFlt[Option],0),MATCH(TblFleetShipValues[[#Headers],[B]],TblBattlefieldFlt[[#Headers],[A]:[F]],0)))*(INDEX(TblShipPoints[Points],MATCH(TblFleetShipValues[[#This Row],[Option]],TblShipPoints[Ships],0)))</f>
        <v>0</v>
      </c>
      <c r="M12" s="1">
        <f>(INDEX(TblBattlefieldFlt[[A]:[F]],MATCH(TblFleetShipValues[[#This Row],[Option]],TblBattlefieldFlt[Option],0),MATCH(TblFleetShipValues[[#Headers],[C]],TblBattlefieldFlt[[#Headers],[A]:[F]],0)))*(INDEX(TblShipPoints[Points],MATCH(TblFleetShipValues[[#This Row],[Option]],TblShipPoints[Ships],0)))</f>
        <v>0</v>
      </c>
      <c r="N12" s="1">
        <f>(INDEX(TblBattlefieldFlt[[A]:[F]],MATCH(TblFleetShipValues[[#This Row],[Option]],TblBattlefieldFlt[Option],0),MATCH(TblFleetShipValues[[#Headers],[D]],TblBattlefieldFlt[[#Headers],[A]:[F]],0)))*(INDEX(TblShipPoints[Points],MATCH(TblFleetShipValues[[#This Row],[Option]],TblShipPoints[Ships],0)))</f>
        <v>5000</v>
      </c>
      <c r="O12" s="1">
        <f>(INDEX(TblBattlefieldFlt[[A]:[F]],MATCH(TblFleetShipValues[[#This Row],[Option]],TblBattlefieldFlt[Option],0),MATCH(TblFleetShipValues[[#Headers],[E]],TblBattlefieldFlt[[#Headers],[A]:[F]],0)))*(INDEX(TblShipPoints[Points],MATCH(TblFleetShipValues[[#This Row],[Option]],TblShipPoints[Ships],0)))</f>
        <v>2500</v>
      </c>
      <c r="P12" s="1">
        <f>(INDEX(TblBattlefieldFlt[[A]:[F]],MATCH(TblFleetShipValues[[#This Row],[Option]],TblBattlefieldFlt[Option],0),MATCH(TblFleetShipValues[[#Headers],[F]],TblBattlefieldFlt[[#Headers],[A]:[F]],0)))*(INDEX(TblShipPoints[Points],MATCH(TblFleetShipValues[[#This Row],[Option]],TblShipPoints[Ships],0)))</f>
        <v>2500</v>
      </c>
      <c r="Q12" s="1" t="s">
        <v>30</v>
      </c>
    </row>
    <row r="13" spans="1:17">
      <c r="A13" t="s">
        <v>16</v>
      </c>
      <c r="B13" s="1"/>
      <c r="C13" s="1">
        <v>1</v>
      </c>
      <c r="D13" s="1"/>
      <c r="E13" s="1"/>
      <c r="F13" s="1">
        <v>1</v>
      </c>
      <c r="G13" s="1"/>
      <c r="H13" s="1"/>
      <c r="J13" t="s">
        <v>16</v>
      </c>
      <c r="K13" s="1">
        <f>(INDEX(TblBattlefieldFlt[[A]:[F]],MATCH(TblFleetShipValues[[#This Row],[Option]],TblBattlefieldFlt[Option],0),MATCH(TblFleetShipValues[[#Headers],[A]],TblBattlefieldFlt[[#Headers],[A]:[F]],0)))*(INDEX(TblShipPoints[Points],MATCH(TblFleetShipValues[[#This Row],[Option]],TblShipPoints[Ships],0)))</f>
        <v>0</v>
      </c>
      <c r="L13" s="1">
        <f>(INDEX(TblBattlefieldFlt[[A]:[F]],MATCH(TblFleetShipValues[[#This Row],[Option]],TblBattlefieldFlt[Option],0),MATCH(TblFleetShipValues[[#Headers],[B]],TblBattlefieldFlt[[#Headers],[A]:[F]],0)))*(INDEX(TblShipPoints[Points],MATCH(TblFleetShipValues[[#This Row],[Option]],TblShipPoints[Ships],0)))</f>
        <v>1500</v>
      </c>
      <c r="M13" s="1">
        <f>(INDEX(TblBattlefieldFlt[[A]:[F]],MATCH(TblFleetShipValues[[#This Row],[Option]],TblBattlefieldFlt[Option],0),MATCH(TblFleetShipValues[[#Headers],[C]],TblBattlefieldFlt[[#Headers],[A]:[F]],0)))*(INDEX(TblShipPoints[Points],MATCH(TblFleetShipValues[[#This Row],[Option]],TblShipPoints[Ships],0)))</f>
        <v>0</v>
      </c>
      <c r="N13" s="1">
        <f>(INDEX(TblBattlefieldFlt[[A]:[F]],MATCH(TblFleetShipValues[[#This Row],[Option]],TblBattlefieldFlt[Option],0),MATCH(TblFleetShipValues[[#Headers],[D]],TblBattlefieldFlt[[#Headers],[A]:[F]],0)))*(INDEX(TblShipPoints[Points],MATCH(TblFleetShipValues[[#This Row],[Option]],TblShipPoints[Ships],0)))</f>
        <v>0</v>
      </c>
      <c r="O13" s="1">
        <f>(INDEX(TblBattlefieldFlt[[A]:[F]],MATCH(TblFleetShipValues[[#This Row],[Option]],TblBattlefieldFlt[Option],0),MATCH(TblFleetShipValues[[#Headers],[E]],TblBattlefieldFlt[[#Headers],[A]:[F]],0)))*(INDEX(TblShipPoints[Points],MATCH(TblFleetShipValues[[#This Row],[Option]],TblShipPoints[Ships],0)))</f>
        <v>1500</v>
      </c>
      <c r="P13" s="1">
        <f>(INDEX(TblBattlefieldFlt[[A]:[F]],MATCH(TblFleetShipValues[[#This Row],[Option]],TblBattlefieldFlt[Option],0),MATCH(TblFleetShipValues[[#Headers],[F]],TblBattlefieldFlt[[#Headers],[A]:[F]],0)))*(INDEX(TblShipPoints[Points],MATCH(TblFleetShipValues[[#This Row],[Option]],TblShipPoints[Ships],0)))</f>
        <v>0</v>
      </c>
      <c r="Q13" s="1" t="s">
        <v>31</v>
      </c>
    </row>
    <row r="14" spans="1:17">
      <c r="A14" t="s">
        <v>17</v>
      </c>
      <c r="B14" s="1"/>
      <c r="C14" s="1"/>
      <c r="D14" s="1">
        <v>3</v>
      </c>
      <c r="E14" s="1"/>
      <c r="F14" s="1">
        <v>2</v>
      </c>
      <c r="G14" s="1">
        <v>5</v>
      </c>
      <c r="H14" s="1"/>
      <c r="J14" t="s">
        <v>17</v>
      </c>
      <c r="K14" s="1">
        <f>(INDEX(TblBattlefieldFlt[[A]:[F]],MATCH(TblFleetShipValues[[#This Row],[Option]],TblBattlefieldFlt[Option],0),MATCH(TblFleetShipValues[[#Headers],[A]],TblBattlefieldFlt[[#Headers],[A]:[F]],0)))*(INDEX(TblShipPoints[Points],MATCH(TblFleetShipValues[[#This Row],[Option]],TblShipPoints[Ships],0)))</f>
        <v>0</v>
      </c>
      <c r="L14" s="1">
        <f>(INDEX(TblBattlefieldFlt[[A]:[F]],MATCH(TblFleetShipValues[[#This Row],[Option]],TblBattlefieldFlt[Option],0),MATCH(TblFleetShipValues[[#Headers],[B]],TblBattlefieldFlt[[#Headers],[A]:[F]],0)))*(INDEX(TblShipPoints[Points],MATCH(TblFleetShipValues[[#This Row],[Option]],TblShipPoints[Ships],0)))</f>
        <v>0</v>
      </c>
      <c r="M14" s="1">
        <f>(INDEX(TblBattlefieldFlt[[A]:[F]],MATCH(TblFleetShipValues[[#This Row],[Option]],TblBattlefieldFlt[Option],0),MATCH(TblFleetShipValues[[#Headers],[C]],TblBattlefieldFlt[[#Headers],[A]:[F]],0)))*(INDEX(TblShipPoints[Points],MATCH(TblFleetShipValues[[#This Row],[Option]],TblShipPoints[Ships],0)))</f>
        <v>1500</v>
      </c>
      <c r="N14" s="1">
        <f>(INDEX(TblBattlefieldFlt[[A]:[F]],MATCH(TblFleetShipValues[[#This Row],[Option]],TblBattlefieldFlt[Option],0),MATCH(TblFleetShipValues[[#Headers],[D]],TblBattlefieldFlt[[#Headers],[A]:[F]],0)))*(INDEX(TblShipPoints[Points],MATCH(TblFleetShipValues[[#This Row],[Option]],TblShipPoints[Ships],0)))</f>
        <v>0</v>
      </c>
      <c r="O14" s="1">
        <f>(INDEX(TblBattlefieldFlt[[A]:[F]],MATCH(TblFleetShipValues[[#This Row],[Option]],TblBattlefieldFlt[Option],0),MATCH(TblFleetShipValues[[#Headers],[E]],TblBattlefieldFlt[[#Headers],[A]:[F]],0)))*(INDEX(TblShipPoints[Points],MATCH(TblFleetShipValues[[#This Row],[Option]],TblShipPoints[Ships],0)))</f>
        <v>1000</v>
      </c>
      <c r="P14" s="1">
        <f>(INDEX(TblBattlefieldFlt[[A]:[F]],MATCH(TblFleetShipValues[[#This Row],[Option]],TblBattlefieldFlt[Option],0),MATCH(TblFleetShipValues[[#Headers],[F]],TblBattlefieldFlt[[#Headers],[A]:[F]],0)))*(INDEX(TblShipPoints[Points],MATCH(TblFleetShipValues[[#This Row],[Option]],TblShipPoints[Ships],0)))</f>
        <v>2500</v>
      </c>
      <c r="Q14" s="1" t="s">
        <v>32</v>
      </c>
    </row>
    <row r="15" spans="1:17">
      <c r="A15" t="s">
        <v>33</v>
      </c>
      <c r="B15" s="1">
        <f>SUBTOTAL(109,TblBattlefieldFlt[A])</f>
        <v>1</v>
      </c>
      <c r="C15" s="1">
        <f>SUBTOTAL(109,TblBattlefieldFlt[B])</f>
        <v>2</v>
      </c>
      <c r="D15" s="1">
        <f>SUBTOTAL(109,TblBattlefieldFlt[C])</f>
        <v>4</v>
      </c>
      <c r="E15" s="1">
        <f>SUBTOTAL(109,TblBattlefieldFlt[D])</f>
        <v>2</v>
      </c>
      <c r="F15" s="1">
        <f>SUBTOTAL(109,TblBattlefieldFlt[E])</f>
        <v>4</v>
      </c>
      <c r="G15" s="1">
        <f>SUBTOTAL(109,TblBattlefieldFlt[F])</f>
        <v>6</v>
      </c>
      <c r="J15" t="s">
        <v>34</v>
      </c>
      <c r="K15" s="1">
        <f>SUBTOTAL(109,TblFleetShipValues[A])</f>
        <v>5000</v>
      </c>
      <c r="L15" s="1">
        <f>SUBTOTAL(109,TblFleetShipValues[B])</f>
        <v>5000</v>
      </c>
      <c r="M15" s="1">
        <f>SUBTOTAL(109,TblFleetShipValues[C])</f>
        <v>5000</v>
      </c>
      <c r="N15" s="1">
        <f>SUBTOTAL(109,TblFleetShipValues[D])</f>
        <v>5000</v>
      </c>
      <c r="O15" s="1">
        <f>SUBTOTAL(109,TblFleetShipValues[E])</f>
        <v>5000</v>
      </c>
      <c r="P15" s="1">
        <f>SUBTOTAL(109,TblFleetShipValues[F])</f>
        <v>5000</v>
      </c>
      <c r="Q15" s="1"/>
    </row>
    <row r="16" spans="1:17">
      <c r="A16" s="19" t="s">
        <v>35</v>
      </c>
      <c r="B16" s="19"/>
      <c r="C16" s="19"/>
      <c r="D16" s="19"/>
      <c r="E16" s="19"/>
      <c r="F16" s="19"/>
      <c r="G16" s="19"/>
      <c r="K16" s="1"/>
      <c r="L16" s="1"/>
      <c r="M16" s="1"/>
      <c r="N16" s="1"/>
      <c r="O16" s="1"/>
      <c r="P16" s="1"/>
      <c r="Q16" s="1"/>
    </row>
    <row r="17" spans="1:18">
      <c r="A17" t="s">
        <v>20</v>
      </c>
      <c r="B17" s="12" t="s">
        <v>21</v>
      </c>
      <c r="C17" s="13" t="s">
        <v>22</v>
      </c>
      <c r="D17" s="14" t="s">
        <v>23</v>
      </c>
      <c r="E17" s="14" t="s">
        <v>24</v>
      </c>
      <c r="F17" s="14" t="s">
        <v>25</v>
      </c>
      <c r="G17" s="14" t="s">
        <v>26</v>
      </c>
      <c r="I17" s="6" t="s">
        <v>36</v>
      </c>
      <c r="K17" s="1"/>
      <c r="L17" s="1"/>
      <c r="M17" s="1"/>
      <c r="N17" s="1"/>
      <c r="O17" s="1"/>
      <c r="P17" s="1"/>
      <c r="Q17" s="1"/>
    </row>
    <row r="18" spans="1:18">
      <c r="A18" t="s">
        <v>4</v>
      </c>
      <c r="B18" s="1">
        <f>SUMPRODUCT(TblBattlefieldFlt[A],TblShipCrew[Service])</f>
        <v>6</v>
      </c>
      <c r="C18" s="1">
        <f>SUMPRODUCT(TblBattlefieldFlt[B],TblShipCrew[Service])</f>
        <v>7</v>
      </c>
      <c r="D18" s="1">
        <f>SUMPRODUCT(TblBattlefieldFlt[C],TblShipCrew[Service])</f>
        <v>10</v>
      </c>
      <c r="E18" s="1">
        <f>SUMPRODUCT(TblBattlefieldFlt[D],TblShipCrew[Service])</f>
        <v>6</v>
      </c>
      <c r="F18" s="1">
        <f>SUMPRODUCT(TblBattlefieldFlt[E],TblShipCrew[Service])</f>
        <v>10</v>
      </c>
      <c r="G18" s="1">
        <f>SUMPRODUCT(TblBattlefieldFlt[F],TblShipCrew[Service])</f>
        <v>13</v>
      </c>
      <c r="I18" s="6" t="s">
        <v>37</v>
      </c>
      <c r="K18" s="1"/>
      <c r="L18" s="1"/>
      <c r="M18" s="1"/>
      <c r="N18" s="1"/>
      <c r="O18" s="1"/>
      <c r="P18" s="1"/>
      <c r="Q18" s="1"/>
    </row>
    <row r="19" spans="1:18">
      <c r="A19" t="s">
        <v>5</v>
      </c>
      <c r="B19" s="1">
        <f>SUMPRODUCT(TblBattlefieldFlt[A],TblShipCrew[Lieutenant])</f>
        <v>2</v>
      </c>
      <c r="C19" s="1">
        <f>SUMPRODUCT(TblBattlefieldFlt[B],TblShipCrew[Lieutenant])</f>
        <v>3</v>
      </c>
      <c r="D19" s="1">
        <f>SUMPRODUCT(TblBattlefieldFlt[C],TblShipCrew[Lieutenant])</f>
        <v>2</v>
      </c>
      <c r="E19" s="1">
        <f>SUMPRODUCT(TblBattlefieldFlt[D],TblShipCrew[Lieutenant])</f>
        <v>2</v>
      </c>
      <c r="F19" s="1">
        <f>SUMPRODUCT(TblBattlefieldFlt[E],TblShipCrew[Lieutenant])</f>
        <v>2</v>
      </c>
      <c r="G19" s="1">
        <f>SUMPRODUCT(TblBattlefieldFlt[F],TblShipCrew[Lieutenant])</f>
        <v>1</v>
      </c>
      <c r="I19" s="2" t="s">
        <v>38</v>
      </c>
      <c r="K19" s="1"/>
      <c r="L19" s="1"/>
      <c r="M19" s="1"/>
      <c r="N19" s="1"/>
      <c r="O19" s="1"/>
      <c r="P19" s="1"/>
      <c r="Q19" s="1"/>
    </row>
    <row r="20" spans="1:18">
      <c r="A20" t="s">
        <v>6</v>
      </c>
      <c r="B20" s="1">
        <f>SUMPRODUCT(TblBattlefieldFlt[A],TblShipCrew[Captain])</f>
        <v>2</v>
      </c>
      <c r="C20" s="1">
        <f>SUMPRODUCT(TblBattlefieldFlt[B],TblShipCrew[Captain])</f>
        <v>1</v>
      </c>
      <c r="D20" s="1">
        <f>SUMPRODUCT(TblBattlefieldFlt[C],TblShipCrew[Captain])</f>
        <v>1</v>
      </c>
      <c r="E20" s="1">
        <f>SUMPRODUCT(TblBattlefieldFlt[D],TblShipCrew[Captain])</f>
        <v>2</v>
      </c>
      <c r="F20" s="1">
        <f>SUMPRODUCT(TblBattlefieldFlt[E],TblShipCrew[Captain])</f>
        <v>1</v>
      </c>
      <c r="G20" s="1">
        <f>SUMPRODUCT(TblBattlefieldFlt[F],TblShipCrew[Captain])</f>
        <v>1</v>
      </c>
      <c r="I20" s="2" t="s">
        <v>39</v>
      </c>
      <c r="K20" s="1"/>
      <c r="L20" s="1"/>
      <c r="M20" s="1"/>
      <c r="N20" s="1"/>
      <c r="O20" s="1"/>
      <c r="P20" s="1"/>
      <c r="Q20" s="1"/>
    </row>
    <row r="21" spans="1:18">
      <c r="A21" s="4"/>
      <c r="B21" s="5"/>
      <c r="C21" s="5"/>
      <c r="D21" s="5"/>
      <c r="E21" s="5"/>
      <c r="F21" s="5"/>
      <c r="G21" s="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>
      <c r="A22" s="19" t="s">
        <v>40</v>
      </c>
      <c r="B22" s="19"/>
      <c r="C22" s="19"/>
      <c r="D22" s="19"/>
      <c r="E22" s="19"/>
      <c r="F22" s="19"/>
      <c r="G22" s="19"/>
      <c r="H22" s="19"/>
      <c r="I22" s="4"/>
      <c r="J22" s="19" t="s">
        <v>41</v>
      </c>
      <c r="K22" s="19"/>
      <c r="L22" s="19"/>
      <c r="M22" s="19"/>
      <c r="N22" s="19"/>
      <c r="O22" s="19"/>
      <c r="P22" s="19"/>
      <c r="Q22" s="19"/>
    </row>
    <row r="23" spans="1:18">
      <c r="A23" s="8" t="s">
        <v>20</v>
      </c>
      <c r="B23" s="14" t="s">
        <v>21</v>
      </c>
      <c r="C23" s="14" t="s">
        <v>22</v>
      </c>
      <c r="D23" s="14" t="s">
        <v>23</v>
      </c>
      <c r="E23" s="14" t="s">
        <v>24</v>
      </c>
      <c r="F23" s="14" t="s">
        <v>25</v>
      </c>
      <c r="G23" s="14" t="s">
        <v>26</v>
      </c>
      <c r="H23" s="14" t="s">
        <v>27</v>
      </c>
      <c r="I23" s="4"/>
      <c r="J23" s="8" t="s">
        <v>20</v>
      </c>
      <c r="K23" s="14" t="s">
        <v>21</v>
      </c>
      <c r="L23" s="14" t="s">
        <v>22</v>
      </c>
      <c r="M23" s="14" t="s">
        <v>23</v>
      </c>
      <c r="N23" s="14" t="s">
        <v>24</v>
      </c>
      <c r="O23" s="14" t="s">
        <v>25</v>
      </c>
      <c r="P23" s="14" t="s">
        <v>26</v>
      </c>
      <c r="Q23" s="14" t="s">
        <v>27</v>
      </c>
    </row>
    <row r="24" spans="1:18">
      <c r="A24" t="s">
        <v>13</v>
      </c>
      <c r="B24" s="1">
        <f>(INDEX(TblBattlefieldFlt[[A]:[F]],MATCH($A24,TblBattlefieldFlt[Option],0),MATCH(B$23,TblBattlefieldFlt[[#Headers],[A]:[F]],0)))*(INDEX(TblShipCrew[Adjusted],MATCH($A24,TblShipCrew[Ships],0)))</f>
        <v>1600</v>
      </c>
      <c r="C24" s="1">
        <f>(INDEX(TblBattlefieldFlt[[A]:[F]],MATCH($A24,TblBattlefieldFlt[Option],0),MATCH(C$23,TblBattlefieldFlt[[#Headers],[A]:[F]],0)))*(INDEX(TblShipCrew[Adjusted],MATCH($A24,TblShipCrew[Ships],0)))</f>
        <v>0</v>
      </c>
      <c r="D24" s="1">
        <f>(INDEX(TblBattlefieldFlt[[A]:[F]],MATCH($A24,TblBattlefieldFlt[Option],0),MATCH(D$23,TblBattlefieldFlt[[#Headers],[A]:[F]],0)))*(INDEX(TblShipCrew[Adjusted],MATCH($A24,TblShipCrew[Ships],0)))</f>
        <v>0</v>
      </c>
      <c r="E24" s="1">
        <f>(INDEX(TblBattlefieldFlt[[A]:[F]],MATCH($A24,TblBattlefieldFlt[Option],0),MATCH(E$23,TblBattlefieldFlt[[#Headers],[A]:[F]],0)))*(INDEX(TblShipCrew[Adjusted],MATCH($A24,TblShipCrew[Ships],0)))</f>
        <v>0</v>
      </c>
      <c r="F24" s="1">
        <f>(INDEX(TblBattlefieldFlt[[A]:[F]],MATCH($A24,TblBattlefieldFlt[Option],0),MATCH(F$23,TblBattlefieldFlt[[#Headers],[A]:[F]],0)))*(INDEX(TblShipCrew[Adjusted],MATCH($A24,TblShipCrew[Ships],0)))</f>
        <v>0</v>
      </c>
      <c r="G24" s="1">
        <f>(INDEX(TblBattlefieldFlt[[A]:[F]],MATCH($A24,TblBattlefieldFlt[Option],0),MATCH(G$23,TblBattlefieldFlt[[#Headers],[A]:[F]],0)))*(INDEX(TblShipCrew[Adjusted],MATCH($A24,TblShipCrew[Ships],0)))</f>
        <v>0</v>
      </c>
      <c r="H24" s="1" t="s">
        <v>42</v>
      </c>
      <c r="I24" s="4"/>
      <c r="J24" t="s">
        <v>13</v>
      </c>
      <c r="K24" s="1">
        <f>(INDEX(TblBattlefieldFlt[[A]:[F]],MATCH($J24,TblBattlefieldFlt[Option],0),MATCH(K$23,TblBattlefieldFlt[[#Headers],[A]:[F]],0)))*(INDEX(TblShipCrew[Generic (500)],MATCH($J24,TblShipCrew[Ships],0)))</f>
        <v>5000</v>
      </c>
      <c r="L24" s="1">
        <f>(INDEX(TblBattlefieldFlt[[A]:[F]],MATCH($J24,TblBattlefieldFlt[Option],0),MATCH(L$23,TblBattlefieldFlt[[#Headers],[A]:[F]],0)))*(INDEX(TblShipCrew[Generic (500)],MATCH($J24,TblShipCrew[Ships],0)))</f>
        <v>0</v>
      </c>
      <c r="M24" s="1">
        <f>(INDEX(TblBattlefieldFlt[[A]:[F]],MATCH($J24,TblBattlefieldFlt[Option],0),MATCH(M$23,TblBattlefieldFlt[[#Headers],[A]:[F]],0)))*(INDEX(TblShipCrew[Generic (500)],MATCH($J24,TblShipCrew[Ships],0)))</f>
        <v>0</v>
      </c>
      <c r="N24" s="1">
        <f>(INDEX(TblBattlefieldFlt[[A]:[F]],MATCH($J24,TblBattlefieldFlt[Option],0),MATCH(N$23,TblBattlefieldFlt[[#Headers],[A]:[F]],0)))*(INDEX(TblShipCrew[Generic (500)],MATCH($J24,TblShipCrew[Ships],0)))</f>
        <v>0</v>
      </c>
      <c r="O24" s="1">
        <f>(INDEX(TblBattlefieldFlt[[A]:[F]],MATCH($J24,TblBattlefieldFlt[Option],0),MATCH(O$23,TblBattlefieldFlt[[#Headers],[A]:[F]],0)))*(INDEX(TblShipCrew[Generic (500)],MATCH($J24,TblShipCrew[Ships],0)))</f>
        <v>0</v>
      </c>
      <c r="P24" s="1">
        <f>(INDEX(TblBattlefieldFlt[[A]:[F]],MATCH($J24,TblBattlefieldFlt[Option],0),MATCH(P$23,TblBattlefieldFlt[[#Headers],[A]:[F]],0)))*(INDEX(TblShipCrew[Generic (500)],MATCH($J24,TblShipCrew[Ships],0)))</f>
        <v>0</v>
      </c>
      <c r="Q24" s="1" t="s">
        <v>42</v>
      </c>
    </row>
    <row r="25" spans="1:18">
      <c r="A25" t="s">
        <v>14</v>
      </c>
      <c r="B25" s="1">
        <f>(INDEX(TblBattlefieldFlt[[A]:[F]],MATCH($A25,TblBattlefieldFlt[Option],0),MATCH(B$23,TblBattlefieldFlt[[#Headers],[A]:[F]],0)))*(INDEX(TblShipCrew[Adjusted],MATCH($A25,TblShipCrew[Ships],0)))</f>
        <v>0</v>
      </c>
      <c r="C25" s="1">
        <f>(INDEX(TblBattlefieldFlt[[A]:[F]],MATCH($A25,TblBattlefieldFlt[Option],0),MATCH(C$23,TblBattlefieldFlt[[#Headers],[A]:[F]],0)))*(INDEX(TblShipCrew[Adjusted],MATCH($A25,TblShipCrew[Ships],0)))</f>
        <v>1100</v>
      </c>
      <c r="D25" s="1">
        <f>(INDEX(TblBattlefieldFlt[[A]:[F]],MATCH($A25,TblBattlefieldFlt[Option],0),MATCH(D$23,TblBattlefieldFlt[[#Headers],[A]:[F]],0)))*(INDEX(TblShipCrew[Adjusted],MATCH($A25,TblShipCrew[Ships],0)))</f>
        <v>1100</v>
      </c>
      <c r="E25" s="1">
        <f>(INDEX(TblBattlefieldFlt[[A]:[F]],MATCH($A25,TblBattlefieldFlt[Option],0),MATCH(E$23,TblBattlefieldFlt[[#Headers],[A]:[F]],0)))*(INDEX(TblShipCrew[Adjusted],MATCH($A25,TblShipCrew[Ships],0)))</f>
        <v>0</v>
      </c>
      <c r="F25" s="1">
        <f>(INDEX(TblBattlefieldFlt[[A]:[F]],MATCH($A25,TblBattlefieldFlt[Option],0),MATCH(F$23,TblBattlefieldFlt[[#Headers],[A]:[F]],0)))*(INDEX(TblShipCrew[Adjusted],MATCH($A25,TblShipCrew[Ships],0)))</f>
        <v>0</v>
      </c>
      <c r="G25" s="1">
        <f>(INDEX(TblBattlefieldFlt[[A]:[F]],MATCH($A25,TblBattlefieldFlt[Option],0),MATCH(G$23,TblBattlefieldFlt[[#Headers],[A]:[F]],0)))*(INDEX(TblShipCrew[Adjusted],MATCH($A25,TblShipCrew[Ships],0)))</f>
        <v>0</v>
      </c>
      <c r="H25" s="1" t="s">
        <v>43</v>
      </c>
      <c r="I25" s="4"/>
      <c r="J25" t="s">
        <v>14</v>
      </c>
      <c r="K25" s="1">
        <f>(INDEX(TblBattlefieldFlt[[A]:[F]],MATCH($J25,TblBattlefieldFlt[Option],0),MATCH(K$23,TblBattlefieldFlt[[#Headers],[A]:[F]],0)))*(INDEX(TblShipCrew[Generic (500)],MATCH($J25,TblShipCrew[Ships],0)))</f>
        <v>0</v>
      </c>
      <c r="L25" s="1">
        <f>(INDEX(TblBattlefieldFlt[[A]:[F]],MATCH($J25,TblBattlefieldFlt[Option],0),MATCH(L$23,TblBattlefieldFlt[[#Headers],[A]:[F]],0)))*(INDEX(TblShipCrew[Generic (500)],MATCH($J25,TblShipCrew[Ships],0)))</f>
        <v>3500</v>
      </c>
      <c r="M25" s="1">
        <f>(INDEX(TblBattlefieldFlt[[A]:[F]],MATCH($J25,TblBattlefieldFlt[Option],0),MATCH(M$23,TblBattlefieldFlt[[#Headers],[A]:[F]],0)))*(INDEX(TblShipCrew[Generic (500)],MATCH($J25,TblShipCrew[Ships],0)))</f>
        <v>3500</v>
      </c>
      <c r="N25" s="1">
        <f>(INDEX(TblBattlefieldFlt[[A]:[F]],MATCH($J25,TblBattlefieldFlt[Option],0),MATCH(N$23,TblBattlefieldFlt[[#Headers],[A]:[F]],0)))*(INDEX(TblShipCrew[Generic (500)],MATCH($J25,TblShipCrew[Ships],0)))</f>
        <v>0</v>
      </c>
      <c r="O25" s="1">
        <f>(INDEX(TblBattlefieldFlt[[A]:[F]],MATCH($J25,TblBattlefieldFlt[Option],0),MATCH(O$23,TblBattlefieldFlt[[#Headers],[A]:[F]],0)))*(INDEX(TblShipCrew[Generic (500)],MATCH($J25,TblShipCrew[Ships],0)))</f>
        <v>0</v>
      </c>
      <c r="P25" s="1">
        <f>(INDEX(TblBattlefieldFlt[[A]:[F]],MATCH($J25,TblBattlefieldFlt[Option],0),MATCH(P$23,TblBattlefieldFlt[[#Headers],[A]:[F]],0)))*(INDEX(TblShipCrew[Generic (500)],MATCH($J25,TblShipCrew[Ships],0)))</f>
        <v>0</v>
      </c>
      <c r="Q25" s="1" t="s">
        <v>43</v>
      </c>
    </row>
    <row r="26" spans="1:18">
      <c r="A26" t="s">
        <v>15</v>
      </c>
      <c r="B26" s="1">
        <f>(INDEX(TblBattlefieldFlt[[A]:[F]],MATCH($A26,TblBattlefieldFlt[Option],0),MATCH(B$23,TblBattlefieldFlt[[#Headers],[A]:[F]],0)))*(INDEX(TblShipCrew[Adjusted],MATCH($A26,TblShipCrew[Ships],0)))</f>
        <v>0</v>
      </c>
      <c r="C26" s="1">
        <f>(INDEX(TblBattlefieldFlt[[A]:[F]],MATCH($A26,TblBattlefieldFlt[Option],0),MATCH(C$23,TblBattlefieldFlt[[#Headers],[A]:[F]],0)))*(INDEX(TblShipCrew[Adjusted],MATCH($A26,TblShipCrew[Ships],0)))</f>
        <v>0</v>
      </c>
      <c r="D26" s="1">
        <f>(INDEX(TblBattlefieldFlt[[A]:[F]],MATCH($A26,TblBattlefieldFlt[Option],0),MATCH(D$23,TblBattlefieldFlt[[#Headers],[A]:[F]],0)))*(INDEX(TblShipCrew[Adjusted],MATCH($A26,TblShipCrew[Ships],0)))</f>
        <v>0</v>
      </c>
      <c r="E26" s="1">
        <f>(INDEX(TblBattlefieldFlt[[A]:[F]],MATCH($A26,TblBattlefieldFlt[Option],0),MATCH(E$23,TblBattlefieldFlt[[#Headers],[A]:[F]],0)))*(INDEX(TblShipCrew[Adjusted],MATCH($A26,TblShipCrew[Ships],0)))</f>
        <v>1600</v>
      </c>
      <c r="F26" s="1">
        <f>(INDEX(TblBattlefieldFlt[[A]:[F]],MATCH($A26,TblBattlefieldFlt[Option],0),MATCH(F$23,TblBattlefieldFlt[[#Headers],[A]:[F]],0)))*(INDEX(TblShipCrew[Adjusted],MATCH($A26,TblShipCrew[Ships],0)))</f>
        <v>800</v>
      </c>
      <c r="G26" s="1">
        <f>(INDEX(TblBattlefieldFlt[[A]:[F]],MATCH($A26,TblBattlefieldFlt[Option],0),MATCH(G$23,TblBattlefieldFlt[[#Headers],[A]:[F]],0)))*(INDEX(TblShipCrew[Adjusted],MATCH($A26,TblShipCrew[Ships],0)))</f>
        <v>800</v>
      </c>
      <c r="H26" s="1" t="s">
        <v>44</v>
      </c>
      <c r="I26" s="4"/>
      <c r="J26" t="s">
        <v>15</v>
      </c>
      <c r="K26" s="1">
        <f>(INDEX(TblBattlefieldFlt[[A]:[F]],MATCH($J26,TblBattlefieldFlt[Option],0),MATCH(K$23,TblBattlefieldFlt[[#Headers],[A]:[F]],0)))*(INDEX(TblShipCrew[Generic (500)],MATCH($J26,TblShipCrew[Ships],0)))</f>
        <v>0</v>
      </c>
      <c r="L26" s="1">
        <f>(INDEX(TblBattlefieldFlt[[A]:[F]],MATCH($J26,TblBattlefieldFlt[Option],0),MATCH(L$23,TblBattlefieldFlt[[#Headers],[A]:[F]],0)))*(INDEX(TblShipCrew[Generic (500)],MATCH($J26,TblShipCrew[Ships],0)))</f>
        <v>0</v>
      </c>
      <c r="M26" s="1">
        <f>(INDEX(TblBattlefieldFlt[[A]:[F]],MATCH($J26,TblBattlefieldFlt[Option],0),MATCH(M$23,TblBattlefieldFlt[[#Headers],[A]:[F]],0)))*(INDEX(TblShipCrew[Generic (500)],MATCH($J26,TblShipCrew[Ships],0)))</f>
        <v>0</v>
      </c>
      <c r="N26" s="1">
        <f>(INDEX(TblBattlefieldFlt[[A]:[F]],MATCH($J26,TblBattlefieldFlt[Option],0),MATCH(N$23,TblBattlefieldFlt[[#Headers],[A]:[F]],0)))*(INDEX(TblShipCrew[Generic (500)],MATCH($J26,TblShipCrew[Ships],0)))</f>
        <v>5000</v>
      </c>
      <c r="O26" s="1">
        <f>(INDEX(TblBattlefieldFlt[[A]:[F]],MATCH($J26,TblBattlefieldFlt[Option],0),MATCH(O$23,TblBattlefieldFlt[[#Headers],[A]:[F]],0)))*(INDEX(TblShipCrew[Generic (500)],MATCH($J26,TblShipCrew[Ships],0)))</f>
        <v>2500</v>
      </c>
      <c r="P26" s="1">
        <f>(INDEX(TblBattlefieldFlt[[A]:[F]],MATCH($J26,TblBattlefieldFlt[Option],0),MATCH(P$23,TblBattlefieldFlt[[#Headers],[A]:[F]],0)))*(INDEX(TblShipCrew[Generic (500)],MATCH($J26,TblShipCrew[Ships],0)))</f>
        <v>2500</v>
      </c>
      <c r="Q26" s="1" t="s">
        <v>44</v>
      </c>
    </row>
    <row r="27" spans="1:18">
      <c r="A27" t="s">
        <v>16</v>
      </c>
      <c r="B27" s="1">
        <f>(INDEX(TblBattlefieldFlt[[A]:[F]],MATCH($A27,TblBattlefieldFlt[Option],0),MATCH(B$23,TblBattlefieldFlt[[#Headers],[A]:[F]],0)))*(INDEX(TblShipCrew[Adjusted],MATCH($A27,TblShipCrew[Ships],0)))</f>
        <v>0</v>
      </c>
      <c r="C27" s="1">
        <f>(INDEX(TblBattlefieldFlt[[A]:[F]],MATCH($A27,TblBattlefieldFlt[Option],0),MATCH(C$23,TblBattlefieldFlt[[#Headers],[A]:[F]],0)))*(INDEX(TblShipCrew[Adjusted],MATCH($A27,TblShipCrew[Ships],0)))</f>
        <v>500</v>
      </c>
      <c r="D27" s="1">
        <f>(INDEX(TblBattlefieldFlt[[A]:[F]],MATCH($A27,TblBattlefieldFlt[Option],0),MATCH(D$23,TblBattlefieldFlt[[#Headers],[A]:[F]],0)))*(INDEX(TblShipCrew[Adjusted],MATCH($A27,TblShipCrew[Ships],0)))</f>
        <v>0</v>
      </c>
      <c r="E27" s="1">
        <f>(INDEX(TblBattlefieldFlt[[A]:[F]],MATCH($A27,TblBattlefieldFlt[Option],0),MATCH(E$23,TblBattlefieldFlt[[#Headers],[A]:[F]],0)))*(INDEX(TblShipCrew[Adjusted],MATCH($A27,TblShipCrew[Ships],0)))</f>
        <v>0</v>
      </c>
      <c r="F27" s="1">
        <f>(INDEX(TblBattlefieldFlt[[A]:[F]],MATCH($A27,TblBattlefieldFlt[Option],0),MATCH(F$23,TblBattlefieldFlt[[#Headers],[A]:[F]],0)))*(INDEX(TblShipCrew[Adjusted],MATCH($A27,TblShipCrew[Ships],0)))</f>
        <v>500</v>
      </c>
      <c r="G27" s="1">
        <f>(INDEX(TblBattlefieldFlt[[A]:[F]],MATCH($A27,TblBattlefieldFlt[Option],0),MATCH(G$23,TblBattlefieldFlt[[#Headers],[A]:[F]],0)))*(INDEX(TblShipCrew[Adjusted],MATCH($A27,TblShipCrew[Ships],0)))</f>
        <v>0</v>
      </c>
      <c r="H27" s="1" t="s">
        <v>45</v>
      </c>
      <c r="I27" s="4"/>
      <c r="J27" t="s">
        <v>16</v>
      </c>
      <c r="K27" s="1">
        <f>(INDEX(TblBattlefieldFlt[[A]:[F]],MATCH($J27,TblBattlefieldFlt[Option],0),MATCH(K$23,TblBattlefieldFlt[[#Headers],[A]:[F]],0)))*(INDEX(TblShipCrew[Generic (500)],MATCH($J27,TblShipCrew[Ships],0)))</f>
        <v>0</v>
      </c>
      <c r="L27" s="1">
        <f>(INDEX(TblBattlefieldFlt[[A]:[F]],MATCH($J27,TblBattlefieldFlt[Option],0),MATCH(L$23,TblBattlefieldFlt[[#Headers],[A]:[F]],0)))*(INDEX(TblShipCrew[Generic (500)],MATCH($J27,TblShipCrew[Ships],0)))</f>
        <v>2000</v>
      </c>
      <c r="M27" s="1">
        <f>(INDEX(TblBattlefieldFlt[[A]:[F]],MATCH($J27,TblBattlefieldFlt[Option],0),MATCH(M$23,TblBattlefieldFlt[[#Headers],[A]:[F]],0)))*(INDEX(TblShipCrew[Generic (500)],MATCH($J27,TblShipCrew[Ships],0)))</f>
        <v>0</v>
      </c>
      <c r="N27" s="1">
        <f>(INDEX(TblBattlefieldFlt[[A]:[F]],MATCH($J27,TblBattlefieldFlt[Option],0),MATCH(N$23,TblBattlefieldFlt[[#Headers],[A]:[F]],0)))*(INDEX(TblShipCrew[Generic (500)],MATCH($J27,TblShipCrew[Ships],0)))</f>
        <v>0</v>
      </c>
      <c r="O27" s="1">
        <f>(INDEX(TblBattlefieldFlt[[A]:[F]],MATCH($J27,TblBattlefieldFlt[Option],0),MATCH(O$23,TblBattlefieldFlt[[#Headers],[A]:[F]],0)))*(INDEX(TblShipCrew[Generic (500)],MATCH($J27,TblShipCrew[Ships],0)))</f>
        <v>2000</v>
      </c>
      <c r="P27" s="1">
        <f>(INDEX(TblBattlefieldFlt[[A]:[F]],MATCH($J27,TblBattlefieldFlt[Option],0),MATCH(P$23,TblBattlefieldFlt[[#Headers],[A]:[F]],0)))*(INDEX(TblShipCrew[Generic (500)],MATCH($J27,TblShipCrew[Ships],0)))</f>
        <v>0</v>
      </c>
      <c r="Q27" s="1" t="s">
        <v>45</v>
      </c>
    </row>
    <row r="28" spans="1:18">
      <c r="A28" t="s">
        <v>17</v>
      </c>
      <c r="B28" s="1">
        <f>(INDEX(TblBattlefieldFlt[[A]:[F]],MATCH($A28,TblBattlefieldFlt[Option],0),MATCH(B$23,TblBattlefieldFlt[[#Headers],[A]:[F]],0)))*(INDEX(TblShipCrew[Adjusted],MATCH($A28,TblShipCrew[Ships],0)))</f>
        <v>0</v>
      </c>
      <c r="C28" s="1">
        <f>(INDEX(TblBattlefieldFlt[[A]:[F]],MATCH($A28,TblBattlefieldFlt[Option],0),MATCH(C$23,TblBattlefieldFlt[[#Headers],[A]:[F]],0)))*(INDEX(TblShipCrew[Adjusted],MATCH($A28,TblShipCrew[Ships],0)))</f>
        <v>0</v>
      </c>
      <c r="D28" s="1">
        <f>(INDEX(TblBattlefieldFlt[[A]:[F]],MATCH($A28,TblBattlefieldFlt[Option],0),MATCH(D$23,TblBattlefieldFlt[[#Headers],[A]:[F]],0)))*(INDEX(TblShipCrew[Adjusted],MATCH($A28,TblShipCrew[Ships],0)))</f>
        <v>600</v>
      </c>
      <c r="E28" s="1">
        <f>(INDEX(TblBattlefieldFlt[[A]:[F]],MATCH($A28,TblBattlefieldFlt[Option],0),MATCH(E$23,TblBattlefieldFlt[[#Headers],[A]:[F]],0)))*(INDEX(TblShipCrew[Adjusted],MATCH($A28,TblShipCrew[Ships],0)))</f>
        <v>0</v>
      </c>
      <c r="F28" s="1">
        <f>(INDEX(TblBattlefieldFlt[[A]:[F]],MATCH($A28,TblBattlefieldFlt[Option],0),MATCH(F$23,TblBattlefieldFlt[[#Headers],[A]:[F]],0)))*(INDEX(TblShipCrew[Adjusted],MATCH($A28,TblShipCrew[Ships],0)))</f>
        <v>400</v>
      </c>
      <c r="G28" s="1">
        <f>(INDEX(TblBattlefieldFlt[[A]:[F]],MATCH($A28,TblBattlefieldFlt[Option],0),MATCH(G$23,TblBattlefieldFlt[[#Headers],[A]:[F]],0)))*(INDEX(TblShipCrew[Adjusted],MATCH($A28,TblShipCrew[Ships],0)))</f>
        <v>1000</v>
      </c>
      <c r="H28" s="1" t="s">
        <v>46</v>
      </c>
      <c r="I28" s="4"/>
      <c r="J28" t="s">
        <v>17</v>
      </c>
      <c r="K28" s="1">
        <f>(INDEX(TblBattlefieldFlt[[A]:[F]],MATCH($J28,TblBattlefieldFlt[Option],0),MATCH(K$23,TblBattlefieldFlt[[#Headers],[A]:[F]],0)))*(INDEX(TblShipCrew[Generic (500)],MATCH($J28,TblShipCrew[Ships],0)))</f>
        <v>0</v>
      </c>
      <c r="L28" s="1">
        <f>(INDEX(TblBattlefieldFlt[[A]:[F]],MATCH($J28,TblBattlefieldFlt[Option],0),MATCH(L$23,TblBattlefieldFlt[[#Headers],[A]:[F]],0)))*(INDEX(TblShipCrew[Generic (500)],MATCH($J28,TblShipCrew[Ships],0)))</f>
        <v>0</v>
      </c>
      <c r="M28" s="1">
        <f>(INDEX(TblBattlefieldFlt[[A]:[F]],MATCH($J28,TblBattlefieldFlt[Option],0),MATCH(M$23,TblBattlefieldFlt[[#Headers],[A]:[F]],0)))*(INDEX(TblShipCrew[Generic (500)],MATCH($J28,TblShipCrew[Ships],0)))</f>
        <v>3000</v>
      </c>
      <c r="N28" s="1">
        <f>(INDEX(TblBattlefieldFlt[[A]:[F]],MATCH($J28,TblBattlefieldFlt[Option],0),MATCH(N$23,TblBattlefieldFlt[[#Headers],[A]:[F]],0)))*(INDEX(TblShipCrew[Generic (500)],MATCH($J28,TblShipCrew[Ships],0)))</f>
        <v>0</v>
      </c>
      <c r="O28" s="1">
        <f>(INDEX(TblBattlefieldFlt[[A]:[F]],MATCH($J28,TblBattlefieldFlt[Option],0),MATCH(O$23,TblBattlefieldFlt[[#Headers],[A]:[F]],0)))*(INDEX(TblShipCrew[Generic (500)],MATCH($J28,TblShipCrew[Ships],0)))</f>
        <v>2000</v>
      </c>
      <c r="P28" s="1">
        <f>(INDEX(TblBattlefieldFlt[[A]:[F]],MATCH($J28,TblBattlefieldFlt[Option],0),MATCH(P$23,TblBattlefieldFlt[[#Headers],[A]:[F]],0)))*(INDEX(TblShipCrew[Generic (500)],MATCH($J28,TblShipCrew[Ships],0)))</f>
        <v>5000</v>
      </c>
      <c r="Q28" s="1" t="s">
        <v>46</v>
      </c>
    </row>
    <row r="29" spans="1:18">
      <c r="A29" t="s">
        <v>33</v>
      </c>
      <c r="B29" s="1">
        <f>SUBTOTAL(109,TblAdjFleetRolesValues[A])</f>
        <v>1600</v>
      </c>
      <c r="C29" s="1">
        <f>SUBTOTAL(109,TblAdjFleetRolesValues[B])</f>
        <v>1600</v>
      </c>
      <c r="D29" s="1">
        <f>SUBTOTAL(109,TblAdjFleetRolesValues[C])</f>
        <v>1700</v>
      </c>
      <c r="E29" s="1">
        <f>SUBTOTAL(109,TblAdjFleetRolesValues[D])</f>
        <v>1600</v>
      </c>
      <c r="F29" s="1">
        <f>SUBTOTAL(109,TblAdjFleetRolesValues[E])</f>
        <v>1700</v>
      </c>
      <c r="G29" s="1">
        <f>SUBTOTAL(109,TblAdjFleetRolesValues[F])</f>
        <v>1800</v>
      </c>
      <c r="H29" s="1"/>
      <c r="I29" s="4"/>
      <c r="J29" t="s">
        <v>33</v>
      </c>
      <c r="K29" s="1">
        <f>SUBTOTAL(109,TblGenFleetRolesValues[A])</f>
        <v>5000</v>
      </c>
      <c r="L29" s="1">
        <f>SUBTOTAL(109,TblGenFleetRolesValues[B])</f>
        <v>5500</v>
      </c>
      <c r="M29" s="1">
        <f>SUBTOTAL(109,TblGenFleetRolesValues[C])</f>
        <v>6500</v>
      </c>
      <c r="N29" s="1">
        <f>SUBTOTAL(109,TblGenFleetRolesValues[D])</f>
        <v>5000</v>
      </c>
      <c r="O29" s="1">
        <f>SUBTOTAL(109,TblGenFleetRolesValues[E])</f>
        <v>6500</v>
      </c>
      <c r="P29" s="1">
        <f>SUBTOTAL(109,TblGenFleetRolesValues[F])</f>
        <v>7500</v>
      </c>
      <c r="Q29" s="1"/>
    </row>
    <row r="30" spans="1:18">
      <c r="A30" s="19" t="s">
        <v>47</v>
      </c>
      <c r="B30" s="19"/>
      <c r="C30" s="19"/>
      <c r="D30" s="19"/>
      <c r="E30" s="19"/>
      <c r="F30" s="19"/>
      <c r="G30" s="19"/>
      <c r="I30" s="4"/>
      <c r="J30" s="19" t="s">
        <v>48</v>
      </c>
      <c r="K30" s="19"/>
      <c r="L30" s="19"/>
      <c r="M30" s="19"/>
      <c r="N30" s="19"/>
      <c r="O30" s="19"/>
      <c r="P30" s="19"/>
    </row>
    <row r="31" spans="1:18">
      <c r="A31" t="s">
        <v>20</v>
      </c>
      <c r="B31" s="14" t="s">
        <v>21</v>
      </c>
      <c r="C31" s="14" t="s">
        <v>22</v>
      </c>
      <c r="D31" s="14" t="s">
        <v>23</v>
      </c>
      <c r="E31" s="14" t="s">
        <v>24</v>
      </c>
      <c r="F31" s="14" t="s">
        <v>25</v>
      </c>
      <c r="G31" s="14" t="s">
        <v>26</v>
      </c>
      <c r="I31" s="4"/>
      <c r="J31" t="s">
        <v>20</v>
      </c>
      <c r="K31" s="14" t="s">
        <v>21</v>
      </c>
      <c r="L31" s="14" t="s">
        <v>22</v>
      </c>
      <c r="M31" s="14" t="s">
        <v>23</v>
      </c>
      <c r="N31" s="14" t="s">
        <v>24</v>
      </c>
      <c r="O31" s="14" t="s">
        <v>25</v>
      </c>
      <c r="P31" s="14" t="s">
        <v>26</v>
      </c>
    </row>
    <row r="32" spans="1:18">
      <c r="A32" t="s">
        <v>28</v>
      </c>
      <c r="B32" s="1">
        <f>INDEX(TblFleetShipValues[[A]:[F]],MATCH(TblCombinedAdjFltValues[[#This Row],[Option]],TblFleetShipValues[Name],0),MATCH(TblCombinedAdjFltValues[[#Headers],[A]],TblFleetShipValues[[#Headers],[A]:[F]],0))</f>
        <v>5000</v>
      </c>
      <c r="C32" s="1">
        <f>INDEX(TblFleetShipValues[[A]:[F]],MATCH(TblCombinedAdjFltValues[[#This Row],[Option]],TblFleetShipValues[Name],0),MATCH(TblCombinedAdjFltValues[[#Headers],[B]],TblFleetShipValues[[#Headers],[A]:[F]],0))</f>
        <v>0</v>
      </c>
      <c r="D32" s="1">
        <f>INDEX(TblFleetShipValues[[A]:[F]],MATCH(TblCombinedAdjFltValues[[#This Row],[Option]],TblFleetShipValues[Name],0),MATCH(TblCombinedAdjFltValues[[#Headers],[C]],TblFleetShipValues[[#Headers],[A]:[F]],0))</f>
        <v>0</v>
      </c>
      <c r="E32" s="1">
        <f>INDEX(TblFleetShipValues[[A]:[F]],MATCH(TblCombinedAdjFltValues[[#This Row],[Option]],TblFleetShipValues[Name],0),MATCH(TblCombinedAdjFltValues[[#Headers],[D]],TblFleetShipValues[[#Headers],[A]:[F]],0))</f>
        <v>0</v>
      </c>
      <c r="F32" s="1">
        <f>INDEX(TblFleetShipValues[[A]:[F]],MATCH(TblCombinedAdjFltValues[[#This Row],[Option]],TblFleetShipValues[Name],0),MATCH(TblCombinedAdjFltValues[[#Headers],[E]],TblFleetShipValues[[#Headers],[A]:[F]],0))</f>
        <v>0</v>
      </c>
      <c r="G32" s="1">
        <f>INDEX(TblFleetShipValues[[A]:[F]],MATCH(TblCombinedAdjFltValues[[#This Row],[Option]],TblFleetShipValues[Name],0),MATCH(TblCombinedAdjFltValues[[#Headers],[F]],TblFleetShipValues[[#Headers],[A]:[F]],0))</f>
        <v>0</v>
      </c>
      <c r="I32" s="4"/>
      <c r="J32" t="s">
        <v>28</v>
      </c>
      <c r="K32" s="1">
        <f>INDEX(TblFleetShipValues[[A]:[F]],MATCH(TblCombinedGenFltValues[[#This Row],[Option]],TblFleetShipValues[Name],0),MATCH(TblCombinedGenFltValues[[#Headers],[A]],TblFleetShipValues[[#Headers],[A]:[F]],0))</f>
        <v>5000</v>
      </c>
      <c r="L32" s="1">
        <f>INDEX(TblFleetShipValues[[A]:[F]],MATCH(TblCombinedGenFltValues[[#This Row],[Option]],TblFleetShipValues[Name],0),MATCH(TblCombinedGenFltValues[[#Headers],[B]],TblFleetShipValues[[#Headers],[A]:[F]],0))</f>
        <v>0</v>
      </c>
      <c r="M32" s="1">
        <f>INDEX(TblFleetShipValues[[A]:[F]],MATCH(TblCombinedGenFltValues[[#This Row],[Option]],TblFleetShipValues[Name],0),MATCH(TblCombinedGenFltValues[[#Headers],[C]],TblFleetShipValues[[#Headers],[A]:[F]],0))</f>
        <v>0</v>
      </c>
      <c r="N32" s="1">
        <f>INDEX(TblFleetShipValues[[A]:[F]],MATCH(TblCombinedGenFltValues[[#This Row],[Option]],TblFleetShipValues[Name],0),MATCH(TblCombinedGenFltValues[[#Headers],[D]],TblFleetShipValues[[#Headers],[A]:[F]],0))</f>
        <v>0</v>
      </c>
      <c r="O32" s="1">
        <f>INDEX(TblFleetShipValues[[A]:[F]],MATCH(TblCombinedGenFltValues[[#This Row],[Option]],TblFleetShipValues[Name],0),MATCH(TblCombinedGenFltValues[[#Headers],[E]],TblFleetShipValues[[#Headers],[A]:[F]],0))</f>
        <v>0</v>
      </c>
      <c r="P32" s="1">
        <f>INDEX(TblFleetShipValues[[A]:[F]],MATCH(TblCombinedGenFltValues[[#This Row],[Option]],TblFleetShipValues[Name],0),MATCH(TblCombinedGenFltValues[[#Headers],[F]],TblFleetShipValues[[#Headers],[A]:[F]],0))</f>
        <v>0</v>
      </c>
    </row>
    <row r="33" spans="1:16">
      <c r="A33" t="s">
        <v>42</v>
      </c>
      <c r="B33" s="1">
        <f>INDEX(TblAdjFleetRolesValues[[A]:[F]],MATCH(TblCombinedAdjFltValues[[#This Row],[Option]],TblAdjFleetRolesValues[Name],0),MATCH(TblCombinedAdjFltValues[[#Headers],[A]],TblAdjFleetRolesValues[[#Headers],[A]:[F]],0))</f>
        <v>1600</v>
      </c>
      <c r="C33" s="1">
        <f>INDEX(TblAdjFleetRolesValues[[A]:[F]],MATCH(TblCombinedAdjFltValues[[#This Row],[Option]],TblAdjFleetRolesValues[Name],0),MATCH(TblCombinedAdjFltValues[[#Headers],[B]],TblAdjFleetRolesValues[[#Headers],[A]:[F]],0))</f>
        <v>0</v>
      </c>
      <c r="D33" s="1">
        <f>INDEX(TblAdjFleetRolesValues[[A]:[F]],MATCH(TblCombinedAdjFltValues[[#This Row],[Option]],TblAdjFleetRolesValues[Name],0),MATCH(TblCombinedAdjFltValues[[#Headers],[C]],TblAdjFleetRolesValues[[#Headers],[A]:[F]],0))</f>
        <v>0</v>
      </c>
      <c r="E33" s="1">
        <f>INDEX(TblAdjFleetRolesValues[[A]:[F]],MATCH(TblCombinedAdjFltValues[[#This Row],[Option]],TblAdjFleetRolesValues[Name],0),MATCH(TblCombinedAdjFltValues[[#Headers],[D]],TblAdjFleetRolesValues[[#Headers],[A]:[F]],0))</f>
        <v>0</v>
      </c>
      <c r="F33" s="1">
        <f>INDEX(TblAdjFleetRolesValues[[A]:[F]],MATCH(TblCombinedAdjFltValues[[#This Row],[Option]],TblAdjFleetRolesValues[Name],0),MATCH(TblCombinedAdjFltValues[[#Headers],[E]],TblAdjFleetRolesValues[[#Headers],[A]:[F]],0))</f>
        <v>0</v>
      </c>
      <c r="G33" s="1">
        <f>INDEX(TblAdjFleetRolesValues[[A]:[F]],MATCH(TblCombinedAdjFltValues[[#This Row],[Option]],TblAdjFleetRolesValues[Name],0),MATCH(TblCombinedAdjFltValues[[#Headers],[F]],TblAdjFleetRolesValues[[#Headers],[A]:[F]],0))</f>
        <v>0</v>
      </c>
      <c r="I33" s="4"/>
      <c r="J33" t="s">
        <v>42</v>
      </c>
      <c r="K33" s="1">
        <f>INDEX(TblGenFleetRolesValues[[A]:[F]],MATCH(TblCombinedGenFltValues[[#This Row],[Option]],TblGenFleetRolesValues[Name],0),MATCH(TblCombinedGenFltValues[[#Headers],[A]],TblGenFleetRolesValues[[#Headers],[A]:[F]],0))</f>
        <v>5000</v>
      </c>
      <c r="L33" s="1">
        <f>INDEX(TblGenFleetRolesValues[[A]:[F]],MATCH(TblCombinedGenFltValues[[#This Row],[Option]],TblGenFleetRolesValues[Name],0),MATCH(TblCombinedGenFltValues[[#Headers],[B]],TblGenFleetRolesValues[[#Headers],[A]:[F]],0))</f>
        <v>0</v>
      </c>
      <c r="M33" s="1">
        <f>INDEX(TblGenFleetRolesValues[[A]:[F]],MATCH(TblCombinedGenFltValues[[#This Row],[Option]],TblGenFleetRolesValues[Name],0),MATCH(TblCombinedGenFltValues[[#Headers],[C]],TblGenFleetRolesValues[[#Headers],[A]:[F]],0))</f>
        <v>0</v>
      </c>
      <c r="N33" s="1">
        <f>INDEX(TblGenFleetRolesValues[[A]:[F]],MATCH(TblCombinedGenFltValues[[#This Row],[Option]],TblGenFleetRolesValues[Name],0),MATCH(TblCombinedGenFltValues[[#Headers],[D]],TblGenFleetRolesValues[[#Headers],[A]:[F]],0))</f>
        <v>0</v>
      </c>
      <c r="O33" s="1">
        <f>INDEX(TblGenFleetRolesValues[[A]:[F]],MATCH(TblCombinedGenFltValues[[#This Row],[Option]],TblGenFleetRolesValues[Name],0),MATCH(TblCombinedGenFltValues[[#Headers],[E]],TblGenFleetRolesValues[[#Headers],[A]:[F]],0))</f>
        <v>0</v>
      </c>
      <c r="P33" s="1">
        <f>INDEX(TblGenFleetRolesValues[[A]:[F]],MATCH(TblCombinedGenFltValues[[#This Row],[Option]],TblGenFleetRolesValues[Name],0),MATCH(TblCombinedGenFltValues[[#Headers],[F]],TblGenFleetRolesValues[[#Headers],[A]:[F]],0))</f>
        <v>0</v>
      </c>
    </row>
    <row r="34" spans="1:16">
      <c r="A34" t="s">
        <v>29</v>
      </c>
      <c r="B34" s="1">
        <f>INDEX(TblFleetShipValues[[A]:[F]],MATCH(TblCombinedAdjFltValues[[#This Row],[Option]],TblFleetShipValues[Name],0),MATCH(TblCombinedAdjFltValues[[#Headers],[A]],TblFleetShipValues[[#Headers],[A]:[F]],0))</f>
        <v>0</v>
      </c>
      <c r="C34" s="1">
        <f>INDEX(TblFleetShipValues[[A]:[F]],MATCH(TblCombinedAdjFltValues[[#This Row],[Option]],TblFleetShipValues[Name],0),MATCH(TblCombinedAdjFltValues[[#Headers],[B]],TblFleetShipValues[[#Headers],[A]:[F]],0))</f>
        <v>3500</v>
      </c>
      <c r="D34" s="1">
        <f>INDEX(TblFleetShipValues[[A]:[F]],MATCH(TblCombinedAdjFltValues[[#This Row],[Option]],TblFleetShipValues[Name],0),MATCH(TblCombinedAdjFltValues[[#Headers],[C]],TblFleetShipValues[[#Headers],[A]:[F]],0))</f>
        <v>3500</v>
      </c>
      <c r="E34" s="1">
        <f>INDEX(TblFleetShipValues[[A]:[F]],MATCH(TblCombinedAdjFltValues[[#This Row],[Option]],TblFleetShipValues[Name],0),MATCH(TblCombinedAdjFltValues[[#Headers],[D]],TblFleetShipValues[[#Headers],[A]:[F]],0))</f>
        <v>0</v>
      </c>
      <c r="F34" s="1">
        <f>INDEX(TblFleetShipValues[[A]:[F]],MATCH(TblCombinedAdjFltValues[[#This Row],[Option]],TblFleetShipValues[Name],0),MATCH(TblCombinedAdjFltValues[[#Headers],[E]],TblFleetShipValues[[#Headers],[A]:[F]],0))</f>
        <v>0</v>
      </c>
      <c r="G34" s="1">
        <f>INDEX(TblFleetShipValues[[A]:[F]],MATCH(TblCombinedAdjFltValues[[#This Row],[Option]],TblFleetShipValues[Name],0),MATCH(TblCombinedAdjFltValues[[#Headers],[F]],TblFleetShipValues[[#Headers],[A]:[F]],0))</f>
        <v>0</v>
      </c>
      <c r="I34" s="4"/>
      <c r="J34" t="s">
        <v>29</v>
      </c>
      <c r="K34" s="1">
        <f>INDEX(TblFleetShipValues[[A]:[F]],MATCH(TblCombinedGenFltValues[[#This Row],[Option]],TblFleetShipValues[Name],0),MATCH(TblCombinedGenFltValues[[#Headers],[A]],TblFleetShipValues[[#Headers],[A]:[F]],0))</f>
        <v>0</v>
      </c>
      <c r="L34" s="1">
        <f>INDEX(TblFleetShipValues[[A]:[F]],MATCH(TblCombinedGenFltValues[[#This Row],[Option]],TblFleetShipValues[Name],0),MATCH(TblCombinedGenFltValues[[#Headers],[B]],TblFleetShipValues[[#Headers],[A]:[F]],0))</f>
        <v>3500</v>
      </c>
      <c r="M34" s="1">
        <f>INDEX(TblFleetShipValues[[A]:[F]],MATCH(TblCombinedGenFltValues[[#This Row],[Option]],TblFleetShipValues[Name],0),MATCH(TblCombinedGenFltValues[[#Headers],[C]],TblFleetShipValues[[#Headers],[A]:[F]],0))</f>
        <v>3500</v>
      </c>
      <c r="N34" s="1">
        <f>INDEX(TblFleetShipValues[[A]:[F]],MATCH(TblCombinedGenFltValues[[#This Row],[Option]],TblFleetShipValues[Name],0),MATCH(TblCombinedGenFltValues[[#Headers],[D]],TblFleetShipValues[[#Headers],[A]:[F]],0))</f>
        <v>0</v>
      </c>
      <c r="O34" s="1">
        <f>INDEX(TblFleetShipValues[[A]:[F]],MATCH(TblCombinedGenFltValues[[#This Row],[Option]],TblFleetShipValues[Name],0),MATCH(TblCombinedGenFltValues[[#Headers],[E]],TblFleetShipValues[[#Headers],[A]:[F]],0))</f>
        <v>0</v>
      </c>
      <c r="P34" s="1">
        <f>INDEX(TblFleetShipValues[[A]:[F]],MATCH(TblCombinedGenFltValues[[#This Row],[Option]],TblFleetShipValues[Name],0),MATCH(TblCombinedGenFltValues[[#Headers],[F]],TblFleetShipValues[[#Headers],[A]:[F]],0))</f>
        <v>0</v>
      </c>
    </row>
    <row r="35" spans="1:16">
      <c r="A35" t="s">
        <v>43</v>
      </c>
      <c r="B35" s="1">
        <f>INDEX(TblAdjFleetRolesValues[[A]:[F]],MATCH(TblCombinedAdjFltValues[[#This Row],[Option]],TblAdjFleetRolesValues[Name],0),MATCH(TblCombinedAdjFltValues[[#Headers],[A]],TblAdjFleetRolesValues[[#Headers],[A]:[F]],0))</f>
        <v>0</v>
      </c>
      <c r="C35" s="1">
        <f>INDEX(TblAdjFleetRolesValues[[A]:[F]],MATCH(TblCombinedAdjFltValues[[#This Row],[Option]],TblAdjFleetRolesValues[Name],0),MATCH(TblCombinedAdjFltValues[[#Headers],[B]],TblAdjFleetRolesValues[[#Headers],[A]:[F]],0))</f>
        <v>1100</v>
      </c>
      <c r="D35" s="1">
        <f>INDEX(TblAdjFleetRolesValues[[A]:[F]],MATCH(TblCombinedAdjFltValues[[#This Row],[Option]],TblAdjFleetRolesValues[Name],0),MATCH(TblCombinedAdjFltValues[[#Headers],[C]],TblAdjFleetRolesValues[[#Headers],[A]:[F]],0))</f>
        <v>1100</v>
      </c>
      <c r="E35" s="1">
        <f>INDEX(TblAdjFleetRolesValues[[A]:[F]],MATCH(TblCombinedAdjFltValues[[#This Row],[Option]],TblAdjFleetRolesValues[Name],0),MATCH(TblCombinedAdjFltValues[[#Headers],[D]],TblAdjFleetRolesValues[[#Headers],[A]:[F]],0))</f>
        <v>0</v>
      </c>
      <c r="F35" s="1">
        <f>INDEX(TblAdjFleetRolesValues[[A]:[F]],MATCH(TblCombinedAdjFltValues[[#This Row],[Option]],TblAdjFleetRolesValues[Name],0),MATCH(TblCombinedAdjFltValues[[#Headers],[E]],TblAdjFleetRolesValues[[#Headers],[A]:[F]],0))</f>
        <v>0</v>
      </c>
      <c r="G35" s="1">
        <f>INDEX(TblAdjFleetRolesValues[[A]:[F]],MATCH(TblCombinedAdjFltValues[[#This Row],[Option]],TblAdjFleetRolesValues[Name],0),MATCH(TblCombinedAdjFltValues[[#Headers],[F]],TblAdjFleetRolesValues[[#Headers],[A]:[F]],0))</f>
        <v>0</v>
      </c>
      <c r="I35" s="4"/>
      <c r="J35" t="s">
        <v>43</v>
      </c>
      <c r="K35" s="1">
        <f>INDEX(TblGenFleetRolesValues[[A]:[F]],MATCH(TblCombinedGenFltValues[[#This Row],[Option]],TblGenFleetRolesValues[Name],0),MATCH(TblCombinedGenFltValues[[#Headers],[A]],TblGenFleetRolesValues[[#Headers],[A]:[F]],0))</f>
        <v>0</v>
      </c>
      <c r="L35" s="1">
        <f>INDEX(TblGenFleetRolesValues[[A]:[F]],MATCH(TblCombinedGenFltValues[[#This Row],[Option]],TblGenFleetRolesValues[Name],0),MATCH(TblCombinedGenFltValues[[#Headers],[B]],TblGenFleetRolesValues[[#Headers],[A]:[F]],0))</f>
        <v>3500</v>
      </c>
      <c r="M35" s="1">
        <f>INDEX(TblGenFleetRolesValues[[A]:[F]],MATCH(TblCombinedGenFltValues[[#This Row],[Option]],TblGenFleetRolesValues[Name],0),MATCH(TblCombinedGenFltValues[[#Headers],[C]],TblGenFleetRolesValues[[#Headers],[A]:[F]],0))</f>
        <v>3500</v>
      </c>
      <c r="N35" s="1">
        <f>INDEX(TblGenFleetRolesValues[[A]:[F]],MATCH(TblCombinedGenFltValues[[#This Row],[Option]],TblGenFleetRolesValues[Name],0),MATCH(TblCombinedGenFltValues[[#Headers],[D]],TblGenFleetRolesValues[[#Headers],[A]:[F]],0))</f>
        <v>0</v>
      </c>
      <c r="O35" s="1">
        <f>INDEX(TblGenFleetRolesValues[[A]:[F]],MATCH(TblCombinedGenFltValues[[#This Row],[Option]],TblGenFleetRolesValues[Name],0),MATCH(TblCombinedGenFltValues[[#Headers],[E]],TblGenFleetRolesValues[[#Headers],[A]:[F]],0))</f>
        <v>0</v>
      </c>
      <c r="P35" s="1">
        <f>INDEX(TblGenFleetRolesValues[[A]:[F]],MATCH(TblCombinedGenFltValues[[#This Row],[Option]],TblGenFleetRolesValues[Name],0),MATCH(TblCombinedGenFltValues[[#Headers],[F]],TblGenFleetRolesValues[[#Headers],[A]:[F]],0))</f>
        <v>0</v>
      </c>
    </row>
    <row r="36" spans="1:16">
      <c r="A36" t="s">
        <v>30</v>
      </c>
      <c r="B36" s="1">
        <f>INDEX(TblFleetShipValues[[A]:[F]],MATCH(TblCombinedAdjFltValues[[#This Row],[Option]],TblFleetShipValues[Name],0),MATCH(TblCombinedAdjFltValues[[#Headers],[A]],TblFleetShipValues[[#Headers],[A]:[F]],0))</f>
        <v>0</v>
      </c>
      <c r="C36" s="1">
        <f>INDEX(TblFleetShipValues[[A]:[F]],MATCH(TblCombinedAdjFltValues[[#This Row],[Option]],TblFleetShipValues[Name],0),MATCH(TblCombinedAdjFltValues[[#Headers],[B]],TblFleetShipValues[[#Headers],[A]:[F]],0))</f>
        <v>0</v>
      </c>
      <c r="D36" s="1">
        <f>INDEX(TblFleetShipValues[[A]:[F]],MATCH(TblCombinedAdjFltValues[[#This Row],[Option]],TblFleetShipValues[Name],0),MATCH(TblCombinedAdjFltValues[[#Headers],[C]],TblFleetShipValues[[#Headers],[A]:[F]],0))</f>
        <v>0</v>
      </c>
      <c r="E36" s="1">
        <f>INDEX(TblFleetShipValues[[A]:[F]],MATCH(TblCombinedAdjFltValues[[#This Row],[Option]],TblFleetShipValues[Name],0),MATCH(TblCombinedAdjFltValues[[#Headers],[D]],TblFleetShipValues[[#Headers],[A]:[F]],0))</f>
        <v>5000</v>
      </c>
      <c r="F36" s="1">
        <f>INDEX(TblFleetShipValues[[A]:[F]],MATCH(TblCombinedAdjFltValues[[#This Row],[Option]],TblFleetShipValues[Name],0),MATCH(TblCombinedAdjFltValues[[#Headers],[E]],TblFleetShipValues[[#Headers],[A]:[F]],0))</f>
        <v>2500</v>
      </c>
      <c r="G36" s="1">
        <f>INDEX(TblFleetShipValues[[A]:[F]],MATCH(TblCombinedAdjFltValues[[#This Row],[Option]],TblFleetShipValues[Name],0),MATCH(TblCombinedAdjFltValues[[#Headers],[F]],TblFleetShipValues[[#Headers],[A]:[F]],0))</f>
        <v>2500</v>
      </c>
      <c r="I36" s="4"/>
      <c r="J36" t="s">
        <v>30</v>
      </c>
      <c r="K36" s="1">
        <f>INDEX(TblFleetShipValues[[A]:[F]],MATCH(TblCombinedGenFltValues[[#This Row],[Option]],TblFleetShipValues[Name],0),MATCH(TblCombinedGenFltValues[[#Headers],[A]],TblFleetShipValues[[#Headers],[A]:[F]],0))</f>
        <v>0</v>
      </c>
      <c r="L36" s="1">
        <f>INDEX(TblFleetShipValues[[A]:[F]],MATCH(TblCombinedGenFltValues[[#This Row],[Option]],TblFleetShipValues[Name],0),MATCH(TblCombinedGenFltValues[[#Headers],[B]],TblFleetShipValues[[#Headers],[A]:[F]],0))</f>
        <v>0</v>
      </c>
      <c r="M36" s="1">
        <f>INDEX(TblFleetShipValues[[A]:[F]],MATCH(TblCombinedGenFltValues[[#This Row],[Option]],TblFleetShipValues[Name],0),MATCH(TblCombinedGenFltValues[[#Headers],[C]],TblFleetShipValues[[#Headers],[A]:[F]],0))</f>
        <v>0</v>
      </c>
      <c r="N36" s="1">
        <f>INDEX(TblFleetShipValues[[A]:[F]],MATCH(TblCombinedGenFltValues[[#This Row],[Option]],TblFleetShipValues[Name],0),MATCH(TblCombinedGenFltValues[[#Headers],[D]],TblFleetShipValues[[#Headers],[A]:[F]],0))</f>
        <v>5000</v>
      </c>
      <c r="O36" s="1">
        <f>INDEX(TblFleetShipValues[[A]:[F]],MATCH(TblCombinedGenFltValues[[#This Row],[Option]],TblFleetShipValues[Name],0),MATCH(TblCombinedGenFltValues[[#Headers],[E]],TblFleetShipValues[[#Headers],[A]:[F]],0))</f>
        <v>2500</v>
      </c>
      <c r="P36" s="1">
        <f>INDEX(TblFleetShipValues[[A]:[F]],MATCH(TblCombinedGenFltValues[[#This Row],[Option]],TblFleetShipValues[Name],0),MATCH(TblCombinedGenFltValues[[#Headers],[F]],TblFleetShipValues[[#Headers],[A]:[F]],0))</f>
        <v>2500</v>
      </c>
    </row>
    <row r="37" spans="1:16">
      <c r="A37" t="s">
        <v>44</v>
      </c>
      <c r="B37" s="1">
        <f>INDEX(TblAdjFleetRolesValues[[A]:[F]],MATCH(TblCombinedAdjFltValues[[#This Row],[Option]],TblAdjFleetRolesValues[Name],0),MATCH(TblCombinedAdjFltValues[[#Headers],[A]],TblAdjFleetRolesValues[[#Headers],[A]:[F]],0))</f>
        <v>0</v>
      </c>
      <c r="C37" s="1">
        <f>INDEX(TblAdjFleetRolesValues[[A]:[F]],MATCH(TblCombinedAdjFltValues[[#This Row],[Option]],TblAdjFleetRolesValues[Name],0),MATCH(TblCombinedAdjFltValues[[#Headers],[B]],TblAdjFleetRolesValues[[#Headers],[A]:[F]],0))</f>
        <v>0</v>
      </c>
      <c r="D37" s="1">
        <f>INDEX(TblAdjFleetRolesValues[[A]:[F]],MATCH(TblCombinedAdjFltValues[[#This Row],[Option]],TblAdjFleetRolesValues[Name],0),MATCH(TblCombinedAdjFltValues[[#Headers],[C]],TblAdjFleetRolesValues[[#Headers],[A]:[F]],0))</f>
        <v>0</v>
      </c>
      <c r="E37" s="1">
        <f>INDEX(TblAdjFleetRolesValues[[A]:[F]],MATCH(TblCombinedAdjFltValues[[#This Row],[Option]],TblAdjFleetRolesValues[Name],0),MATCH(TblCombinedAdjFltValues[[#Headers],[D]],TblAdjFleetRolesValues[[#Headers],[A]:[F]],0))</f>
        <v>1600</v>
      </c>
      <c r="F37" s="1">
        <f>INDEX(TblAdjFleetRolesValues[[A]:[F]],MATCH(TblCombinedAdjFltValues[[#This Row],[Option]],TblAdjFleetRolesValues[Name],0),MATCH(TblCombinedAdjFltValues[[#Headers],[E]],TblAdjFleetRolesValues[[#Headers],[A]:[F]],0))</f>
        <v>800</v>
      </c>
      <c r="G37" s="1">
        <f>INDEX(TblAdjFleetRolesValues[[A]:[F]],MATCH(TblCombinedAdjFltValues[[#This Row],[Option]],TblAdjFleetRolesValues[Name],0),MATCH(TblCombinedAdjFltValues[[#Headers],[F]],TblAdjFleetRolesValues[[#Headers],[A]:[F]],0))</f>
        <v>800</v>
      </c>
      <c r="I37" s="4"/>
      <c r="J37" t="s">
        <v>44</v>
      </c>
      <c r="K37" s="1">
        <f>INDEX(TblGenFleetRolesValues[[A]:[F]],MATCH(TblCombinedGenFltValues[[#This Row],[Option]],TblGenFleetRolesValues[Name],0),MATCH(TblCombinedGenFltValues[[#Headers],[A]],TblGenFleetRolesValues[[#Headers],[A]:[F]],0))</f>
        <v>0</v>
      </c>
      <c r="L37" s="1">
        <f>INDEX(TblGenFleetRolesValues[[A]:[F]],MATCH(TblCombinedGenFltValues[[#This Row],[Option]],TblGenFleetRolesValues[Name],0),MATCH(TblCombinedGenFltValues[[#Headers],[B]],TblGenFleetRolesValues[[#Headers],[A]:[F]],0))</f>
        <v>0</v>
      </c>
      <c r="M37" s="1">
        <f>INDEX(TblGenFleetRolesValues[[A]:[F]],MATCH(TblCombinedGenFltValues[[#This Row],[Option]],TblGenFleetRolesValues[Name],0),MATCH(TblCombinedGenFltValues[[#Headers],[C]],TblGenFleetRolesValues[[#Headers],[A]:[F]],0))</f>
        <v>0</v>
      </c>
      <c r="N37" s="1">
        <f>INDEX(TblGenFleetRolesValues[[A]:[F]],MATCH(TblCombinedGenFltValues[[#This Row],[Option]],TblGenFleetRolesValues[Name],0),MATCH(TblCombinedGenFltValues[[#Headers],[D]],TblGenFleetRolesValues[[#Headers],[A]:[F]],0))</f>
        <v>5000</v>
      </c>
      <c r="O37" s="1">
        <f>INDEX(TblGenFleetRolesValues[[A]:[F]],MATCH(TblCombinedGenFltValues[[#This Row],[Option]],TblGenFleetRolesValues[Name],0),MATCH(TblCombinedGenFltValues[[#Headers],[E]],TblGenFleetRolesValues[[#Headers],[A]:[F]],0))</f>
        <v>2500</v>
      </c>
      <c r="P37" s="1">
        <f>INDEX(TblGenFleetRolesValues[[A]:[F]],MATCH(TblCombinedGenFltValues[[#This Row],[Option]],TblGenFleetRolesValues[Name],0),MATCH(TblCombinedGenFltValues[[#Headers],[F]],TblGenFleetRolesValues[[#Headers],[A]:[F]],0))</f>
        <v>2500</v>
      </c>
    </row>
    <row r="38" spans="1:16">
      <c r="A38" t="s">
        <v>31</v>
      </c>
      <c r="B38" s="1">
        <f>INDEX(TblFleetShipValues[[A]:[F]],MATCH(TblCombinedAdjFltValues[[#This Row],[Option]],TblFleetShipValues[Name],0),MATCH(TblCombinedAdjFltValues[[#Headers],[A]],TblFleetShipValues[[#Headers],[A]:[F]],0))</f>
        <v>0</v>
      </c>
      <c r="C38" s="1">
        <f>INDEX(TblFleetShipValues[[A]:[F]],MATCH(TblCombinedAdjFltValues[[#This Row],[Option]],TblFleetShipValues[Name],0),MATCH(TblCombinedAdjFltValues[[#Headers],[B]],TblFleetShipValues[[#Headers],[A]:[F]],0))</f>
        <v>1500</v>
      </c>
      <c r="D38" s="1">
        <f>INDEX(TblFleetShipValues[[A]:[F]],MATCH(TblCombinedAdjFltValues[[#This Row],[Option]],TblFleetShipValues[Name],0),MATCH(TblCombinedAdjFltValues[[#Headers],[C]],TblFleetShipValues[[#Headers],[A]:[F]],0))</f>
        <v>0</v>
      </c>
      <c r="E38" s="1">
        <f>INDEX(TblFleetShipValues[[A]:[F]],MATCH(TblCombinedAdjFltValues[[#This Row],[Option]],TblFleetShipValues[Name],0),MATCH(TblCombinedAdjFltValues[[#Headers],[D]],TblFleetShipValues[[#Headers],[A]:[F]],0))</f>
        <v>0</v>
      </c>
      <c r="F38" s="1">
        <f>INDEX(TblFleetShipValues[[A]:[F]],MATCH(TblCombinedAdjFltValues[[#This Row],[Option]],TblFleetShipValues[Name],0),MATCH(TblCombinedAdjFltValues[[#Headers],[E]],TblFleetShipValues[[#Headers],[A]:[F]],0))</f>
        <v>1500</v>
      </c>
      <c r="G38" s="1">
        <f>INDEX(TblFleetShipValues[[A]:[F]],MATCH(TblCombinedAdjFltValues[[#This Row],[Option]],TblFleetShipValues[Name],0),MATCH(TblCombinedAdjFltValues[[#Headers],[F]],TblFleetShipValues[[#Headers],[A]:[F]],0))</f>
        <v>0</v>
      </c>
      <c r="I38" s="4"/>
      <c r="J38" t="s">
        <v>31</v>
      </c>
      <c r="K38" s="1">
        <f>INDEX(TblFleetShipValues[[A]:[F]],MATCH(TblCombinedGenFltValues[[#This Row],[Option]],TblFleetShipValues[Name],0),MATCH(TblCombinedGenFltValues[[#Headers],[A]],TblFleetShipValues[[#Headers],[A]:[F]],0))</f>
        <v>0</v>
      </c>
      <c r="L38" s="1">
        <f>INDEX(TblFleetShipValues[[A]:[F]],MATCH(TblCombinedGenFltValues[[#This Row],[Option]],TblFleetShipValues[Name],0),MATCH(TblCombinedGenFltValues[[#Headers],[B]],TblFleetShipValues[[#Headers],[A]:[F]],0))</f>
        <v>1500</v>
      </c>
      <c r="M38" s="1">
        <f>INDEX(TblFleetShipValues[[A]:[F]],MATCH(TblCombinedGenFltValues[[#This Row],[Option]],TblFleetShipValues[Name],0),MATCH(TblCombinedGenFltValues[[#Headers],[C]],TblFleetShipValues[[#Headers],[A]:[F]],0))</f>
        <v>0</v>
      </c>
      <c r="N38" s="1">
        <f>INDEX(TblFleetShipValues[[A]:[F]],MATCH(TblCombinedGenFltValues[[#This Row],[Option]],TblFleetShipValues[Name],0),MATCH(TblCombinedGenFltValues[[#Headers],[D]],TblFleetShipValues[[#Headers],[A]:[F]],0))</f>
        <v>0</v>
      </c>
      <c r="O38" s="1">
        <f>INDEX(TblFleetShipValues[[A]:[F]],MATCH(TblCombinedGenFltValues[[#This Row],[Option]],TblFleetShipValues[Name],0),MATCH(TblCombinedGenFltValues[[#Headers],[E]],TblFleetShipValues[[#Headers],[A]:[F]],0))</f>
        <v>1500</v>
      </c>
      <c r="P38" s="1">
        <f>INDEX(TblFleetShipValues[[A]:[F]],MATCH(TblCombinedGenFltValues[[#This Row],[Option]],TblFleetShipValues[Name],0),MATCH(TblCombinedGenFltValues[[#Headers],[F]],TblFleetShipValues[[#Headers],[A]:[F]],0))</f>
        <v>0</v>
      </c>
    </row>
    <row r="39" spans="1:16">
      <c r="A39" t="s">
        <v>45</v>
      </c>
      <c r="B39" s="1">
        <f>INDEX(TblAdjFleetRolesValues[[A]:[F]],MATCH(TblCombinedAdjFltValues[[#This Row],[Option]],TblAdjFleetRolesValues[Name],0),MATCH(TblCombinedAdjFltValues[[#Headers],[A]],TblAdjFleetRolesValues[[#Headers],[A]:[F]],0))</f>
        <v>0</v>
      </c>
      <c r="C39" s="1">
        <f>INDEX(TblAdjFleetRolesValues[[A]:[F]],MATCH(TblCombinedAdjFltValues[[#This Row],[Option]],TblAdjFleetRolesValues[Name],0),MATCH(TblCombinedAdjFltValues[[#Headers],[B]],TblAdjFleetRolesValues[[#Headers],[A]:[F]],0))</f>
        <v>500</v>
      </c>
      <c r="D39" s="1">
        <f>INDEX(TblAdjFleetRolesValues[[A]:[F]],MATCH(TblCombinedAdjFltValues[[#This Row],[Option]],TblAdjFleetRolesValues[Name],0),MATCH(TblCombinedAdjFltValues[[#Headers],[C]],TblAdjFleetRolesValues[[#Headers],[A]:[F]],0))</f>
        <v>0</v>
      </c>
      <c r="E39" s="1">
        <f>INDEX(TblAdjFleetRolesValues[[A]:[F]],MATCH(TblCombinedAdjFltValues[[#This Row],[Option]],TblAdjFleetRolesValues[Name],0),MATCH(TblCombinedAdjFltValues[[#Headers],[D]],TblAdjFleetRolesValues[[#Headers],[A]:[F]],0))</f>
        <v>0</v>
      </c>
      <c r="F39" s="1">
        <f>INDEX(TblAdjFleetRolesValues[[A]:[F]],MATCH(TblCombinedAdjFltValues[[#This Row],[Option]],TblAdjFleetRolesValues[Name],0),MATCH(TblCombinedAdjFltValues[[#Headers],[E]],TblAdjFleetRolesValues[[#Headers],[A]:[F]],0))</f>
        <v>500</v>
      </c>
      <c r="G39" s="1">
        <f>INDEX(TblAdjFleetRolesValues[[A]:[F]],MATCH(TblCombinedAdjFltValues[[#This Row],[Option]],TblAdjFleetRolesValues[Name],0),MATCH(TblCombinedAdjFltValues[[#Headers],[F]],TblAdjFleetRolesValues[[#Headers],[A]:[F]],0))</f>
        <v>0</v>
      </c>
      <c r="I39" s="4"/>
      <c r="J39" t="s">
        <v>45</v>
      </c>
      <c r="K39" s="1">
        <f>INDEX(TblGenFleetRolesValues[[A]:[F]],MATCH(TblCombinedGenFltValues[[#This Row],[Option]],TblGenFleetRolesValues[Name],0),MATCH(TblCombinedGenFltValues[[#Headers],[A]],TblGenFleetRolesValues[[#Headers],[A]:[F]],0))</f>
        <v>0</v>
      </c>
      <c r="L39" s="1">
        <f>INDEX(TblGenFleetRolesValues[[A]:[F]],MATCH(TblCombinedGenFltValues[[#This Row],[Option]],TblGenFleetRolesValues[Name],0),MATCH(TblCombinedGenFltValues[[#Headers],[B]],TblGenFleetRolesValues[[#Headers],[A]:[F]],0))</f>
        <v>2000</v>
      </c>
      <c r="M39" s="1">
        <f>INDEX(TblGenFleetRolesValues[[A]:[F]],MATCH(TblCombinedGenFltValues[[#This Row],[Option]],TblGenFleetRolesValues[Name],0),MATCH(TblCombinedGenFltValues[[#Headers],[C]],TblGenFleetRolesValues[[#Headers],[A]:[F]],0))</f>
        <v>0</v>
      </c>
      <c r="N39" s="1">
        <f>INDEX(TblGenFleetRolesValues[[A]:[F]],MATCH(TblCombinedGenFltValues[[#This Row],[Option]],TblGenFleetRolesValues[Name],0),MATCH(TblCombinedGenFltValues[[#Headers],[D]],TblGenFleetRolesValues[[#Headers],[A]:[F]],0))</f>
        <v>0</v>
      </c>
      <c r="O39" s="1">
        <f>INDEX(TblGenFleetRolesValues[[A]:[F]],MATCH(TblCombinedGenFltValues[[#This Row],[Option]],TblGenFleetRolesValues[Name],0),MATCH(TblCombinedGenFltValues[[#Headers],[E]],TblGenFleetRolesValues[[#Headers],[A]:[F]],0))</f>
        <v>2000</v>
      </c>
      <c r="P39" s="1">
        <f>INDEX(TblGenFleetRolesValues[[A]:[F]],MATCH(TblCombinedGenFltValues[[#This Row],[Option]],TblGenFleetRolesValues[Name],0),MATCH(TblCombinedGenFltValues[[#Headers],[F]],TblGenFleetRolesValues[[#Headers],[A]:[F]],0))</f>
        <v>0</v>
      </c>
    </row>
    <row r="40" spans="1:16">
      <c r="A40" t="s">
        <v>32</v>
      </c>
      <c r="B40" s="1">
        <f>INDEX(TblFleetShipValues[[A]:[F]],MATCH(TblCombinedAdjFltValues[[#This Row],[Option]],TblFleetShipValues[Name],0),MATCH(TblCombinedAdjFltValues[[#Headers],[A]],TblFleetShipValues[[#Headers],[A]:[F]],0))</f>
        <v>0</v>
      </c>
      <c r="C40" s="1">
        <f>INDEX(TblFleetShipValues[[A]:[F]],MATCH(TblCombinedAdjFltValues[[#This Row],[Option]],TblFleetShipValues[Name],0),MATCH(TblCombinedAdjFltValues[[#Headers],[B]],TblFleetShipValues[[#Headers],[A]:[F]],0))</f>
        <v>0</v>
      </c>
      <c r="D40" s="1">
        <f>INDEX(TblFleetShipValues[[A]:[F]],MATCH(TblCombinedAdjFltValues[[#This Row],[Option]],TblFleetShipValues[Name],0),MATCH(TblCombinedAdjFltValues[[#Headers],[C]],TblFleetShipValues[[#Headers],[A]:[F]],0))</f>
        <v>1500</v>
      </c>
      <c r="E40" s="1">
        <f>INDEX(TblFleetShipValues[[A]:[F]],MATCH(TblCombinedAdjFltValues[[#This Row],[Option]],TblFleetShipValues[Name],0),MATCH(TblCombinedAdjFltValues[[#Headers],[D]],TblFleetShipValues[[#Headers],[A]:[F]],0))</f>
        <v>0</v>
      </c>
      <c r="F40" s="1">
        <f>INDEX(TblFleetShipValues[[A]:[F]],MATCH(TblCombinedAdjFltValues[[#This Row],[Option]],TblFleetShipValues[Name],0),MATCH(TblCombinedAdjFltValues[[#Headers],[E]],TblFleetShipValues[[#Headers],[A]:[F]],0))</f>
        <v>1000</v>
      </c>
      <c r="G40" s="1">
        <f>INDEX(TblFleetShipValues[[A]:[F]],MATCH(TblCombinedAdjFltValues[[#This Row],[Option]],TblFleetShipValues[Name],0),MATCH(TblCombinedAdjFltValues[[#Headers],[F]],TblFleetShipValues[[#Headers],[A]:[F]],0))</f>
        <v>2500</v>
      </c>
      <c r="I40" s="4"/>
      <c r="J40" t="s">
        <v>32</v>
      </c>
      <c r="K40" s="1">
        <f>INDEX(TblFleetShipValues[[A]:[F]],MATCH(TblCombinedGenFltValues[[#This Row],[Option]],TblFleetShipValues[Name],0),MATCH(TblCombinedGenFltValues[[#Headers],[A]],TblFleetShipValues[[#Headers],[A]:[F]],0))</f>
        <v>0</v>
      </c>
      <c r="L40" s="1">
        <f>INDEX(TblFleetShipValues[[A]:[F]],MATCH(TblCombinedGenFltValues[[#This Row],[Option]],TblFleetShipValues[Name],0),MATCH(TblCombinedGenFltValues[[#Headers],[B]],TblFleetShipValues[[#Headers],[A]:[F]],0))</f>
        <v>0</v>
      </c>
      <c r="M40" s="1">
        <f>INDEX(TblFleetShipValues[[A]:[F]],MATCH(TblCombinedGenFltValues[[#This Row],[Option]],TblFleetShipValues[Name],0),MATCH(TblCombinedGenFltValues[[#Headers],[C]],TblFleetShipValues[[#Headers],[A]:[F]],0))</f>
        <v>1500</v>
      </c>
      <c r="N40" s="1">
        <f>INDEX(TblFleetShipValues[[A]:[F]],MATCH(TblCombinedGenFltValues[[#This Row],[Option]],TblFleetShipValues[Name],0),MATCH(TblCombinedGenFltValues[[#Headers],[D]],TblFleetShipValues[[#Headers],[A]:[F]],0))</f>
        <v>0</v>
      </c>
      <c r="O40" s="1">
        <f>INDEX(TblFleetShipValues[[A]:[F]],MATCH(TblCombinedGenFltValues[[#This Row],[Option]],TblFleetShipValues[Name],0),MATCH(TblCombinedGenFltValues[[#Headers],[E]],TblFleetShipValues[[#Headers],[A]:[F]],0))</f>
        <v>1000</v>
      </c>
      <c r="P40" s="1">
        <f>INDEX(TblFleetShipValues[[A]:[F]],MATCH(TblCombinedGenFltValues[[#This Row],[Option]],TblFleetShipValues[Name],0),MATCH(TblCombinedGenFltValues[[#Headers],[F]],TblFleetShipValues[[#Headers],[A]:[F]],0))</f>
        <v>2500</v>
      </c>
    </row>
    <row r="41" spans="1:16">
      <c r="A41" t="s">
        <v>46</v>
      </c>
      <c r="B41" s="1">
        <f>INDEX(TblAdjFleetRolesValues[[A]:[F]],MATCH(TblCombinedAdjFltValues[[#This Row],[Option]],TblAdjFleetRolesValues[Name],0),MATCH(TblCombinedAdjFltValues[[#Headers],[A]],TblAdjFleetRolesValues[[#Headers],[A]:[F]],0))</f>
        <v>0</v>
      </c>
      <c r="C41" s="1">
        <f>INDEX(TblAdjFleetRolesValues[[A]:[F]],MATCH(TblCombinedAdjFltValues[[#This Row],[Option]],TblAdjFleetRolesValues[Name],0),MATCH(TblCombinedAdjFltValues[[#Headers],[B]],TblAdjFleetRolesValues[[#Headers],[A]:[F]],0))</f>
        <v>0</v>
      </c>
      <c r="D41" s="1">
        <f>INDEX(TblAdjFleetRolesValues[[A]:[F]],MATCH(TblCombinedAdjFltValues[[#This Row],[Option]],TblAdjFleetRolesValues[Name],0),MATCH(TblCombinedAdjFltValues[[#Headers],[C]],TblAdjFleetRolesValues[[#Headers],[A]:[F]],0))</f>
        <v>600</v>
      </c>
      <c r="E41" s="1">
        <f>INDEX(TblAdjFleetRolesValues[[A]:[F]],MATCH(TblCombinedAdjFltValues[[#This Row],[Option]],TblAdjFleetRolesValues[Name],0),MATCH(TblCombinedAdjFltValues[[#Headers],[D]],TblAdjFleetRolesValues[[#Headers],[A]:[F]],0))</f>
        <v>0</v>
      </c>
      <c r="F41" s="1">
        <f>INDEX(TblAdjFleetRolesValues[[A]:[F]],MATCH(TblCombinedAdjFltValues[[#This Row],[Option]],TblAdjFleetRolesValues[Name],0),MATCH(TblCombinedAdjFltValues[[#Headers],[E]],TblAdjFleetRolesValues[[#Headers],[A]:[F]],0))</f>
        <v>400</v>
      </c>
      <c r="G41" s="1">
        <f>INDEX(TblAdjFleetRolesValues[[A]:[F]],MATCH(TblCombinedAdjFltValues[[#This Row],[Option]],TblAdjFleetRolesValues[Name],0),MATCH(TblCombinedAdjFltValues[[#Headers],[F]],TblAdjFleetRolesValues[[#Headers],[A]:[F]],0))</f>
        <v>1000</v>
      </c>
      <c r="I41" s="4"/>
      <c r="J41" t="s">
        <v>46</v>
      </c>
      <c r="K41" s="1">
        <f>INDEX(TblGenFleetRolesValues[[A]:[F]],MATCH(TblCombinedGenFltValues[[#This Row],[Option]],TblGenFleetRolesValues[Name],0),MATCH(TblCombinedGenFltValues[[#Headers],[A]],TblGenFleetRolesValues[[#Headers],[A]:[F]],0))</f>
        <v>0</v>
      </c>
      <c r="L41" s="1">
        <f>INDEX(TblGenFleetRolesValues[[A]:[F]],MATCH(TblCombinedGenFltValues[[#This Row],[Option]],TblGenFleetRolesValues[Name],0),MATCH(TblCombinedGenFltValues[[#Headers],[B]],TblGenFleetRolesValues[[#Headers],[A]:[F]],0))</f>
        <v>0</v>
      </c>
      <c r="M41" s="1">
        <f>INDEX(TblGenFleetRolesValues[[A]:[F]],MATCH(TblCombinedGenFltValues[[#This Row],[Option]],TblGenFleetRolesValues[Name],0),MATCH(TblCombinedGenFltValues[[#Headers],[C]],TblGenFleetRolesValues[[#Headers],[A]:[F]],0))</f>
        <v>3000</v>
      </c>
      <c r="N41" s="1">
        <f>INDEX(TblGenFleetRolesValues[[A]:[F]],MATCH(TblCombinedGenFltValues[[#This Row],[Option]],TblGenFleetRolesValues[Name],0),MATCH(TblCombinedGenFltValues[[#Headers],[D]],TblGenFleetRolesValues[[#Headers],[A]:[F]],0))</f>
        <v>0</v>
      </c>
      <c r="O41" s="1">
        <f>INDEX(TblGenFleetRolesValues[[A]:[F]],MATCH(TblCombinedGenFltValues[[#This Row],[Option]],TblGenFleetRolesValues[Name],0),MATCH(TblCombinedGenFltValues[[#Headers],[E]],TblGenFleetRolesValues[[#Headers],[A]:[F]],0))</f>
        <v>2000</v>
      </c>
      <c r="P41" s="1">
        <f>INDEX(TblGenFleetRolesValues[[A]:[F]],MATCH(TblCombinedGenFltValues[[#This Row],[Option]],TblGenFleetRolesValues[Name],0),MATCH(TblCombinedGenFltValues[[#Headers],[F]],TblGenFleetRolesValues[[#Headers],[A]:[F]],0))</f>
        <v>5000</v>
      </c>
    </row>
    <row r="42" spans="1:16">
      <c r="A42" t="s">
        <v>33</v>
      </c>
      <c r="B42" s="1">
        <f>SUBTOTAL(109,TblCombinedAdjFltValues[A])</f>
        <v>6600</v>
      </c>
      <c r="C42" s="1">
        <f>SUBTOTAL(109,TblCombinedAdjFltValues[B])</f>
        <v>6600</v>
      </c>
      <c r="D42" s="1">
        <f>SUBTOTAL(109,TblCombinedAdjFltValues[C])</f>
        <v>6700</v>
      </c>
      <c r="E42" s="1">
        <f>SUBTOTAL(109,TblCombinedAdjFltValues[D])</f>
        <v>6600</v>
      </c>
      <c r="F42" s="1">
        <f>SUBTOTAL(109,TblCombinedAdjFltValues[E])</f>
        <v>6700</v>
      </c>
      <c r="G42" s="1">
        <f>SUBTOTAL(109,TblCombinedAdjFltValues[F])</f>
        <v>6800</v>
      </c>
      <c r="I42" s="4"/>
      <c r="J42" t="s">
        <v>33</v>
      </c>
      <c r="K42" s="1">
        <f>SUBTOTAL(109,TblCombinedGenFltValues[A])</f>
        <v>10000</v>
      </c>
      <c r="L42" s="1">
        <f>SUBTOTAL(109,TblCombinedGenFltValues[B])</f>
        <v>10500</v>
      </c>
      <c r="M42" s="1">
        <f>SUBTOTAL(109,TblCombinedGenFltValues[C])</f>
        <v>11500</v>
      </c>
      <c r="N42" s="1">
        <f>SUBTOTAL(109,TblCombinedGenFltValues[D])</f>
        <v>10000</v>
      </c>
      <c r="O42" s="1">
        <f>SUBTOTAL(109,TblCombinedGenFltValues[E])</f>
        <v>11500</v>
      </c>
      <c r="P42" s="1">
        <f>SUBTOTAL(109,TblCombinedGenFltValues[F])</f>
        <v>12500</v>
      </c>
    </row>
    <row r="44" spans="1:16">
      <c r="C44" s="1"/>
      <c r="D44" s="1"/>
      <c r="E44" s="1"/>
      <c r="F44" s="1"/>
      <c r="G44" s="1"/>
    </row>
    <row r="49" spans="2:2">
      <c r="B49" s="1"/>
    </row>
    <row r="50" spans="2:2">
      <c r="B50" s="1"/>
    </row>
  </sheetData>
  <mergeCells count="9">
    <mergeCell ref="A30:G30"/>
    <mergeCell ref="J22:Q22"/>
    <mergeCell ref="J30:P30"/>
    <mergeCell ref="N1:P1"/>
    <mergeCell ref="A16:G16"/>
    <mergeCell ref="J8:Q8"/>
    <mergeCell ref="A22:H22"/>
    <mergeCell ref="A8:G8"/>
    <mergeCell ref="A1:H1"/>
  </mergeCells>
  <pageMargins left="0.7" right="0.7" top="0.75" bottom="0.75" header="0.3" footer="0.3"/>
  <pageSetup paperSize="0" orientation="portrait" horizontalDpi="0" verticalDpi="0" copies="0"/>
  <ignoredErrors>
    <ignoredError sqref="B32:G32 B33:B41 K32:P32 K40 K38 K36 K34 K33 K35 K37 K39 K41 L10:P10 L11:P14" calculatedColumn="1"/>
    <ignoredError sqref="C33:G41 L41:P41 L39:P39 L37:M37 L35:P35 L33:P33 L34:P34 L36:P36 L40:P40 L38:P38 O37:P37" formula="1" calculatedColumn="1"/>
  </ignoredErrors>
  <tableParts count="10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S19"/>
  <sheetViews>
    <sheetView workbookViewId="0">
      <selection activeCell="G26" sqref="G26"/>
    </sheetView>
  </sheetViews>
  <sheetFormatPr defaultRowHeight="15"/>
  <cols>
    <col min="1" max="1" width="12.140625" bestFit="1" customWidth="1"/>
    <col min="4" max="4" width="10.5703125" bestFit="1" customWidth="1"/>
    <col min="6" max="6" width="12.140625" bestFit="1" customWidth="1"/>
    <col min="9" max="9" width="9.5703125" customWidth="1"/>
    <col min="10" max="10" width="12.7109375" customWidth="1"/>
    <col min="11" max="11" width="9.85546875" customWidth="1"/>
  </cols>
  <sheetData>
    <row r="2" spans="1:19">
      <c r="A2" s="19" t="s">
        <v>49</v>
      </c>
      <c r="B2" s="19"/>
      <c r="C2" s="19"/>
      <c r="F2" s="19" t="s">
        <v>50</v>
      </c>
      <c r="G2" s="19"/>
      <c r="H2" s="19"/>
    </row>
    <row r="3" spans="1:19">
      <c r="A3" t="s">
        <v>51</v>
      </c>
      <c r="B3" s="1" t="s">
        <v>21</v>
      </c>
      <c r="F3" t="s">
        <v>51</v>
      </c>
      <c r="G3" s="1" t="s">
        <v>26</v>
      </c>
    </row>
    <row r="4" spans="1:19">
      <c r="A4" t="s">
        <v>3</v>
      </c>
      <c r="B4">
        <f>INDEX(TblCombinedAdjFltValues[[#Totals],[A]:[F]],MATCH(Comparison!$B$3,TblCombinedAdjFltValues[[#Headers],[A]:[F]]))</f>
        <v>6600</v>
      </c>
      <c r="F4" t="s">
        <v>3</v>
      </c>
      <c r="G4">
        <f>INDEX(TblCombinedAdjFltValues[[#Totals],[A]:[F]],MATCH(Comparison!$G$3,TblCombinedAdjFltValues[[#Headers],[A]:[F]]))</f>
        <v>6800</v>
      </c>
    </row>
    <row r="5" spans="1:19">
      <c r="A5" t="s">
        <v>52</v>
      </c>
      <c r="B5">
        <f>SUM(C10:C14)</f>
        <v>5000</v>
      </c>
      <c r="F5" t="s">
        <v>52</v>
      </c>
      <c r="G5">
        <f>SUM(H10:H14)</f>
        <v>5000</v>
      </c>
    </row>
    <row r="6" spans="1:19">
      <c r="A6" t="s">
        <v>53</v>
      </c>
      <c r="B6">
        <f>SUM(C17:C19)</f>
        <v>1600</v>
      </c>
      <c r="F6" t="s">
        <v>53</v>
      </c>
      <c r="G6">
        <f>SUM(H17:H19)</f>
        <v>1800</v>
      </c>
    </row>
    <row r="7" spans="1:19">
      <c r="C7" s="17"/>
      <c r="H7" s="17"/>
    </row>
    <row r="8" spans="1:19">
      <c r="C8" s="17"/>
      <c r="H8" s="17"/>
      <c r="Q8" s="3"/>
      <c r="S8" s="3"/>
    </row>
    <row r="9" spans="1:19">
      <c r="A9" s="17" t="s">
        <v>2</v>
      </c>
      <c r="B9" s="17" t="s">
        <v>54</v>
      </c>
      <c r="C9" s="17" t="s">
        <v>3</v>
      </c>
      <c r="F9" s="17" t="s">
        <v>2</v>
      </c>
      <c r="G9" s="17" t="s">
        <v>54</v>
      </c>
      <c r="H9" s="17" t="s">
        <v>3</v>
      </c>
      <c r="I9" s="1"/>
      <c r="J9" s="1"/>
      <c r="K9" s="1"/>
      <c r="L9" s="1"/>
      <c r="M9" s="1"/>
      <c r="N9" s="1"/>
      <c r="O9" s="1"/>
      <c r="P9" s="1"/>
      <c r="Q9" s="7"/>
      <c r="R9" s="1"/>
      <c r="S9" s="7"/>
    </row>
    <row r="10" spans="1:19">
      <c r="A10" s="17" t="s">
        <v>13</v>
      </c>
      <c r="B10" s="18">
        <f>INDEX(TblBattlefieldFlt[[A]:[F]],MATCH($A10,TblBattlefieldFlt[Option],0),MATCH($B$3,TblBattlefieldFlt[[#Headers],[A]:[F]],0))</f>
        <v>1</v>
      </c>
      <c r="C10" s="17">
        <f>INDEX(TblShipPoints[Points],MATCH(A10,TblShipPoints[Ships],0))*B10</f>
        <v>5000</v>
      </c>
      <c r="F10" s="17" t="s">
        <v>13</v>
      </c>
      <c r="G10" s="18">
        <f>INDEX(TblBattlefieldFlt[[A]:[F]],MATCH($F10,TblBattlefieldFlt[Option],0),MATCH($G$3,TblBattlefieldFlt[[#Headers],[A]:[F]],0))</f>
        <v>0</v>
      </c>
      <c r="H10" s="17">
        <f>INDEX(TblShipPoints[Points],MATCH(F10,TblShipPoints[Ships],0))*G10</f>
        <v>0</v>
      </c>
      <c r="I10" s="1"/>
      <c r="J10" s="1"/>
      <c r="K10" s="1"/>
      <c r="L10" s="1"/>
      <c r="M10" s="1"/>
      <c r="N10" s="1"/>
      <c r="O10" s="1"/>
      <c r="P10" s="1"/>
      <c r="Q10" s="7"/>
      <c r="R10" s="1"/>
      <c r="S10" s="7"/>
    </row>
    <row r="11" spans="1:19">
      <c r="A11" s="17" t="s">
        <v>14</v>
      </c>
      <c r="B11" s="18">
        <f>INDEX(TblBattlefieldFlt[[A]:[F]],MATCH($A11,TblBattlefieldFlt[Option],0),MATCH($B$3,TblBattlefieldFlt[[#Headers],[A]:[F]],0))</f>
        <v>0</v>
      </c>
      <c r="C11" s="17">
        <f>INDEX(TblShipPoints[Points],MATCH(A11,TblShipPoints[Ships],0))*B11</f>
        <v>0</v>
      </c>
      <c r="D11" s="17"/>
      <c r="E11" s="17"/>
      <c r="F11" s="17" t="s">
        <v>14</v>
      </c>
      <c r="G11" s="18">
        <f>INDEX(TblBattlefieldFlt[[A]:[F]],MATCH($F11,TblBattlefieldFlt[Option],0),MATCH($G$3,TblBattlefieldFlt[[#Headers],[A]:[F]],0))</f>
        <v>0</v>
      </c>
      <c r="H11" s="17">
        <f>INDEX(TblShipPoints[Points],MATCH(F11,TblShipPoints[Ships],0))*G11</f>
        <v>0</v>
      </c>
      <c r="I11" s="1"/>
      <c r="J11" s="1"/>
      <c r="K11" s="1"/>
      <c r="L11" s="1"/>
      <c r="M11" s="1"/>
      <c r="N11" s="1"/>
      <c r="O11" s="1"/>
      <c r="P11" s="1"/>
      <c r="Q11" s="7"/>
      <c r="R11" s="1"/>
      <c r="S11" s="7"/>
    </row>
    <row r="12" spans="1:19">
      <c r="A12" s="17" t="s">
        <v>15</v>
      </c>
      <c r="B12" s="18">
        <f>INDEX(TblBattlefieldFlt[[A]:[F]],MATCH($A12,TblBattlefieldFlt[Option],0),MATCH($B$3,TblBattlefieldFlt[[#Headers],[A]:[F]],0))</f>
        <v>0</v>
      </c>
      <c r="C12" s="17">
        <f>INDEX(TblShipPoints[Points],MATCH(A12,TblShipPoints[Ships],0))*B12</f>
        <v>0</v>
      </c>
      <c r="D12" s="17"/>
      <c r="E12" s="17"/>
      <c r="F12" s="17" t="s">
        <v>15</v>
      </c>
      <c r="G12" s="18">
        <f>INDEX(TblBattlefieldFlt[[A]:[F]],MATCH($F12,TblBattlefieldFlt[Option],0),MATCH($G$3,TblBattlefieldFlt[[#Headers],[A]:[F]],0))</f>
        <v>1</v>
      </c>
      <c r="H12" s="17">
        <f>INDEX(TblShipPoints[Points],MATCH(F12,TblShipPoints[Ships],0))*G12</f>
        <v>2500</v>
      </c>
      <c r="I12" s="1"/>
      <c r="J12" s="1"/>
      <c r="K12" s="1"/>
      <c r="L12" s="1"/>
      <c r="M12" s="1"/>
      <c r="N12" s="1"/>
      <c r="O12" s="1"/>
      <c r="P12" s="1"/>
      <c r="Q12" s="7"/>
      <c r="R12" s="1"/>
      <c r="S12" s="7"/>
    </row>
    <row r="13" spans="1:19">
      <c r="A13" s="17" t="s">
        <v>16</v>
      </c>
      <c r="B13" s="18">
        <f>INDEX(TblBattlefieldFlt[[A]:[F]],MATCH($A13,TblBattlefieldFlt[Option],0),MATCH($B$3,TblBattlefieldFlt[[#Headers],[A]:[F]],0))</f>
        <v>0</v>
      </c>
      <c r="C13" s="17">
        <f>INDEX(TblShipPoints[Points],MATCH(A13,TblShipPoints[Ships],0))*B13</f>
        <v>0</v>
      </c>
      <c r="F13" s="17" t="s">
        <v>16</v>
      </c>
      <c r="G13" s="18">
        <f>INDEX(TblBattlefieldFlt[[A]:[F]],MATCH($F13,TblBattlefieldFlt[Option],0),MATCH($G$3,TblBattlefieldFlt[[#Headers],[A]:[F]],0))</f>
        <v>0</v>
      </c>
      <c r="H13" s="17">
        <f>INDEX(TblShipPoints[Points],MATCH(F13,TblShipPoints[Ships],0))*G13</f>
        <v>0</v>
      </c>
      <c r="I13" s="1"/>
      <c r="J13" s="1"/>
      <c r="K13" s="1"/>
      <c r="L13" s="1"/>
      <c r="M13" s="1"/>
      <c r="N13" s="1"/>
      <c r="O13" s="1"/>
      <c r="P13" s="1"/>
      <c r="Q13" s="7"/>
      <c r="R13" s="1"/>
      <c r="S13" s="7"/>
    </row>
    <row r="14" spans="1:19">
      <c r="A14" s="17" t="s">
        <v>17</v>
      </c>
      <c r="B14" s="18">
        <f>INDEX(TblBattlefieldFlt[[A]:[F]],MATCH($A14,TblBattlefieldFlt[Option],0),MATCH($B$3,TblBattlefieldFlt[[#Headers],[A]:[F]],0))</f>
        <v>0</v>
      </c>
      <c r="C14" s="17">
        <f>INDEX(TblShipPoints[Points],MATCH(A14,TblShipPoints[Ships],0))*B14</f>
        <v>0</v>
      </c>
      <c r="F14" s="17" t="s">
        <v>17</v>
      </c>
      <c r="G14" s="18">
        <f>INDEX(TblBattlefieldFlt[[A]:[F]],MATCH($F14,TblBattlefieldFlt[Option],0),MATCH($G$3,TblBattlefieldFlt[[#Headers],[A]:[F]],0))</f>
        <v>5</v>
      </c>
      <c r="H14" s="17">
        <f>INDEX(TblShipPoints[Points],MATCH(F14,TblShipPoints[Ships],0))*G14</f>
        <v>2500</v>
      </c>
    </row>
    <row r="16" spans="1:19">
      <c r="A16" s="17" t="s">
        <v>55</v>
      </c>
      <c r="B16" s="17" t="s">
        <v>54</v>
      </c>
      <c r="C16" t="s">
        <v>3</v>
      </c>
      <c r="F16" s="17" t="s">
        <v>55</v>
      </c>
      <c r="G16" s="17" t="s">
        <v>54</v>
      </c>
      <c r="H16" t="s">
        <v>3</v>
      </c>
    </row>
    <row r="17" spans="1:8">
      <c r="A17" s="17" t="s">
        <v>4</v>
      </c>
      <c r="B17" s="18">
        <f>SUMPRODUCT($B$10:$B$14,TblShipCrew[Service])</f>
        <v>6</v>
      </c>
      <c r="C17">
        <f>TblRoleControlValues[Service]*B17</f>
        <v>600</v>
      </c>
      <c r="F17" s="17" t="s">
        <v>4</v>
      </c>
      <c r="G17" s="18">
        <f>SUMPRODUCT($G$10:$G$14,TblShipCrew[Service])</f>
        <v>13</v>
      </c>
      <c r="H17">
        <f>TblRoleControlValues[Service]*G17</f>
        <v>1300</v>
      </c>
    </row>
    <row r="18" spans="1:8">
      <c r="A18" s="17" t="s">
        <v>5</v>
      </c>
      <c r="B18" s="18">
        <f>SUMPRODUCT($B$10:$B$14,TblShipCrew[Lieutenant])</f>
        <v>2</v>
      </c>
      <c r="C18">
        <f>TblRoleControlValues[Lieutenant]*B18</f>
        <v>400</v>
      </c>
      <c r="F18" s="17" t="s">
        <v>5</v>
      </c>
      <c r="G18" s="18">
        <f>SUMPRODUCT($G$10:$G$14,TblShipCrew[Lieutenant])</f>
        <v>1</v>
      </c>
      <c r="H18">
        <f>TblRoleControlValues[Lieutenant]*G18</f>
        <v>200</v>
      </c>
    </row>
    <row r="19" spans="1:8">
      <c r="A19" s="17" t="s">
        <v>6</v>
      </c>
      <c r="B19" s="18">
        <f>SUMPRODUCT($B$10:$B$14,TblShipCrew[Captain])</f>
        <v>2</v>
      </c>
      <c r="C19">
        <f>TblRoleControlValues[Captain]*B19</f>
        <v>600</v>
      </c>
      <c r="F19" s="17" t="s">
        <v>6</v>
      </c>
      <c r="G19" s="18">
        <f>SUMPRODUCT($G$10:$G$14,TblShipCrew[Captain])</f>
        <v>1</v>
      </c>
      <c r="H19">
        <f>TblRoleControlValues[Captain]*G19</f>
        <v>300</v>
      </c>
    </row>
  </sheetData>
  <mergeCells count="2">
    <mergeCell ref="A2:C2"/>
    <mergeCell ref="F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LMGrn</dc:creator>
  <cp:keywords/>
  <dc:description/>
  <cp:lastModifiedBy/>
  <cp:revision/>
  <dcterms:created xsi:type="dcterms:W3CDTF">2023-03-22T23:58:22Z</dcterms:created>
  <dcterms:modified xsi:type="dcterms:W3CDTF">2023-03-23T18:06:25Z</dcterms:modified>
  <cp:category/>
  <cp:contentStatus/>
</cp:coreProperties>
</file>