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230"/>
  <workbookPr defaultThemeVersion="166925"/>
  <mc:AlternateContent xmlns:mc="http://schemas.openxmlformats.org/markup-compatibility/2006">
    <mc:Choice Requires="x15">
      <x15ac:absPath xmlns:x15ac="http://schemas.microsoft.com/office/spreadsheetml/2010/11/ac" url="D:\MultiplayerGame\"/>
    </mc:Choice>
  </mc:AlternateContent>
  <xr:revisionPtr revIDLastSave="0" documentId="8_{7C10CB07-5693-44A5-B180-0F0EDA992F21}" xr6:coauthVersionLast="47" xr6:coauthVersionMax="47" xr10:uidLastSave="{00000000-0000-0000-0000-000000000000}"/>
  <bookViews>
    <workbookView xWindow="-120" yWindow="-120" windowWidth="29040" windowHeight="15840" firstSheet="1" activeTab="8" xr2:uid="{00000000-000D-0000-FFFF-FFFF00000000}"/>
  </bookViews>
  <sheets>
    <sheet name="Values" sheetId="1" r:id="rId1"/>
    <sheet name="Ships and Crew Details" sheetId="3" r:id="rId2"/>
    <sheet name="Game Setup" sheetId="7" r:id="rId3"/>
    <sheet name="Game Rules and Turn Example" sheetId="4" r:id="rId4"/>
    <sheet name="Game Rules version 2" sheetId="8" r:id="rId5"/>
    <sheet name="Ideas" sheetId="6" r:id="rId6"/>
    <sheet name="Card Details" sheetId="5" r:id="rId7"/>
    <sheet name="Card Mechanics" sheetId="9" r:id="rId8"/>
    <sheet name="Species" sheetId="10" r:id="rId9"/>
    <sheet name="Comparison" sheetId="2" r:id="rId10"/>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17" i="7" l="1"/>
  <c r="P16" i="7"/>
  <c r="H29" i="3"/>
  <c r="G29" i="3"/>
  <c r="F29" i="3"/>
  <c r="E29" i="3"/>
  <c r="D29" i="3"/>
  <c r="C29" i="3"/>
  <c r="V4" i="3"/>
  <c r="V3" i="3"/>
  <c r="T6" i="3"/>
  <c r="T5" i="3"/>
  <c r="T4" i="3"/>
  <c r="T3" i="3"/>
  <c r="R8" i="3"/>
  <c r="R7" i="3"/>
  <c r="R6" i="3"/>
  <c r="R5" i="3"/>
  <c r="R4" i="3"/>
  <c r="R3" i="3"/>
  <c r="P11" i="3"/>
  <c r="P10" i="3"/>
  <c r="P9" i="3"/>
  <c r="P8" i="3"/>
  <c r="P7" i="3"/>
  <c r="P6" i="3"/>
  <c r="P5" i="3"/>
  <c r="P4" i="3"/>
  <c r="P3" i="3"/>
  <c r="N4" i="3"/>
  <c r="N5" i="3"/>
  <c r="N6" i="3"/>
  <c r="N7" i="3"/>
  <c r="N8" i="3"/>
  <c r="N9" i="3"/>
  <c r="N10" i="3"/>
  <c r="N11" i="3"/>
  <c r="N12" i="3"/>
  <c r="N13" i="3"/>
  <c r="N14" i="3"/>
  <c r="N3" i="3"/>
  <c r="B21" i="1"/>
  <c r="C21" i="1"/>
  <c r="D21" i="1"/>
  <c r="E21" i="1"/>
  <c r="F21" i="1"/>
  <c r="G14" i="2"/>
  <c r="H14" i="2" s="1"/>
  <c r="G13" i="2"/>
  <c r="H13" i="2" s="1"/>
  <c r="G12" i="2"/>
  <c r="H12" i="2" s="1"/>
  <c r="G11" i="2"/>
  <c r="H11" i="2" s="1"/>
  <c r="G10" i="2"/>
  <c r="H10" i="2" s="1"/>
  <c r="B18" i="1"/>
  <c r="G20" i="1"/>
  <c r="F20" i="1"/>
  <c r="E20" i="1"/>
  <c r="D20" i="1"/>
  <c r="C20" i="1"/>
  <c r="B20" i="1"/>
  <c r="G19" i="1"/>
  <c r="F19" i="1"/>
  <c r="E19" i="1"/>
  <c r="D19" i="1"/>
  <c r="C19" i="1"/>
  <c r="B19" i="1"/>
  <c r="F18" i="1"/>
  <c r="G18" i="1"/>
  <c r="G21" i="1" s="1"/>
  <c r="E18" i="1"/>
  <c r="D18" i="1"/>
  <c r="C18" i="1"/>
  <c r="B11" i="2"/>
  <c r="C11" i="2" s="1"/>
  <c r="B12" i="2"/>
  <c r="C12" i="2" s="1"/>
  <c r="B13" i="2"/>
  <c r="C13" i="2" s="1"/>
  <c r="B14" i="2"/>
  <c r="C14" i="2" s="1"/>
  <c r="B10" i="2"/>
  <c r="C10" i="2" s="1"/>
  <c r="B5" i="2" s="1"/>
  <c r="P14" i="1"/>
  <c r="G41" i="1" s="1"/>
  <c r="O14" i="1"/>
  <c r="F41" i="1" s="1"/>
  <c r="N14" i="1"/>
  <c r="E41" i="1" s="1"/>
  <c r="M14" i="1"/>
  <c r="D41" i="1" s="1"/>
  <c r="L14" i="1"/>
  <c r="L41" i="1" s="1"/>
  <c r="P13" i="1"/>
  <c r="G39" i="1" s="1"/>
  <c r="O13" i="1"/>
  <c r="F39" i="1" s="1"/>
  <c r="N13" i="1"/>
  <c r="E39" i="1" s="1"/>
  <c r="M13" i="1"/>
  <c r="D39" i="1" s="1"/>
  <c r="L13" i="1"/>
  <c r="C39" i="1" s="1"/>
  <c r="P12" i="1"/>
  <c r="G37" i="1" s="1"/>
  <c r="O12" i="1"/>
  <c r="F37" i="1" s="1"/>
  <c r="N12" i="1"/>
  <c r="E37" i="1" s="1"/>
  <c r="M12" i="1"/>
  <c r="D37" i="1" s="1"/>
  <c r="L12" i="1"/>
  <c r="C37" i="1" s="1"/>
  <c r="P11" i="1"/>
  <c r="G35" i="1" s="1"/>
  <c r="O11" i="1"/>
  <c r="O35" i="1" s="1"/>
  <c r="N11" i="1"/>
  <c r="E35" i="1" s="1"/>
  <c r="M11" i="1"/>
  <c r="M35" i="1" s="1"/>
  <c r="L11" i="1"/>
  <c r="C35" i="1" s="1"/>
  <c r="P10" i="1"/>
  <c r="G33" i="1" s="1"/>
  <c r="O10" i="1"/>
  <c r="F33" i="1" s="1"/>
  <c r="N10" i="1"/>
  <c r="N33" i="1" s="1"/>
  <c r="M10" i="1"/>
  <c r="D33" i="1" s="1"/>
  <c r="L10" i="1"/>
  <c r="C33" i="1" s="1"/>
  <c r="K10" i="1"/>
  <c r="B33" i="1" s="1"/>
  <c r="K11" i="1"/>
  <c r="B35" i="1" s="1"/>
  <c r="K12" i="1"/>
  <c r="B37" i="1" s="1"/>
  <c r="K13" i="1"/>
  <c r="B39" i="1" s="1"/>
  <c r="K14" i="1"/>
  <c r="B41" i="1" s="1"/>
  <c r="I4" i="1"/>
  <c r="J4" i="1"/>
  <c r="I5" i="1"/>
  <c r="J5" i="1"/>
  <c r="I6" i="1"/>
  <c r="J6" i="1"/>
  <c r="I7" i="1"/>
  <c r="J7" i="1"/>
  <c r="L3" i="1"/>
  <c r="O25" i="1" s="1"/>
  <c r="L4" i="1"/>
  <c r="L26" i="1" s="1"/>
  <c r="L5" i="1"/>
  <c r="L27" i="1" s="1"/>
  <c r="L6" i="1"/>
  <c r="N28" i="1" s="1"/>
  <c r="L7" i="1"/>
  <c r="L29" i="1" s="1"/>
  <c r="I3" i="1"/>
  <c r="J3" i="1"/>
  <c r="H3" i="1"/>
  <c r="H4" i="1"/>
  <c r="H5" i="1"/>
  <c r="H6" i="1"/>
  <c r="H7" i="1"/>
  <c r="B15" i="1"/>
  <c r="C15" i="1"/>
  <c r="D15" i="1"/>
  <c r="E15" i="1"/>
  <c r="F15" i="1"/>
  <c r="G15" i="1"/>
  <c r="G18" i="2" l="1"/>
  <c r="H18" i="2" s="1"/>
  <c r="G19" i="2"/>
  <c r="H19" i="2" s="1"/>
  <c r="G17" i="2"/>
  <c r="H17" i="2" s="1"/>
  <c r="G5" i="2"/>
  <c r="B19" i="2"/>
  <c r="C19" i="2" s="1"/>
  <c r="B17" i="2"/>
  <c r="C17" i="2" s="1"/>
  <c r="B18" i="2"/>
  <c r="C18" i="2" s="1"/>
  <c r="K4" i="1"/>
  <c r="G26" i="1" s="1"/>
  <c r="K3" i="1"/>
  <c r="C25" i="1" s="1"/>
  <c r="K5" i="1"/>
  <c r="F27" i="1" s="1"/>
  <c r="N29" i="1"/>
  <c r="N42" i="1" s="1"/>
  <c r="L25" i="1"/>
  <c r="L34" i="1" s="1"/>
  <c r="N27" i="1"/>
  <c r="N38" i="1" s="1"/>
  <c r="P29" i="1"/>
  <c r="P42" i="1" s="1"/>
  <c r="K7" i="1"/>
  <c r="K25" i="1"/>
  <c r="K34" i="1" s="1"/>
  <c r="N26" i="1"/>
  <c r="N36" i="1" s="1"/>
  <c r="P28" i="1"/>
  <c r="P40" i="1" s="1"/>
  <c r="L28" i="1"/>
  <c r="L40" i="1" s="1"/>
  <c r="K26" i="1"/>
  <c r="K36" i="1" s="1"/>
  <c r="N25" i="1"/>
  <c r="N34" i="1" s="1"/>
  <c r="P27" i="1"/>
  <c r="P38" i="1" s="1"/>
  <c r="K27" i="1"/>
  <c r="K38" i="1" s="1"/>
  <c r="M29" i="1"/>
  <c r="M42" i="1" s="1"/>
  <c r="P26" i="1"/>
  <c r="P36" i="1" s="1"/>
  <c r="K28" i="1"/>
  <c r="K40" i="1" s="1"/>
  <c r="M28" i="1"/>
  <c r="M40" i="1" s="1"/>
  <c r="P25" i="1"/>
  <c r="P34" i="1" s="1"/>
  <c r="K29" i="1"/>
  <c r="K42" i="1" s="1"/>
  <c r="M27" i="1"/>
  <c r="M38" i="1" s="1"/>
  <c r="O29" i="1"/>
  <c r="O42" i="1" s="1"/>
  <c r="M26" i="1"/>
  <c r="M36" i="1" s="1"/>
  <c r="O28" i="1"/>
  <c r="O40" i="1" s="1"/>
  <c r="M25" i="1"/>
  <c r="M34" i="1" s="1"/>
  <c r="O27" i="1"/>
  <c r="O38" i="1" s="1"/>
  <c r="O26" i="1"/>
  <c r="O36" i="1" s="1"/>
  <c r="K6" i="1"/>
  <c r="N35" i="1"/>
  <c r="F35" i="1"/>
  <c r="C41" i="1"/>
  <c r="D35" i="1"/>
  <c r="L33" i="1"/>
  <c r="O37" i="1"/>
  <c r="O41" i="1"/>
  <c r="N37" i="1"/>
  <c r="N41" i="1"/>
  <c r="E33" i="1"/>
  <c r="M37" i="1"/>
  <c r="M41" i="1"/>
  <c r="L37" i="1"/>
  <c r="K37" i="1"/>
  <c r="K41" i="1"/>
  <c r="P35" i="1"/>
  <c r="P39" i="1"/>
  <c r="O39" i="1"/>
  <c r="N39" i="1"/>
  <c r="M39" i="1"/>
  <c r="L35" i="1"/>
  <c r="L39" i="1"/>
  <c r="K35" i="1"/>
  <c r="K39" i="1"/>
  <c r="P33" i="1"/>
  <c r="P37" i="1"/>
  <c r="P41" i="1"/>
  <c r="K33" i="1"/>
  <c r="O33" i="1"/>
  <c r="M33" i="1"/>
  <c r="O34" i="1"/>
  <c r="L36" i="1"/>
  <c r="N40" i="1"/>
  <c r="L42" i="1"/>
  <c r="L38" i="1"/>
  <c r="M15" i="1"/>
  <c r="N15" i="1"/>
  <c r="K15" i="1"/>
  <c r="O15" i="1"/>
  <c r="L15" i="1"/>
  <c r="P15" i="1"/>
  <c r="G6" i="2" l="1"/>
  <c r="B6" i="2"/>
  <c r="N43" i="1"/>
  <c r="E25" i="1"/>
  <c r="B25" i="1"/>
  <c r="B34" i="1" s="1"/>
  <c r="D27" i="1"/>
  <c r="G25" i="1"/>
  <c r="E27" i="1"/>
  <c r="F25" i="1"/>
  <c r="C27" i="1"/>
  <c r="B27" i="1"/>
  <c r="G27" i="1"/>
  <c r="F26" i="1"/>
  <c r="D26" i="1"/>
  <c r="D25" i="1"/>
  <c r="E26" i="1"/>
  <c r="B26" i="1"/>
  <c r="C26" i="1"/>
  <c r="D29" i="1"/>
  <c r="G29" i="1"/>
  <c r="B29" i="1"/>
  <c r="F29" i="1"/>
  <c r="E29" i="1"/>
  <c r="C29" i="1"/>
  <c r="G28" i="1"/>
  <c r="F28" i="1"/>
  <c r="E28" i="1"/>
  <c r="D28" i="1"/>
  <c r="C28" i="1"/>
  <c r="B28" i="1"/>
  <c r="K30" i="1"/>
  <c r="C40" i="1" l="1"/>
  <c r="C36" i="1"/>
  <c r="D36" i="1"/>
  <c r="F36" i="1"/>
  <c r="G40" i="1"/>
  <c r="G36" i="1"/>
  <c r="D42" i="1"/>
  <c r="F34" i="1"/>
  <c r="B42" i="1"/>
  <c r="D38" i="1"/>
  <c r="G38" i="1"/>
  <c r="E38" i="1"/>
  <c r="B36" i="1"/>
  <c r="E40" i="1"/>
  <c r="E34" i="1"/>
  <c r="D34" i="1"/>
  <c r="G42" i="1"/>
  <c r="E36" i="1"/>
  <c r="B38" i="1"/>
  <c r="G34" i="1"/>
  <c r="E42" i="1"/>
  <c r="C38" i="1"/>
  <c r="C34" i="1"/>
  <c r="F38" i="1"/>
  <c r="C42" i="1"/>
  <c r="F40" i="1"/>
  <c r="D40" i="1"/>
  <c r="B40" i="1"/>
  <c r="F42" i="1"/>
  <c r="N30" i="1"/>
  <c r="M30" i="1"/>
  <c r="O30" i="1"/>
  <c r="P30" i="1"/>
  <c r="L30" i="1"/>
  <c r="B30" i="1"/>
  <c r="C30" i="1"/>
  <c r="F30" i="1"/>
  <c r="D30" i="1"/>
  <c r="E30" i="1"/>
  <c r="G30" i="1"/>
  <c r="G43" i="1" l="1"/>
  <c r="G4" i="2" s="1"/>
  <c r="B43" i="1"/>
  <c r="B4" i="2" s="1"/>
  <c r="D43" i="1"/>
  <c r="F43" i="1"/>
  <c r="P43" i="1"/>
  <c r="E43" i="1"/>
  <c r="M43" i="1"/>
  <c r="C43" i="1"/>
  <c r="L43" i="1"/>
  <c r="K43" i="1"/>
  <c r="O43" i="1"/>
</calcChain>
</file>

<file path=xl/sharedStrings.xml><?xml version="1.0" encoding="utf-8"?>
<sst xmlns="http://schemas.openxmlformats.org/spreadsheetml/2006/main" count="586" uniqueCount="325">
  <si>
    <t>Ship Parameters</t>
  </si>
  <si>
    <t>Role Control Values</t>
  </si>
  <si>
    <t>Ships</t>
  </si>
  <si>
    <t>Points</t>
  </si>
  <si>
    <t>Service</t>
  </si>
  <si>
    <t>Lieutenant</t>
  </si>
  <si>
    <t>Captain</t>
  </si>
  <si>
    <t>Service Value</t>
  </si>
  <si>
    <t>Lt Value</t>
  </si>
  <si>
    <t>Cpt Value</t>
  </si>
  <si>
    <t>Adjusted</t>
  </si>
  <si>
    <t>Generic (500)</t>
  </si>
  <si>
    <t>Generic</t>
  </si>
  <si>
    <t>Capital</t>
  </si>
  <si>
    <t>Cruiser</t>
  </si>
  <si>
    <t>Destroyer</t>
  </si>
  <si>
    <t>Frigate</t>
  </si>
  <si>
    <t>Fighter</t>
  </si>
  <si>
    <t>Battlefield Fleet</t>
  </si>
  <si>
    <t>Fleet Ship values</t>
  </si>
  <si>
    <t>Option</t>
  </si>
  <si>
    <t>A</t>
  </si>
  <si>
    <t>B</t>
  </si>
  <si>
    <t>C</t>
  </si>
  <si>
    <t>D</t>
  </si>
  <si>
    <t>E</t>
  </si>
  <si>
    <t>F</t>
  </si>
  <si>
    <t>Name</t>
  </si>
  <si>
    <t>Capital Ship</t>
  </si>
  <si>
    <t>Cruiser Ship</t>
  </si>
  <si>
    <t>Destroyer Ship</t>
  </si>
  <si>
    <t>Frigate Ship</t>
  </si>
  <si>
    <t>Fighter Ship</t>
  </si>
  <si>
    <t>Total</t>
  </si>
  <si>
    <t xml:space="preserve">Total </t>
  </si>
  <si>
    <t>Battlefield Crew Sizes</t>
  </si>
  <si>
    <t>What is the adjusted score value per battlefield fleet</t>
  </si>
  <si>
    <t>Player has to have at least one ship that can hold a captain (edited)</t>
  </si>
  <si>
    <t>Each game mode will have a max amount of points which the player has to fill as part of their deck so no overflow/underflow</t>
  </si>
  <si>
    <t>Trying to make the adjust values balanced, for example 1 capital vs 1 destroyer and 5 fighters = -1000</t>
  </si>
  <si>
    <t>Adjusted Fleet Role Values</t>
  </si>
  <si>
    <r>
      <rPr>
        <sz val="11"/>
        <color rgb="FFFF0000"/>
        <rFont val="Calibri"/>
        <family val="2"/>
        <scheme val="minor"/>
      </rPr>
      <t>Generic</t>
    </r>
    <r>
      <rPr>
        <sz val="11"/>
        <color theme="1"/>
        <rFont val="Calibri"/>
        <family val="2"/>
        <scheme val="minor"/>
      </rPr>
      <t xml:space="preserve"> Fleet Role Values</t>
    </r>
  </si>
  <si>
    <t>Capital Crew</t>
  </si>
  <si>
    <t>Cruiser Crew</t>
  </si>
  <si>
    <t>Destroyer Crew</t>
  </si>
  <si>
    <t>Frigate Crew</t>
  </si>
  <si>
    <t>Fighter Crew</t>
  </si>
  <si>
    <t>Combined Adjusted Fleet Values</t>
  </si>
  <si>
    <r>
      <t xml:space="preserve">Combined </t>
    </r>
    <r>
      <rPr>
        <sz val="11"/>
        <color rgb="FFFF0000"/>
        <rFont val="Calibri"/>
        <family val="2"/>
        <scheme val="minor"/>
      </rPr>
      <t>Generic</t>
    </r>
    <r>
      <rPr>
        <sz val="11"/>
        <color theme="1"/>
        <rFont val="Calibri"/>
        <family val="2"/>
        <scheme val="minor"/>
      </rPr>
      <t xml:space="preserve"> Fleet Values</t>
    </r>
  </si>
  <si>
    <t>Possible Crew placed and able to tap</t>
  </si>
  <si>
    <t>Hull</t>
  </si>
  <si>
    <t>Shield</t>
  </si>
  <si>
    <t>Damage per gun</t>
  </si>
  <si>
    <t>Guns</t>
  </si>
  <si>
    <t>Escape Pods</t>
  </si>
  <si>
    <t>Turn</t>
  </si>
  <si>
    <t>Crew Departments</t>
  </si>
  <si>
    <t>Research</t>
  </si>
  <si>
    <t>Handling</t>
  </si>
  <si>
    <t xml:space="preserve">Medical </t>
  </si>
  <si>
    <t xml:space="preserve">Engineering </t>
  </si>
  <si>
    <t xml:space="preserve">Assualt </t>
  </si>
  <si>
    <t>Points towards cards that draw from the deck and doing event cards</t>
  </si>
  <si>
    <t>Points towards cards that affect the players ship movement</t>
  </si>
  <si>
    <t>Points towards cards based around player crew</t>
  </si>
  <si>
    <t>Points towards cards that improve players ship or hack enemy ship</t>
  </si>
  <si>
    <t>Points towards cards based around enemy crew</t>
  </si>
  <si>
    <t>Starter Recommended</t>
  </si>
  <si>
    <t>Medic/Research</t>
  </si>
  <si>
    <t>Research/Engineering</t>
  </si>
  <si>
    <t>Assault/Handling</t>
  </si>
  <si>
    <t>Engineering/Medic</t>
  </si>
  <si>
    <t>Assault</t>
  </si>
  <si>
    <t>Player 1</t>
  </si>
  <si>
    <t>Junkyard</t>
  </si>
  <si>
    <t>Strategy Deck</t>
  </si>
  <si>
    <t>Stasis</t>
  </si>
  <si>
    <t>Crew Deck</t>
  </si>
  <si>
    <t>Player 2</t>
  </si>
  <si>
    <t>Game Rules</t>
  </si>
  <si>
    <t>Pre Game Rules:</t>
  </si>
  <si>
    <t>When picking ships at start of turn player must have at least 1 ship that can have a Captain and players picked ships must equal the ship total game points</t>
  </si>
  <si>
    <t>For example with 2000 ship total game points, player could pick 1 Cruiser (1500 points) and 1 Frigate (500 points), but cannot pick just 1 cruiser as just having 1 cruiser would be under 2000 points</t>
  </si>
  <si>
    <t>Players can't see what ships the other player has picked until both have locked them in</t>
  </si>
  <si>
    <t>Once players have picked their ships, they then start off by drawing two cards from their crew/leaders deck and 4 from their strategy deck</t>
  </si>
  <si>
    <t>A player gets 1 free mulligan but if they choose to mulligan anymore times than that they reduce the amount of cards drawn from strategy deck by 1 each time. Down to a minimum of 1 card from their strategy deck and 2 from their leader deck</t>
  </si>
  <si>
    <t>A crew /leader deck can only contain cards of Type Captain, Leuitenant and Crew</t>
  </si>
  <si>
    <t>The strategy deck has every other card</t>
  </si>
  <si>
    <t>You Strategy and card decks can only contain 4 duplicates of any card</t>
  </si>
  <si>
    <t>First Turn Rules:</t>
  </si>
  <si>
    <t>Pick a random Player to go first, since they started they don't draw a card from either the crew or strategy decks at the start of turn.</t>
  </si>
  <si>
    <t>After the first player, Players can draw either 1 card from the strategy deck, or they can choose the see the top 3 cards of the crew deck and then get to pick 1. The rest get sent to the bottom of the crew deck.</t>
  </si>
  <si>
    <t>In Game Rules</t>
  </si>
  <si>
    <t>Max player hand size is 8 (unless card in play says otherwise)</t>
  </si>
  <si>
    <t>A player can only place Crew cards to their ship with an available crew slot unless stated otherwise</t>
  </si>
  <si>
    <t>A crew member first placed on to a ship can't be used in a gun slot, however they can be used to tap for anything else</t>
  </si>
  <si>
    <t>A player can only play 1 crew member and 1 Captain/Leuitenant per their turn</t>
  </si>
  <si>
    <t>Each players turn consist of the following phases</t>
  </si>
  <si>
    <t>Untap Phase</t>
  </si>
  <si>
    <t>Current player untaps all their cards unless stated otherwise</t>
  </si>
  <si>
    <t>All player ships shield damaged, restore 100 shield</t>
  </si>
  <si>
    <t>Draw Phase</t>
  </si>
  <si>
    <t>Current player chooses to draw from their Strategy or Crew Deck</t>
  </si>
  <si>
    <t>Players can draw either 1 card from the strategy deck, or they can choose the see the top 3 cards of the crew deck and then get to pick 1. The rest get sent to the bottom of the crew deck.</t>
  </si>
  <si>
    <t>Strategy Phase</t>
  </si>
  <si>
    <t>Current player can play their cards, tap to gain department resourse or tap cards to use gun slots</t>
  </si>
  <si>
    <t>Battle Phase</t>
  </si>
  <si>
    <t>Current player taps to use gun slots, announcing targets</t>
  </si>
  <si>
    <t>Reaction Phase</t>
  </si>
  <si>
    <t>This is where any player can play cards to react to the battle phase, such as playing a tactic card to change the ships target</t>
  </si>
  <si>
    <t>End Phase</t>
  </si>
  <si>
    <t>At this phase if the player has cards greater than their max hand size then they must discard back down to that size</t>
  </si>
  <si>
    <t>Any department resource not used does NOT get transferred to later turns</t>
  </si>
  <si>
    <t>In Game Rules Continued</t>
  </si>
  <si>
    <t>During the phases players can activate certain types of cards on other players turns</t>
  </si>
  <si>
    <t>A ship can only hold x amount of crew members where x is equal to the ships crew slots</t>
  </si>
  <si>
    <t>A ship can only hold x amount of Captains where x is equal to ships Captains slots</t>
  </si>
  <si>
    <t>A ship can only hold x amount of Leuitenant where x is equal to ships Leuitenant slots</t>
  </si>
  <si>
    <t>If player wants to draw from crew/leader deck and there are no cards left in players crew/leader deck then shuffle the crew/leader cards from stasis back to that deck spot and draw</t>
  </si>
  <si>
    <t>If there are less than 3 cards in the crew/eader deck then they draw the rest of the deck, shuffle the stasis pile back to the deck position and draw up to the 3 cards. Then continue process of picking 1 card and putting rest to the stasis pile</t>
  </si>
  <si>
    <t>If there are no cards left in the strategy deck during the draw phase that player loses and is out of the game</t>
  </si>
  <si>
    <t>A player can only have 1 admiral card in play on their side of the battlefield</t>
  </si>
  <si>
    <t>When a strategy card has been played and doesn’t stay on the field, then that card gets sent to the junkyard</t>
  </si>
  <si>
    <t>Cards in the Junkyard can't be played unless stated otherwise</t>
  </si>
  <si>
    <t>Crew cards in the stasis pile can't be played unless stated otherwise</t>
  </si>
  <si>
    <t>Crew Cards</t>
  </si>
  <si>
    <t>A Crew Card can have various tap abilities, the standard abilities they get are as follows unless stated otherwise:</t>
  </si>
  <si>
    <t>Crew can tap to provide department resource</t>
  </si>
  <si>
    <t>Crew can tap to use a gun slot on assigned ship</t>
  </si>
  <si>
    <t>Crew can tap to move from one ship to another ship the player owns</t>
  </si>
  <si>
    <t>When a crew card is destroyed send it to the stasis pile</t>
  </si>
  <si>
    <t>A rank 1 crew card can be played for free</t>
  </si>
  <si>
    <t>Crew cards higher than Rank 1 will require at least a sacrifice of a crew card currently in play that you own with a Rank lower than the crew card trying to play</t>
  </si>
  <si>
    <t>Captain and Leuitenant cards cost department resource to play</t>
  </si>
  <si>
    <t>Gun Slots/Attacking Player Ships</t>
  </si>
  <si>
    <t>A crew type card has a 1 to 1 relationship when being tapped to a gun slot. Meaning you can't tap more than 1 crew card type to the same gun slot on the same turn.</t>
  </si>
  <si>
    <t>Some cards might allow a crew card to tap more than one gun slot</t>
  </si>
  <si>
    <t>When crew type card is being used to a gun slot, it will deal damage to the players ship shield, if the players ship shield is at 0 or deactivated then it will deal damage to the players ship hull</t>
  </si>
  <si>
    <t>Taking Damage</t>
  </si>
  <si>
    <t>When a ship takes hull damage, sacrifice either 1 crew member card or ship attachment card from the ship. Only do this once per strategy phase</t>
  </si>
  <si>
    <t>Ship Destroyed</t>
  </si>
  <si>
    <t>Once a players ship hull reaches 0 it is destroyed</t>
  </si>
  <si>
    <t>Once a players ship is destroyed remove the ship card from play</t>
  </si>
  <si>
    <t>All ship upgrades attached to destroyed ship are sent to the junkyard</t>
  </si>
  <si>
    <t>Each ship will have had assigned amount of escape pods. The player owning the destroyed ship may pick to move that amount of crew with their attachments from the destroyed ship to another ship they own as long as there is space left on the ship</t>
  </si>
  <si>
    <t>The rest of the crew and crew attachment cards are sent to stasis and the junkyard</t>
  </si>
  <si>
    <t>Once all of a players ship is destroyed they lose and are out of the game</t>
  </si>
  <si>
    <t>When only 1 player remains in the game they win</t>
  </si>
  <si>
    <t>Game Rules Version 2</t>
  </si>
  <si>
    <t>In this version we have given each player dice to represent each of their chosen departments in their deck</t>
  </si>
  <si>
    <t>By doing this means that players aren't fully reliant on their crew cards for resource</t>
  </si>
  <si>
    <t>Setup</t>
  </si>
  <si>
    <t>Players agree amount of ship points in the game, for example 2000 points</t>
  </si>
  <si>
    <t>Players choose their ships up to the amount of points, with 2000 points player A could have 1 Capital Ship, whereas Player B could have 1 Cruiser and 1 Frigate</t>
  </si>
  <si>
    <t>Note that when picking your ship layout you must have at least 1 ship that can hold a captain</t>
  </si>
  <si>
    <t>Players will have 2 decks each, one being a Strategy card deck and the other being a crew card deck.</t>
  </si>
  <si>
    <t>A strategy deck will consist of 40 cards</t>
  </si>
  <si>
    <t>A crew deck will consist of 30 cards</t>
  </si>
  <si>
    <t>Then players will have d20's (dice with 20 sides) to represent each department used in their decks. For example if Player A has Research and Handling departments in their deck then they will have 2 d20s.</t>
  </si>
  <si>
    <t>There are a total of 5 different departments, Handling, Research, Engineer, Assault and Medic</t>
  </si>
  <si>
    <t>Players will start by shuffling each of their decks, once shuffled their opponent will cut each deck.</t>
  </si>
  <si>
    <t>Below is an example layout of the play area also known as the "Space Zone"</t>
  </si>
  <si>
    <t>The Space Field is where players place their chosen ship cards and play all their cards</t>
  </si>
  <si>
    <t>The Junkyard Zone are where Strategy cards go after they have been played (Note that some Strategy cards can stay on the Ships Zone)</t>
  </si>
  <si>
    <t>The Stasis Zone are where Crew cards go after they have been played and destroyed</t>
  </si>
  <si>
    <t>Player A</t>
  </si>
  <si>
    <t>Space FIeld</t>
  </si>
  <si>
    <t>Junkyard Zone</t>
  </si>
  <si>
    <t>Stasis Zone</t>
  </si>
  <si>
    <t>Department Dice</t>
  </si>
  <si>
    <t>Player B</t>
  </si>
  <si>
    <t>Players will now draw 2 cards from their crew deck and 3 from their strategy deck</t>
  </si>
  <si>
    <t>Each player may choose to have 1 free mulligen, after that if they mulligen anymore times then they reduce the amount of cards they get to keep in their hand by 1 each time. Down to a minimum of 1 strategy card and 1 crew card</t>
  </si>
  <si>
    <t>Now the players will randomly pick which player goes first</t>
  </si>
  <si>
    <t>Once players have setup each of their sides they are ready to play.</t>
  </si>
  <si>
    <t>Game Start</t>
  </si>
  <si>
    <t>There are different phases during each players turns which run in the following order which only the current player does on their turn:</t>
  </si>
  <si>
    <t>Disengage Phase</t>
  </si>
  <si>
    <t>Here you Disengage (Turn any cards back to an upright position) any cards out on the space field unless stated otherwise and can choose to deploy to a different owned ship</t>
  </si>
  <si>
    <t>Resource Allocation Phase</t>
  </si>
  <si>
    <t>Increment 1 of your department dice by 1 (Note you start off at 0 and a department dice goes up to a max of 20 each)</t>
  </si>
  <si>
    <t>Choose to draw from either the strategy deck or crew deck, note in a 1v1 the first player does not draw any cards on their first turn</t>
  </si>
  <si>
    <t>You can start playing any amount of cards as long they meet the card cost, except for tier 1 crew cards as only 1 tier 1 crew card can be played on your turn.</t>
  </si>
  <si>
    <t xml:space="preserve"> Also there can only ever be 1 admiral card on your side of the space field at any one time. Certain cards can also be played during your opponents turn at different phases.</t>
  </si>
  <si>
    <t>To pay for the cost to play cards you will need to either Engage a crew card or use some of your department dice resource by decreasing the department dice. You can use the  combination of crew cards and department dice</t>
  </si>
  <si>
    <t>Note that when using the department dice you don't regain what you had next turn.</t>
  </si>
  <si>
    <t>You can only assign crew cards to a ship if there is a free crew slot available</t>
  </si>
  <si>
    <t>If you have any tier 1,2 or 3 crew members Disengaged they can be used to Engage and assigned to a gun slot and fire at an enemy ship.</t>
  </si>
  <si>
    <t>If for example a ship has 3 gun slots, then only 3 crew cards can be assigned to a gun slot</t>
  </si>
  <si>
    <t>Once you have assigned all targets, the assigned player can react with cards and use other ships to maneuver in front of the targeted ship making them the target (this requires at least 1 tier 1,2 or 3 crew member on that ship to Engage).</t>
  </si>
  <si>
    <t>Damage Phase</t>
  </si>
  <si>
    <t>Calculate all the damage from the battle and reaction phase and remove any destroyed ship cards out of play.</t>
  </si>
  <si>
    <t>When damaging ships players will first have to take out the ships shields before then taking out the ships hull.</t>
  </si>
  <si>
    <t>Once the ships hull reaches 0 at any point it is destroyed</t>
  </si>
  <si>
    <t>All other cards attached to the ship are sent to either Stasis or Junkyard</t>
  </si>
  <si>
    <t xml:space="preserve">If you have the last remaining ship/s in play, you win. </t>
  </si>
  <si>
    <t>Otherwise if you have more cards in your hand than your current max hand size then reduce down to your max hand size.</t>
  </si>
  <si>
    <t>You keep any unspent dice department resource NOT crew card resource</t>
  </si>
  <si>
    <t>Now the turn gets moved to the next player on your left and they start their Disengage phase.</t>
  </si>
  <si>
    <t>Controlled deck is the battlefield conditions which affects the battlefield</t>
  </si>
  <si>
    <t>On the board everyone know you go to sector you get a chance card which for example would increase the amount of service a turn etc</t>
  </si>
  <si>
    <t>But at that sector you have to draw from the control deck</t>
  </si>
  <si>
    <t>There will be a "galaxy map" where each move to a system is a player turn. These turns also count in card battles.</t>
  </si>
  <si>
    <t>For example the turn order is Player 1, Player 2 and then player 3</t>
  </si>
  <si>
    <t>Player 1 decides to use there movement to movement into a system space on galaxy.</t>
  </si>
  <si>
    <t xml:space="preserve">Player 2 starts there turn afterwards and moves in same system on galaxy map to initiate card battle. Both of these players would run the initialise phase of card battle aka draw starting hand. Player 2 would start a turn </t>
  </si>
  <si>
    <t>But now its player 3 turn on galaxy map where they can pick to move into that same system space or move somewhere else. If they join then thay can start battling</t>
  </si>
  <si>
    <t>Afterwards it would thyen go to player 1 to their card battle screen turn</t>
  </si>
  <si>
    <t>Note if a player has a ship not in a system in battle it is not part of the battle meaning they can use that ship to move on the "galaxy map"</t>
  </si>
  <si>
    <t>Card Types</t>
  </si>
  <si>
    <t>Description</t>
  </si>
  <si>
    <t>Mechanics</t>
  </si>
  <si>
    <t>Crew</t>
  </si>
  <si>
    <t>Crew cards are the only way to be able to play various other cards and some other crew cards. This is defined by the cards cost. Some crew cards have other abilities and can be used to attack enemy ships.</t>
  </si>
  <si>
    <t>A crew card can only be played to fill A ships service slot. Only one crew card can be played per turn.</t>
  </si>
  <si>
    <t>On Engage, a crew type card can be used to either provide a given department point used to play other cards or activate card abilities. Amount and Department point/s are defined on the card</t>
  </si>
  <si>
    <t xml:space="preserve">Any crew card can be Engaged and assigned to their ships gun slot and shoot an enemy target ship </t>
  </si>
  <si>
    <t>Crew cards will have a given Rank, Rank 1 can be played for free to a ship. Ranks higher than 1 will require a cost to be played</t>
  </si>
  <si>
    <t>Captain/Leuitenant</t>
  </si>
  <si>
    <t xml:space="preserve">Captain and Leuitenant cards will have their own unique benefits and abilities to their assigned ship. </t>
  </si>
  <si>
    <t>A Captain and Leuitenant card can only be played to fill a Captain or Leuitenant slot. Only one Captain or Leuitenant card can be played per turn. You can't have duplicates in your deck.</t>
  </si>
  <si>
    <t>A captain and leuitenant triggered and payed abilities can only be used for their assigned ship or for ships that can't have a captain or leuitenant</t>
  </si>
  <si>
    <t>Admiral</t>
  </si>
  <si>
    <t>A admiral card is used to provide special abilities and affects to the whole battlefield</t>
  </si>
  <si>
    <t>There can only be one admiral card in play at any one time on your side of the battlefield as long as you can pay their cost</t>
  </si>
  <si>
    <t>Admiral cards can only be played on your turn and you can't have duplicates in your deck</t>
  </si>
  <si>
    <t>Event</t>
  </si>
  <si>
    <t>Event cards are ways for the player to potentially change the tide of battle with either basic card drawing to removing a ships upgrade.</t>
  </si>
  <si>
    <t>You can play as many Research Project cards as long you can pay their cost</t>
  </si>
  <si>
    <t>Can only be played on your turn</t>
  </si>
  <si>
    <t>Ship Upgrade</t>
  </si>
  <si>
    <t>Ship Upgrade cards are used to attach to a target players ship to improve or deteriorate it</t>
  </si>
  <si>
    <t>You can play as manyShip Upgrade cards as long you can pay their cost</t>
  </si>
  <si>
    <t>You can't move a ship upgrade from one ship to another once attached</t>
  </si>
  <si>
    <t>Ship upgrades can be destroyed or temporarily removed from the attached ship by other cards</t>
  </si>
  <si>
    <t>Tactic</t>
  </si>
  <si>
    <t>Tactic cards are used to be played as reactions at any point in the game</t>
  </si>
  <si>
    <t>You can play a many Tactic cards as long as you can pay their cost</t>
  </si>
  <si>
    <t>Tactic cards can be played on either yours or opponents turn</t>
  </si>
  <si>
    <t>On Going Event</t>
  </si>
  <si>
    <t>On Going Event cards are used to apply a effect that happens each turn (either each player turn, each targeted players turn)</t>
  </si>
  <si>
    <t>You can play a many On Going Event cards as long as you can pay their cost</t>
  </si>
  <si>
    <t>Crew Attachment</t>
  </si>
  <si>
    <t>Attach to crew member to add extract abilities</t>
  </si>
  <si>
    <t>You can play a many Crew Attachment cards as long as you can pay their cost</t>
  </si>
  <si>
    <t>Private Mission</t>
  </si>
  <si>
    <t>Played to the field that has a mission only the player who played it can do and gain the rewards for</t>
  </si>
  <si>
    <t>You can play as many Private Mission cards as long as you can pay their cost</t>
  </si>
  <si>
    <t>Once the mission is complete then remove private mission card from field and send to the scrapyard</t>
  </si>
  <si>
    <t>Galaxy Mission</t>
  </si>
  <si>
    <t>Played to the field that has a mission that any player can do and gain the rewards for</t>
  </si>
  <si>
    <t>Dangerous Mission</t>
  </si>
  <si>
    <t>Played to the field that has a mission only the player who played it can do and gain the rewards for, however after a certain amount of turns it will have consequences</t>
  </si>
  <si>
    <t>If the missions runs out of turns the it will activate the consequence affect and then get sent to the scrapyard</t>
  </si>
  <si>
    <t>Ship</t>
  </si>
  <si>
    <t>Each player will have Ships at the start of the game on the space field. The objective of the game is to destroy the opponents ships before they destroy yours.</t>
  </si>
  <si>
    <t>You can have any amount of ships as long as the total points worth is not greater than the agreed play points</t>
  </si>
  <si>
    <t>You must have at least one ship that can hold a Captain</t>
  </si>
  <si>
    <t>To destroy a ship you have to deplete their Hull to 0.</t>
  </si>
  <si>
    <t>You can only hit a ships Hull if its Shield has been depleted to 0 first, unless stated otherwise</t>
  </si>
  <si>
    <t>Detail</t>
  </si>
  <si>
    <t>Department Specific</t>
  </si>
  <si>
    <t>Department Type Overview</t>
  </si>
  <si>
    <t>Piercing Round</t>
  </si>
  <si>
    <t>Deals damage straight to hull from gun slot</t>
  </si>
  <si>
    <t>Engineering</t>
  </si>
  <si>
    <t>Department</t>
  </si>
  <si>
    <t>Corrosion</t>
  </si>
  <si>
    <t>Deals damage straight to hull at the start of target players turn</t>
  </si>
  <si>
    <t>Like to have the most upgraded ships out there. Using ship upgrades and advance technology to bypass the enemy ships shields and keep their ship under repair. They aren't one for early game but late game they can be tough to overcome</t>
  </si>
  <si>
    <t>Swarm</t>
  </si>
  <si>
    <t>Create X pod ship/s with 100 hull and can tap to deal 100 damage to enemy ship</t>
  </si>
  <si>
    <t>One to keep the enemy under pressure invading their ships during the early game. They will call for help from their swarm and become burtal in the early game, however during the late game they fall off.</t>
  </si>
  <si>
    <t>Infection</t>
  </si>
  <si>
    <t>Target Enemy ship Sacrifice 1 crew at the start of their Disengage Phase</t>
  </si>
  <si>
    <t>Medic</t>
  </si>
  <si>
    <t>Keeping the enemy crew down to a minimum and able to revive their own. They will use disease to their advantage against enemy ships and stasis. Known for having the most "unique" crew with all their upgrades they have a lot up their sleeves. They strive in the mid game</t>
  </si>
  <si>
    <t>Engage</t>
  </si>
  <si>
    <t>To Engage a card the player must turn the card 90 degrees. Once this is done the card can't engage again until they are turned back facing the correct way. This can happen during the Disengage phase</t>
  </si>
  <si>
    <t>Being most knowledgable to get the cards they want when they need it using it to deal a lot of damage with cosmic cards. They are known for their mid/late game</t>
  </si>
  <si>
    <t>Disengage</t>
  </si>
  <si>
    <t>Turn card back to upright position</t>
  </si>
  <si>
    <t>The tricksters of departments, maneuvering out the way of potential threat and normally played with a widespread of ships. Their formation and tactics are like no other when flying their ships on the space field. They strive in the early/mid game but fall off in the late game</t>
  </si>
  <si>
    <t>Sacrifice</t>
  </si>
  <si>
    <t>Send target crew to Stasis</t>
  </si>
  <si>
    <t>Evasion</t>
  </si>
  <si>
    <t>Evade attack when targetted</t>
  </si>
  <si>
    <t>Formation</t>
  </si>
  <si>
    <t>When multiple of your ships attack</t>
  </si>
  <si>
    <t>Repair</t>
  </si>
  <si>
    <t>Repair ship/s by X amount</t>
  </si>
  <si>
    <t>Invade</t>
  </si>
  <si>
    <t>Disable enemy crew card/s on target ship/s</t>
  </si>
  <si>
    <t>Revive</t>
  </si>
  <si>
    <t>Return target crew card from stasis and assign to target ship</t>
  </si>
  <si>
    <t>Study</t>
  </si>
  <si>
    <t>View cards on top of your Strategy deck, pick X amount to place in your hand and put the rest in any order on top of your strategy deck</t>
  </si>
  <si>
    <t>Disease spread</t>
  </si>
  <si>
    <t xml:space="preserve">Deal damage to enemy ship based off cards in their stasis. </t>
  </si>
  <si>
    <t>Cosmic Knowledge</t>
  </si>
  <si>
    <t>Deal damage to enemy ship based off Event and on Going Event cards played this turn</t>
  </si>
  <si>
    <t>Counter Attack</t>
  </si>
  <si>
    <t>For each attack evaded this turn deal X amount of damage to target ship</t>
  </si>
  <si>
    <t>Mutiny</t>
  </si>
  <si>
    <t>If you control all crew slots on enemy ship for X amount of turns then you take control of that ship.</t>
  </si>
  <si>
    <t>Powering Up</t>
  </si>
  <si>
    <t>Target ship gains X amount of shield at start of your Disengage Phase</t>
  </si>
  <si>
    <t>Discard</t>
  </si>
  <si>
    <t>Send card/s from your hand to the Junkyard/Stasis</t>
  </si>
  <si>
    <t>Special features</t>
  </si>
  <si>
    <t>Human</t>
  </si>
  <si>
    <t>Humans have had their fair share off space wars against their own which has also meant for eventual peace across their systems. Since then most are very open to various species in their crew but some still hold strength and prefer to stick to their own.</t>
  </si>
  <si>
    <t>Robot</t>
  </si>
  <si>
    <t>A lot of robots respect and work for the species that created them and are one of the most advanced in thei ship understanding. But there are some who left and rebelled against their masters, looking to convert any none Robots species as their own</t>
  </si>
  <si>
    <t>Engage: Repair ship by 100</t>
  </si>
  <si>
    <t>Cyborg</t>
  </si>
  <si>
    <t>Some species have needed to under go so much operation that they are more machine than what they once were. These have become known as cyborgs and are known for being very multitalented in departments.</t>
  </si>
  <si>
    <t>Engage: Get +1 to one of two different departments. For example "Enters Engaged or attached ship takes 200 damage
Engage: Medic or Handling + 1"</t>
  </si>
  <si>
    <t>Krileon</t>
  </si>
  <si>
    <t>These huge crab like species are known for their size and brute strength. Having huge claws they normally frighten most at first sight, however having as an ally can really change the tides of a battle.</t>
  </si>
  <si>
    <t>Engage: Engage 1 enemy crew member until start of your next turn</t>
  </si>
  <si>
    <t>Fleet Option</t>
  </si>
  <si>
    <t>Ship Points</t>
  </si>
  <si>
    <t>Crew Points</t>
  </si>
  <si>
    <t>No. of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</si>
</sst>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0">
    <font>
      <sz val="11"/>
      <color theme="1"/>
      <name val="Calibri"/>
      <family val="2"/>
      <scheme val="minor"/>
    </font>
    <font>
      <b/>
      <sz val="11"/>
      <color theme="0"/>
      <name val="Calibri"/>
      <family val="2"/>
      <scheme val="minor"/>
    </font>
    <font>
      <sz val="11"/>
      <color rgb="FFFF0000"/>
      <name val="Calibri"/>
      <family val="2"/>
      <scheme val="minor"/>
    </font>
    <font>
      <b/>
      <sz val="11"/>
      <color theme="1"/>
      <name val="Calibri"/>
      <family val="2"/>
      <scheme val="minor"/>
    </font>
    <font>
      <sz val="11"/>
      <name val="Calibri"/>
      <family val="2"/>
      <scheme val="minor"/>
    </font>
    <font>
      <sz val="11"/>
      <color rgb="FF000000"/>
      <name val="Calibri"/>
      <family val="2"/>
    </font>
    <font>
      <sz val="11"/>
      <color theme="0"/>
      <name val="Calibri"/>
      <family val="2"/>
      <scheme val="minor"/>
    </font>
    <font>
      <sz val="11"/>
      <color rgb="FF444444"/>
      <name val="Calibri"/>
      <family val="2"/>
      <charset val="1"/>
    </font>
    <font>
      <b/>
      <sz val="18"/>
      <color theme="1"/>
      <name val="Calibri"/>
      <family val="2"/>
      <scheme val="minor"/>
    </font>
    <font>
      <b/>
      <sz val="14"/>
      <color theme="1"/>
      <name val="Calibri"/>
      <family val="2"/>
      <scheme val="minor"/>
    </font>
  </fonts>
  <fills count="10">
    <fill>
      <patternFill patternType="none"/>
    </fill>
    <fill>
      <patternFill patternType="gray125"/>
    </fill>
    <fill>
      <patternFill patternType="solid">
        <fgColor rgb="FFFFFF00"/>
        <bgColor indexed="64"/>
      </patternFill>
    </fill>
    <fill>
      <patternFill patternType="solid">
        <fgColor theme="1"/>
        <bgColor indexed="64"/>
      </patternFill>
    </fill>
    <fill>
      <patternFill patternType="solid">
        <fgColor rgb="FF00B050"/>
        <bgColor indexed="64"/>
      </patternFill>
    </fill>
    <fill>
      <patternFill patternType="solid">
        <fgColor theme="1"/>
        <bgColor theme="1"/>
      </patternFill>
    </fill>
    <fill>
      <patternFill patternType="solid">
        <fgColor theme="0" tint="-0.14999847407452621"/>
        <bgColor theme="0" tint="-0.14999847407452621"/>
      </patternFill>
    </fill>
    <fill>
      <patternFill patternType="solid">
        <fgColor rgb="FFFF0000"/>
        <bgColor indexed="64"/>
      </patternFill>
    </fill>
    <fill>
      <patternFill patternType="solid">
        <fgColor rgb="FF0070C0"/>
        <bgColor indexed="64"/>
      </patternFill>
    </fill>
    <fill>
      <patternFill patternType="solid">
        <fgColor theme="2"/>
        <bgColor indexed="64"/>
      </patternFill>
    </fill>
  </fills>
  <borders count="27">
    <border>
      <left/>
      <right/>
      <top/>
      <bottom/>
      <diagonal/>
    </border>
    <border>
      <left/>
      <right/>
      <top style="thin">
        <color theme="4" tint="0.39997558519241921"/>
      </top>
      <bottom style="thin">
        <color theme="4" tint="0.39997558519241921"/>
      </bottom>
      <diagonal/>
    </border>
    <border>
      <left/>
      <right/>
      <top/>
      <bottom style="thin">
        <color theme="4" tint="0.39997558519241921"/>
      </bottom>
      <diagonal/>
    </border>
    <border>
      <left style="thin">
        <color theme="0"/>
      </left>
      <right style="thin">
        <color theme="0"/>
      </right>
      <top style="thin">
        <color theme="4" tint="0.39997558519241921"/>
      </top>
      <bottom/>
      <diagonal/>
    </border>
    <border>
      <left/>
      <right/>
      <top style="thin">
        <color theme="4" tint="0.39997558519241921"/>
      </top>
      <bottom/>
      <diagonal/>
    </border>
    <border>
      <left style="thin">
        <color theme="1"/>
      </left>
      <right/>
      <top style="thin">
        <color theme="1"/>
      </top>
      <bottom style="thin">
        <color theme="1"/>
      </bottom>
      <diagonal/>
    </border>
    <border>
      <left/>
      <right style="thin">
        <color theme="1"/>
      </right>
      <top style="thin">
        <color theme="1"/>
      </top>
      <bottom style="thin">
        <color theme="1"/>
      </bottom>
      <diagonal/>
    </border>
    <border>
      <left style="thin">
        <color theme="4" tint="0.39997558519241921"/>
      </left>
      <right/>
      <top style="thin">
        <color theme="4" tint="0.39997558519241921"/>
      </top>
      <bottom style="thin">
        <color theme="4" tint="0.39997558519241921"/>
      </bottom>
      <diagonal/>
    </border>
    <border>
      <left style="thin">
        <color theme="4" tint="0.39997558519241921"/>
      </left>
      <right/>
      <top style="thin">
        <color theme="4" tint="0.39997558519241921"/>
      </top>
      <bottom/>
      <diagonal/>
    </border>
    <border>
      <left style="thin">
        <color theme="4" tint="0.39997558519241921"/>
      </left>
      <right/>
      <top style="thin">
        <color theme="1"/>
      </top>
      <bottom style="thin">
        <color theme="4" tint="0.39997558519241921"/>
      </bottom>
      <diagonal/>
    </border>
    <border>
      <left/>
      <right style="thin">
        <color theme="1"/>
      </right>
      <top style="thin">
        <color theme="4" tint="0.39997558519241921"/>
      </top>
      <bottom style="thin">
        <color theme="4" tint="0.39997558519241921"/>
      </bottom>
      <diagonal/>
    </border>
    <border>
      <left/>
      <right style="thin">
        <color theme="1"/>
      </right>
      <top style="thin">
        <color theme="1"/>
      </top>
      <bottom style="thin">
        <color theme="4" tint="0.39997558519241921"/>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top style="thin">
        <color theme="1"/>
      </top>
      <bottom style="thin">
        <color theme="4" tint="0.39997558519241921"/>
      </bottom>
      <diagonal/>
    </border>
    <border>
      <left style="thin">
        <color theme="1"/>
      </left>
      <right style="thin">
        <color theme="1"/>
      </right>
      <top style="medium">
        <color theme="1"/>
      </top>
      <bottom style="medium">
        <color theme="1"/>
      </bottom>
      <diagonal/>
    </border>
    <border>
      <left style="thin">
        <color theme="1"/>
      </left>
      <right style="thin">
        <color theme="1"/>
      </right>
      <top style="thin">
        <color theme="1"/>
      </top>
      <bottom style="thin">
        <color theme="1"/>
      </bottom>
      <diagonal/>
    </border>
    <border>
      <left/>
      <right/>
      <top/>
      <bottom style="thin">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s>
  <cellStyleXfs count="1">
    <xf numFmtId="0" fontId="0" fillId="0" borderId="0"/>
  </cellStyleXfs>
  <cellXfs count="82">
    <xf numFmtId="0" fontId="0" fillId="0" borderId="0" xfId="0"/>
    <xf numFmtId="0" fontId="0" fillId="0" borderId="0" xfId="0" applyAlignment="1">
      <alignment horizontal="center"/>
    </xf>
    <xf numFmtId="0" fontId="0" fillId="2" borderId="0" xfId="0" applyFill="1"/>
    <xf numFmtId="0" fontId="3" fillId="0" borderId="0" xfId="0" applyFont="1"/>
    <xf numFmtId="0" fontId="0" fillId="3" borderId="0" xfId="0" applyFill="1"/>
    <xf numFmtId="0" fontId="0" fillId="3" borderId="0" xfId="0" applyFill="1" applyAlignment="1">
      <alignment horizontal="center"/>
    </xf>
    <xf numFmtId="0" fontId="0" fillId="4" borderId="0" xfId="0" applyFill="1"/>
    <xf numFmtId="0" fontId="3" fillId="0" borderId="0" xfId="0" applyFont="1" applyAlignment="1">
      <alignment horizontal="center"/>
    </xf>
    <xf numFmtId="0" fontId="0" fillId="0" borderId="0" xfId="0" applyAlignment="1">
      <alignment horizontal="left"/>
    </xf>
    <xf numFmtId="0" fontId="1" fillId="0" borderId="2" xfId="0" applyFont="1" applyBorder="1"/>
    <xf numFmtId="0" fontId="0" fillId="0" borderId="2" xfId="0" applyBorder="1"/>
    <xf numFmtId="0" fontId="0" fillId="0" borderId="2" xfId="0"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1" fillId="0" borderId="0" xfId="0" applyFont="1" applyAlignment="1">
      <alignment horizontal="center"/>
    </xf>
    <xf numFmtId="0" fontId="0" fillId="0" borderId="1" xfId="0" applyBorder="1"/>
    <xf numFmtId="0" fontId="0" fillId="0" borderId="1" xfId="0" applyBorder="1" applyAlignment="1">
      <alignment horizontal="center"/>
    </xf>
    <xf numFmtId="0" fontId="4" fillId="0" borderId="0" xfId="0" applyFont="1"/>
    <xf numFmtId="0" fontId="4" fillId="0" borderId="0" xfId="0" applyFont="1" applyAlignment="1">
      <alignment horizontal="center"/>
    </xf>
    <xf numFmtId="0" fontId="1" fillId="5" borderId="5" xfId="0" applyFont="1" applyFill="1" applyBorder="1" applyAlignment="1">
      <alignment horizontal="center"/>
    </xf>
    <xf numFmtId="0" fontId="0" fillId="6" borderId="6" xfId="0" applyFill="1" applyBorder="1" applyAlignment="1">
      <alignment horizontal="center" wrapText="1"/>
    </xf>
    <xf numFmtId="0" fontId="1" fillId="5" borderId="7" xfId="0" applyFont="1" applyFill="1" applyBorder="1"/>
    <xf numFmtId="0" fontId="0" fillId="6" borderId="9" xfId="0" applyFill="1" applyBorder="1"/>
    <xf numFmtId="0" fontId="0" fillId="0" borderId="9" xfId="0" applyBorder="1"/>
    <xf numFmtId="0" fontId="1" fillId="5" borderId="10" xfId="0" applyFont="1" applyFill="1" applyBorder="1"/>
    <xf numFmtId="0" fontId="0" fillId="6" borderId="10" xfId="0" applyFill="1" applyBorder="1" applyAlignment="1">
      <alignment horizontal="center"/>
    </xf>
    <xf numFmtId="0" fontId="0" fillId="0" borderId="11" xfId="0" applyBorder="1" applyAlignment="1">
      <alignment horizontal="center"/>
    </xf>
    <xf numFmtId="0" fontId="0" fillId="6" borderId="11" xfId="0" applyFill="1" applyBorder="1" applyAlignment="1">
      <alignment horizontal="center"/>
    </xf>
    <xf numFmtId="0" fontId="0" fillId="0" borderId="14" xfId="0" applyBorder="1" applyAlignment="1">
      <alignment wrapText="1"/>
    </xf>
    <xf numFmtId="0" fontId="5" fillId="0" borderId="16" xfId="0" applyFont="1" applyBorder="1" applyAlignment="1">
      <alignment wrapText="1"/>
    </xf>
    <xf numFmtId="0" fontId="0" fillId="0" borderId="16" xfId="0" applyBorder="1" applyAlignment="1">
      <alignment wrapText="1"/>
    </xf>
    <xf numFmtId="0" fontId="0" fillId="0" borderId="19" xfId="0" applyBorder="1" applyAlignment="1">
      <alignment wrapText="1"/>
    </xf>
    <xf numFmtId="0" fontId="1" fillId="5" borderId="8" xfId="0" applyFont="1" applyFill="1" applyBorder="1"/>
    <xf numFmtId="0" fontId="1" fillId="5" borderId="1" xfId="0" applyFont="1" applyFill="1" applyBorder="1"/>
    <xf numFmtId="0" fontId="0" fillId="6" borderId="20" xfId="0" applyFill="1" applyBorder="1" applyAlignment="1">
      <alignment horizontal="center"/>
    </xf>
    <xf numFmtId="0" fontId="0" fillId="0" borderId="20" xfId="0" applyBorder="1" applyAlignment="1">
      <alignment horizontal="center"/>
    </xf>
    <xf numFmtId="0" fontId="1" fillId="5" borderId="21" xfId="0" applyFont="1" applyFill="1" applyBorder="1" applyAlignment="1">
      <alignment horizontal="left"/>
    </xf>
    <xf numFmtId="0" fontId="1" fillId="5" borderId="21" xfId="0" applyFont="1" applyFill="1" applyBorder="1" applyAlignment="1">
      <alignment horizontal="center"/>
    </xf>
    <xf numFmtId="0" fontId="0" fillId="6" borderId="22" xfId="0" applyFill="1" applyBorder="1"/>
    <xf numFmtId="0" fontId="0" fillId="6" borderId="22" xfId="0" applyFill="1" applyBorder="1" applyAlignment="1">
      <alignment horizontal="center"/>
    </xf>
    <xf numFmtId="0" fontId="0" fillId="0" borderId="22" xfId="0" applyBorder="1"/>
    <xf numFmtId="0" fontId="0" fillId="0" borderId="22" xfId="0" applyBorder="1" applyAlignment="1">
      <alignment horizontal="center"/>
    </xf>
    <xf numFmtId="0" fontId="0" fillId="7" borderId="0" xfId="0" applyFill="1"/>
    <xf numFmtId="0" fontId="0" fillId="8" borderId="0" xfId="0" applyFill="1"/>
    <xf numFmtId="0" fontId="0" fillId="4" borderId="9" xfId="0" applyFill="1" applyBorder="1"/>
    <xf numFmtId="0" fontId="6" fillId="3" borderId="0" xfId="0" applyFont="1" applyFill="1"/>
    <xf numFmtId="0" fontId="7" fillId="0" borderId="0" xfId="0" quotePrefix="1" applyFont="1"/>
    <xf numFmtId="0" fontId="8" fillId="0" borderId="0" xfId="0" applyFont="1"/>
    <xf numFmtId="0" fontId="0" fillId="9" borderId="0" xfId="0" applyFill="1"/>
    <xf numFmtId="0" fontId="0" fillId="9" borderId="23" xfId="0" applyFill="1" applyBorder="1"/>
    <xf numFmtId="0" fontId="0" fillId="9" borderId="24" xfId="0" applyFill="1" applyBorder="1"/>
    <xf numFmtId="0" fontId="9" fillId="0" borderId="0" xfId="0" applyFont="1"/>
    <xf numFmtId="0" fontId="7" fillId="0" borderId="0" xfId="0" applyFont="1"/>
    <xf numFmtId="0" fontId="0" fillId="0" borderId="0" xfId="0" applyAlignment="1">
      <alignment wrapText="1"/>
    </xf>
    <xf numFmtId="0" fontId="0" fillId="0" borderId="0" xfId="0" applyAlignment="1">
      <alignment horizontal="center" vertical="center" wrapText="1"/>
    </xf>
    <xf numFmtId="0" fontId="0" fillId="0" borderId="0" xfId="0" applyAlignment="1">
      <alignment horizontal="center"/>
    </xf>
    <xf numFmtId="0" fontId="0" fillId="9" borderId="12" xfId="0" applyFill="1" applyBorder="1" applyAlignment="1">
      <alignment horizontal="center" vertical="center"/>
    </xf>
    <xf numFmtId="0" fontId="0" fillId="9" borderId="13" xfId="0" applyFill="1" applyBorder="1" applyAlignment="1">
      <alignment horizontal="center" vertical="center"/>
    </xf>
    <xf numFmtId="0" fontId="0" fillId="9" borderId="14" xfId="0" applyFill="1" applyBorder="1" applyAlignment="1">
      <alignment horizontal="center" vertical="center"/>
    </xf>
    <xf numFmtId="0" fontId="0" fillId="9" borderId="15" xfId="0" applyFill="1" applyBorder="1" applyAlignment="1">
      <alignment horizontal="center" vertical="center"/>
    </xf>
    <xf numFmtId="0" fontId="0" fillId="9" borderId="0" xfId="0" applyFill="1" applyAlignment="1">
      <alignment horizontal="center" vertical="center"/>
    </xf>
    <xf numFmtId="0" fontId="0" fillId="9" borderId="16" xfId="0" applyFill="1" applyBorder="1" applyAlignment="1">
      <alignment horizontal="center" vertical="center"/>
    </xf>
    <xf numFmtId="0" fontId="0" fillId="9" borderId="17" xfId="0" applyFill="1" applyBorder="1" applyAlignment="1">
      <alignment horizontal="center" vertical="center"/>
    </xf>
    <xf numFmtId="0" fontId="0" fillId="9" borderId="18" xfId="0" applyFill="1" applyBorder="1" applyAlignment="1">
      <alignment horizontal="center" vertical="center"/>
    </xf>
    <xf numFmtId="0" fontId="0" fillId="9" borderId="19" xfId="0" applyFill="1" applyBorder="1" applyAlignment="1">
      <alignment horizontal="center" vertical="center"/>
    </xf>
    <xf numFmtId="0" fontId="0" fillId="0" borderId="13" xfId="0" applyBorder="1" applyAlignment="1">
      <alignment horizontal="center" vertical="center" wrapText="1"/>
    </xf>
    <xf numFmtId="0" fontId="0" fillId="0" borderId="0" xfId="0" applyAlignment="1">
      <alignment horizontal="center" vertical="center" wrapText="1"/>
    </xf>
    <xf numFmtId="0" fontId="0" fillId="0" borderId="12" xfId="0" applyBorder="1" applyAlignment="1">
      <alignment horizontal="center" vertical="center"/>
    </xf>
    <xf numFmtId="0" fontId="0" fillId="0" borderId="15" xfId="0" applyBorder="1" applyAlignment="1">
      <alignment horizontal="center" vertical="center"/>
    </xf>
    <xf numFmtId="0" fontId="0" fillId="0" borderId="18" xfId="0" applyBorder="1" applyAlignment="1">
      <alignment horizontal="center" vertical="center" wrapText="1"/>
    </xf>
    <xf numFmtId="0" fontId="0" fillId="0" borderId="17" xfId="0" applyBorder="1" applyAlignment="1">
      <alignment horizontal="center" vertical="center"/>
    </xf>
    <xf numFmtId="0" fontId="0" fillId="0" borderId="12" xfId="0" applyBorder="1" applyAlignment="1">
      <alignment horizontal="center" vertical="center" wrapText="1"/>
    </xf>
    <xf numFmtId="0" fontId="0" fillId="0" borderId="15" xfId="0" applyBorder="1" applyAlignment="1">
      <alignment horizontal="center" vertical="center" wrapText="1"/>
    </xf>
    <xf numFmtId="0" fontId="0" fillId="0" borderId="17" xfId="0" applyBorder="1" applyAlignment="1">
      <alignment horizontal="center" vertical="center" wrapText="1"/>
    </xf>
    <xf numFmtId="0" fontId="0" fillId="0" borderId="0" xfId="0" applyAlignment="1">
      <alignment horizontal="center" vertical="center"/>
    </xf>
    <xf numFmtId="0" fontId="0" fillId="0" borderId="0" xfId="0" applyBorder="1"/>
    <xf numFmtId="0" fontId="0" fillId="0" borderId="0" xfId="0" applyBorder="1" applyAlignment="1">
      <alignment horizontal="center" vertical="center" wrapText="1"/>
    </xf>
    <xf numFmtId="0" fontId="0" fillId="0" borderId="0" xfId="0" applyBorder="1" applyAlignment="1">
      <alignment wrapText="1"/>
    </xf>
    <xf numFmtId="0" fontId="3" fillId="0" borderId="25" xfId="0" applyFont="1" applyBorder="1"/>
    <xf numFmtId="0" fontId="3" fillId="0" borderId="26" xfId="0" applyFont="1" applyBorder="1"/>
    <xf numFmtId="0" fontId="3" fillId="2" borderId="0" xfId="0" applyFont="1" applyFill="1"/>
    <xf numFmtId="0" fontId="0" fillId="2" borderId="0" xfId="0" applyFill="1" applyAlignment="1">
      <alignment wrapText="1"/>
    </xf>
  </cellXfs>
  <cellStyles count="1">
    <cellStyle name="Normal" xfId="0" builtinId="0"/>
  </cellStyles>
  <dxfs count="144">
    <dxf>
      <alignment horizontal="general" vertical="bottom" textRotation="0" wrapText="1" indent="0" justifyLastLine="0" shrinkToFit="0" readingOrder="0"/>
    </dxf>
    <dxf>
      <border>
        <bottom style="medium">
          <color rgb="FF000000"/>
        </bottom>
      </border>
    </dxf>
    <dxf>
      <border outline="0">
        <left style="medium">
          <color rgb="FF000000"/>
        </left>
        <right style="medium">
          <color rgb="FF000000"/>
        </right>
        <top style="medium">
          <color rgb="FF000000"/>
        </top>
        <bottom style="medium">
          <color rgb="FF000000"/>
        </bottom>
      </border>
    </dxf>
    <dxf>
      <font>
        <b/>
      </font>
    </dxf>
    <dxf>
      <fill>
        <patternFill patternType="none">
          <bgColor indexed="65"/>
        </patternFill>
      </fill>
      <alignment horizontal="center" vertical="bottom" textRotation="0" wrapText="0" relative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bgColor indexed="65"/>
        </patternFill>
      </fill>
      <alignment horizontal="center" vertical="bottom" textRotation="0" wrapText="0" relative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bgColor indexed="65"/>
        </patternFill>
      </fill>
      <alignment horizontal="center" vertical="bottom" textRotation="0" wrapText="0" relative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bgColor indexed="65"/>
        </patternFill>
      </fill>
      <alignment horizontal="center" vertical="bottom" textRotation="0" wrapText="0" relative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bgColor indexed="65"/>
        </patternFill>
      </fill>
      <alignment horizontal="center" vertical="bottom" textRotation="0" wrapText="0" relative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bgColor indexed="65"/>
        </patternFill>
      </fill>
      <alignment horizontal="center" vertical="bottom" textRotation="0" wrapText="0" relative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bgColor auto="1"/>
        </patternFill>
      </fill>
    </dxf>
    <dxf>
      <fill>
        <patternFill patternType="none">
          <fgColor indexed="64"/>
          <bgColor indexed="65"/>
        </patternFill>
      </fill>
    </dxf>
    <dxf>
      <fill>
        <patternFill patternType="none">
          <bgColor indexed="65"/>
        </patternFill>
      </fill>
      <alignment horizontal="center" vertical="bottom" textRotation="0" wrapText="0" relativeIndent="0" justifyLastLine="0" shrinkToFit="0" readingOrder="0"/>
      <border diagonalUp="0" diagonalDown="0" outline="0"/>
    </dxf>
    <dxf>
      <font>
        <b/>
        <i val="0"/>
        <strike val="0"/>
        <condense val="0"/>
        <extend val="0"/>
        <outline val="0"/>
        <shadow val="0"/>
        <u val="none"/>
        <vertAlign val="baseline"/>
        <sz val="11"/>
        <color theme="0"/>
        <name val="Calibri"/>
        <scheme val="minor"/>
      </font>
      <fill>
        <patternFill patternType="none">
          <fgColor theme="8"/>
          <bgColor indexed="65"/>
        </patternFill>
      </fill>
      <alignment horizontal="center" vertical="bottom" textRotation="0" wrapText="0" relativeIndent="0" justifyLastLine="0" shrinkToFit="0" readingOrder="0"/>
      <border diagonalUp="0" diagonalDown="0" outline="0">
        <left style="thin">
          <color theme="0"/>
        </left>
        <right style="thin">
          <color theme="0"/>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bottom" textRotation="0" wrapText="0" relativeIndent="0" justifyLastLine="0" shrinkToFit="0" readingOrder="0"/>
      <border diagonalUp="0" diagonalDown="0" outline="0">
        <left/>
        <right/>
        <top/>
        <bottom style="thin">
          <color theme="4" tint="0.39997558519241921"/>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border diagonalUp="0" diagonalDown="0" outline="0">
        <left/>
        <right/>
        <top/>
        <bottom style="thin">
          <color theme="4" tint="0.39997558519241921"/>
        </bottom>
      </border>
    </dxf>
    <dxf>
      <border outline="0">
        <bottom style="thin">
          <color theme="4" tint="0.39997558519241921"/>
        </bottom>
      </border>
    </dxf>
    <dxf>
      <border outline="0">
        <left style="thin">
          <color theme="4" tint="0.39997558519241921"/>
        </left>
        <top style="thin">
          <color theme="4" tint="0.39997558519241921"/>
        </top>
        <bottom style="thin">
          <color theme="4" tint="0.39997558519241921"/>
        </bottom>
      </border>
    </dxf>
    <dxf>
      <fill>
        <patternFill patternType="none">
          <fgColor indexed="64"/>
          <bgColor indexed="65"/>
        </patternFill>
      </fill>
    </dxf>
    <dxf>
      <font>
        <b/>
        <i val="0"/>
        <strike val="0"/>
        <condense val="0"/>
        <extend val="0"/>
        <outline val="0"/>
        <shadow val="0"/>
        <u val="none"/>
        <vertAlign val="baseline"/>
        <sz val="11"/>
        <color theme="0"/>
        <name val="Calibri"/>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center" vertical="bottom" textRotation="0" wrapText="0" relativeIndent="0" justifyLastLine="0" shrinkToFit="0" readingOrder="0"/>
      <border diagonalUp="0" diagonalDown="0" outline="0">
        <left/>
        <right/>
        <top/>
        <bottom style="thin">
          <color theme="4" tint="0.39997558519241921"/>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bottom" textRotation="0" wrapText="0" relativeIndent="0" justifyLastLine="0" shrinkToFit="0" readingOrder="0"/>
      <border diagonalUp="0" diagonalDown="0" outline="0">
        <left/>
        <right/>
        <top/>
        <bottom style="thin">
          <color theme="4" tint="0.39997558519241921"/>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bottom" textRotation="0" wrapText="0" relativeIndent="0" justifyLastLine="0" shrinkToFit="0" readingOrder="0"/>
      <border diagonalUp="0" diagonalDown="0" outline="0">
        <left/>
        <right/>
        <top/>
        <bottom style="thin">
          <color theme="4" tint="0.39997558519241921"/>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bottom" textRotation="0" wrapText="0" relativeIndent="0" justifyLastLine="0" shrinkToFit="0" readingOrder="0"/>
      <border diagonalUp="0" diagonalDown="0" outline="0">
        <left/>
        <right/>
        <top/>
        <bottom style="thin">
          <color theme="4" tint="0.39997558519241921"/>
        </bottom>
      </border>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center" vertical="bottom" textRotation="0" wrapText="0" relativeIndent="0" justifyLastLine="0" shrinkToFit="0" readingOrder="0"/>
      <border diagonalUp="0" diagonalDown="0" outline="0">
        <left/>
        <right/>
        <top/>
        <bottom style="thin">
          <color theme="4" tint="0.39997558519241921"/>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bottom" textRotation="0" wrapText="0" relativeIndent="0" justifyLastLine="0" shrinkToFit="0" readingOrder="0"/>
      <border diagonalUp="0" diagonalDown="0" outline="0">
        <left/>
        <right/>
        <top/>
        <bottom style="thin">
          <color theme="4" tint="0.39997558519241921"/>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bottom" textRotation="0" wrapText="0" relativeIndent="0" justifyLastLine="0" shrinkToFit="0" readingOrder="0"/>
      <border diagonalUp="0" diagonalDown="0" outline="0">
        <left/>
        <right/>
        <top/>
        <bottom style="thin">
          <color theme="4" tint="0.39997558519241921"/>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bottom" textRotation="0" wrapText="0" relativeIndent="0" justifyLastLine="0" shrinkToFit="0" readingOrder="0"/>
      <border diagonalUp="0" diagonalDown="0" outline="0">
        <left/>
        <right/>
        <top/>
        <bottom style="thin">
          <color theme="4" tint="0.39997558519241921"/>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border diagonalUp="0" diagonalDown="0" outline="0">
        <left/>
        <right/>
        <top/>
        <bottom style="thin">
          <color theme="4" tint="0.39997558519241921"/>
        </bottom>
      </border>
    </dxf>
    <dxf>
      <border outline="0">
        <bottom style="thin">
          <color theme="4" tint="0.39997558519241921"/>
        </bottom>
      </border>
    </dxf>
    <dxf>
      <border outline="0">
        <left style="thin">
          <color theme="4" tint="0.39997558519241921"/>
        </lef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bottom" textRotation="0" wrapText="0" relativeIndent="0" justifyLastLine="0" shrinkToFit="0" readingOrder="0"/>
    </dxf>
    <dxf>
      <font>
        <b/>
        <i val="0"/>
        <strike val="0"/>
        <condense val="0"/>
        <extend val="0"/>
        <outline val="0"/>
        <shadow val="0"/>
        <u val="none"/>
        <vertAlign val="baseline"/>
        <sz val="11"/>
        <color theme="0"/>
        <name val="Calibri"/>
        <scheme val="minor"/>
      </font>
      <fill>
        <patternFill patternType="none">
          <fgColor indexed="64"/>
          <bgColor indexed="65"/>
        </patternFill>
      </fill>
    </dxf>
    <dxf>
      <alignment horizontal="center" vertical="bottom" textRotation="0" wrapText="0" relativeIndent="0" justifyLastLine="0" shrinkToFit="0" readingOrder="0"/>
      <border diagonalUp="0" diagonalDown="0" outline="0">
        <left/>
        <right/>
        <top/>
        <bottom/>
      </border>
    </dxf>
    <dxf>
      <alignment horizontal="center" vertical="bottom" textRotation="0" wrapText="0" relativeIndent="0" justifyLastLine="0" shrinkToFit="0" readingOrder="0"/>
      <border diagonalUp="0" diagonalDown="0" outline="0">
        <left/>
        <right/>
        <top/>
        <bottom/>
      </border>
    </dxf>
    <dxf>
      <alignment horizontal="center" vertical="bottom" textRotation="0" wrapText="0" relativeIndent="0" justifyLastLine="0" shrinkToFit="0" readingOrder="0"/>
      <border diagonalUp="0" diagonalDown="0" outline="0">
        <left/>
        <right/>
        <top/>
        <bottom/>
      </border>
    </dxf>
    <dxf>
      <alignment horizontal="center" vertical="bottom" textRotation="0" wrapText="0" indent="0" justifyLastLine="0" shrinkToFit="0" readingOrder="0"/>
    </dxf>
    <dxf>
      <alignment horizontal="center" vertical="bottom" textRotation="0" wrapText="0" relativeIndent="0" justifyLastLine="0" shrinkToFit="0" readingOrder="0"/>
      <border diagonalUp="0" diagonalDown="0" outline="0">
        <left/>
        <right/>
        <top/>
        <bottom/>
      </border>
    </dxf>
    <dxf>
      <alignment horizontal="center" vertical="bottom" textRotation="0" wrapText="0" indent="0" justifyLastLine="0" shrinkToFit="0" readingOrder="0"/>
    </dxf>
    <dxf>
      <alignment horizontal="center" vertical="bottom" textRotation="0" wrapText="0" relativeIndent="0" justifyLastLine="0" shrinkToFit="0" readingOrder="0"/>
      <border diagonalUp="0" diagonalDown="0" outline="0">
        <left/>
        <right/>
        <top/>
        <bottom/>
      </border>
    </dxf>
    <dxf>
      <numFmt numFmtId="0" formatCode="General"/>
      <alignment horizontal="center" vertical="bottom" textRotation="0" wrapText="0" indent="0" justifyLastLine="0" shrinkToFit="0" readingOrder="0"/>
    </dxf>
    <dxf>
      <alignment horizontal="center" vertical="bottom" textRotation="0" wrapText="0" relativeIndent="0" justifyLastLine="0" shrinkToFit="0" readingOrder="0"/>
      <border diagonalUp="0" diagonalDown="0" outline="0">
        <left/>
        <right/>
        <top/>
        <bottom/>
      </border>
    </dxf>
    <dxf>
      <border diagonalUp="0" diagonalDown="0" outline="0">
        <left/>
        <right/>
        <top/>
        <bottom/>
      </border>
    </dxf>
    <dxf>
      <font>
        <b/>
        <i val="0"/>
        <strike val="0"/>
        <condense val="0"/>
        <extend val="0"/>
        <outline val="0"/>
        <shadow val="0"/>
        <u val="none"/>
        <vertAlign val="baseline"/>
        <sz val="11"/>
        <color theme="0"/>
        <name val="Calibri"/>
        <scheme val="minor"/>
      </font>
      <fill>
        <patternFill patternType="solid">
          <fgColor theme="4"/>
          <bgColor theme="4"/>
        </patternFill>
      </fill>
      <alignment horizontal="center" vertical="bottom" textRotation="0" wrapText="0" relativeIndent="0" justifyLastLine="0" shrinkToFit="0" readingOrder="0"/>
      <border diagonalUp="0" diagonalDown="0" outline="0">
        <left style="thin">
          <color theme="0"/>
        </left>
        <right style="thin">
          <color theme="0"/>
        </right>
        <top/>
        <bottom/>
      </border>
    </dxf>
    <dxf>
      <numFmt numFmtId="0" formatCode="General"/>
      <alignment horizontal="center" vertical="bottom" textRotation="0" wrapText="0" relativeIndent="0" justifyLastLine="0" shrinkToFit="0" readingOrder="0"/>
    </dxf>
    <dxf>
      <alignment horizontal="center" vertical="bottom" textRotation="0" wrapText="0" relativeIndent="0" justifyLastLine="0" shrinkToFit="0" readingOrder="0"/>
    </dxf>
    <dxf>
      <numFmt numFmtId="0" formatCode="General"/>
      <alignment horizontal="center" vertical="bottom" textRotation="0" wrapText="0" relativeIndent="0" justifyLastLine="0" shrinkToFit="0" readingOrder="0"/>
    </dxf>
    <dxf>
      <alignment horizontal="center" vertical="bottom" textRotation="0" wrapText="0" relativeIndent="0" justifyLastLine="0" shrinkToFit="0" readingOrder="0"/>
    </dxf>
    <dxf>
      <numFmt numFmtId="0" formatCode="General"/>
      <alignment horizontal="center" vertical="bottom" textRotation="0" wrapText="0" relativeIndent="0" justifyLastLine="0" shrinkToFit="0" readingOrder="0"/>
    </dxf>
    <dxf>
      <alignment horizontal="center" vertical="bottom" textRotation="0" wrapText="0" relativeIndent="0" justifyLastLine="0" shrinkToFit="0" readingOrder="0"/>
    </dxf>
    <dxf>
      <numFmt numFmtId="0" formatCode="General"/>
      <alignment horizontal="center" vertical="bottom" textRotation="0" wrapText="0" relativeIndent="0" justifyLastLine="0" shrinkToFit="0" readingOrder="0"/>
    </dxf>
    <dxf>
      <alignment horizontal="center" vertical="bottom" textRotation="0" wrapText="0" relativeIndent="0" justifyLastLine="0" shrinkToFit="0" readingOrder="0"/>
    </dxf>
    <dxf>
      <numFmt numFmtId="0" formatCode="General"/>
      <alignment horizontal="center" vertical="bottom" textRotation="0" wrapText="0" relativeIndent="0" justifyLastLine="0" shrinkToFit="0" readingOrder="0"/>
    </dxf>
    <dxf>
      <alignment horizontal="center" vertical="bottom" textRotation="0" wrapText="0" relativeIndent="0" justifyLastLine="0" shrinkToFit="0" readingOrder="0"/>
    </dxf>
    <dxf>
      <numFmt numFmtId="0" formatCode="General"/>
      <alignment horizontal="center" vertical="bottom" textRotation="0" wrapText="0" relativeIndent="0" justifyLastLine="0" shrinkToFit="0" readingOrder="0"/>
    </dxf>
    <dxf>
      <alignment horizontal="center" vertical="bottom" textRotation="0" wrapText="0" relativeIndent="0" justifyLastLine="0" shrinkToFit="0" readingOrder="0"/>
    </dxf>
    <dxf>
      <numFmt numFmtId="0" formatCode="General"/>
      <alignment horizontal="center" vertical="bottom" textRotation="0" wrapText="0" relativeIndent="0" justifyLastLine="0" shrinkToFit="0" readingOrder="0"/>
    </dxf>
    <dxf>
      <alignment horizontal="center"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8" tint="0.59999389629810485"/>
          <bgColor theme="8" tint="0.59999389629810485"/>
        </patternFill>
      </fill>
    </dxf>
    <dxf>
      <alignment horizontal="center" vertical="bottom" textRotation="0" wrapText="0" relativeIndent="0" justifyLastLine="0" shrinkToFit="0" readingOrder="0"/>
    </dxf>
    <dxf>
      <font>
        <b/>
        <i val="0"/>
        <strike val="0"/>
        <condense val="0"/>
        <extend val="0"/>
        <outline val="0"/>
        <shadow val="0"/>
        <u val="none"/>
        <vertAlign val="baseline"/>
        <sz val="11"/>
        <color theme="0"/>
        <name val="Calibri"/>
        <scheme val="minor"/>
      </font>
      <fill>
        <patternFill patternType="solid">
          <fgColor theme="4"/>
          <bgColor theme="4"/>
        </patternFill>
      </fill>
      <alignment horizontal="center" vertical="bottom" textRotation="0" wrapText="0" relativeIndent="0" justifyLastLine="0" shrinkToFit="0" readingOrder="0"/>
      <border diagonalUp="0" diagonalDown="0" outline="0">
        <left style="thin">
          <color theme="0"/>
        </left>
        <right style="thin">
          <color theme="0"/>
        </right>
        <top/>
        <bottom/>
      </border>
    </dxf>
    <dxf>
      <alignment horizontal="center" vertical="bottom" textRotation="0" wrapText="0" relativeIndent="0" justifyLastLine="0" shrinkToFit="0" readingOrder="0"/>
    </dxf>
    <dxf>
      <alignment horizontal="center" vertical="bottom" textRotation="0" wrapText="0" relativeIndent="0" justifyLastLine="0" shrinkToFit="0" readingOrder="0"/>
    </dxf>
    <dxf>
      <alignment horizontal="center" vertical="bottom" textRotation="0" wrapText="0" relativeIndent="0" justifyLastLine="0" shrinkToFit="0" readingOrder="0"/>
    </dxf>
    <dxf>
      <alignment horizontal="center" vertical="bottom" textRotation="0" wrapText="0" indent="0" justifyLastLine="0" shrinkToFit="0" readingOrder="0"/>
    </dxf>
    <dxf>
      <alignment horizontal="center" vertical="bottom" textRotation="0" wrapText="0" relativeIndent="0" justifyLastLine="0" shrinkToFit="0" readingOrder="0"/>
    </dxf>
    <dxf>
      <alignment horizontal="center" vertical="bottom" textRotation="0" wrapText="0" indent="0" justifyLastLine="0" shrinkToFit="0" readingOrder="0"/>
    </dxf>
    <dxf>
      <alignment horizontal="center" vertical="bottom" textRotation="0" wrapText="0" relativeIndent="0" justifyLastLine="0" shrinkToFit="0" readingOrder="0"/>
    </dxf>
    <dxf>
      <numFmt numFmtId="0" formatCode="General"/>
      <alignment horizontal="center" vertical="bottom" textRotation="0" wrapText="0" indent="0" justifyLastLine="0" shrinkToFit="0" readingOrder="0"/>
    </dxf>
    <dxf>
      <alignment horizontal="center" vertical="bottom" textRotation="0" wrapText="0" relativeIndent="0" justifyLastLine="0" shrinkToFit="0" readingOrder="0"/>
    </dxf>
    <dxf>
      <font>
        <b/>
        <i val="0"/>
        <strike val="0"/>
        <condense val="0"/>
        <extend val="0"/>
        <outline val="0"/>
        <shadow val="0"/>
        <u val="none"/>
        <vertAlign val="baseline"/>
        <sz val="11"/>
        <color theme="0"/>
        <name val="Calibri"/>
        <scheme val="minor"/>
      </font>
      <fill>
        <patternFill patternType="solid">
          <fgColor theme="4"/>
          <bgColor theme="4"/>
        </patternFill>
      </fill>
      <alignment horizontal="center" vertical="bottom" textRotation="0" wrapText="0" relativeIndent="0" justifyLastLine="0" shrinkToFit="0" readingOrder="0"/>
      <border diagonalUp="0" diagonalDown="0" outline="0">
        <left style="thin">
          <color theme="0"/>
        </left>
        <right style="thin">
          <color theme="0"/>
        </right>
        <top/>
        <bottom/>
      </border>
    </dxf>
    <dxf>
      <numFmt numFmtId="0" formatCode="General"/>
      <fill>
        <patternFill patternType="none">
          <fgColor indexed="64"/>
          <bgColor indexed="65"/>
        </patternFill>
      </fill>
      <alignment horizontal="center" vertical="bottom" textRotation="0" wrapText="0" relativeIndent="0" justifyLastLine="0" shrinkToFit="0" readingOrder="0"/>
    </dxf>
    <dxf>
      <fill>
        <patternFill patternType="none">
          <fgColor indexed="64"/>
          <bgColor indexed="65"/>
        </patternFill>
      </fill>
      <alignment horizontal="center" vertical="bottom" textRotation="0" wrapText="0" relativeIndent="0" justifyLastLine="0" shrinkToFit="0" readingOrder="0"/>
    </dxf>
    <dxf>
      <numFmt numFmtId="0" formatCode="General"/>
      <fill>
        <patternFill patternType="none">
          <fgColor indexed="64"/>
          <bgColor indexed="65"/>
        </patternFill>
      </fill>
      <alignment horizontal="center" vertical="bottom" textRotation="0" wrapText="0" relativeIndent="0" justifyLastLine="0" shrinkToFit="0" readingOrder="0"/>
    </dxf>
    <dxf>
      <fill>
        <patternFill patternType="none">
          <fgColor indexed="64"/>
          <bgColor indexed="65"/>
        </patternFill>
      </fill>
      <alignment horizontal="center" vertical="bottom" textRotation="0" wrapText="0" relativeIndent="0" justifyLastLine="0" shrinkToFit="0" readingOrder="0"/>
    </dxf>
    <dxf>
      <numFmt numFmtId="0" formatCode="General"/>
      <fill>
        <patternFill patternType="none">
          <fgColor indexed="64"/>
          <bgColor indexed="65"/>
        </patternFill>
      </fill>
      <alignment horizontal="center" vertical="bottom" textRotation="0" wrapText="0" relativeIndent="0" justifyLastLine="0" shrinkToFit="0" readingOrder="0"/>
    </dxf>
    <dxf>
      <fill>
        <patternFill patternType="none">
          <fgColor indexed="64"/>
          <bgColor indexed="65"/>
        </patternFill>
      </fill>
      <alignment horizontal="center" vertical="bottom" textRotation="0" wrapText="0" relativeIndent="0" justifyLastLine="0" shrinkToFit="0" readingOrder="0"/>
    </dxf>
    <dxf>
      <numFmt numFmtId="0" formatCode="General"/>
      <fill>
        <patternFill patternType="none">
          <fgColor indexed="64"/>
          <bgColor indexed="65"/>
        </patternFill>
      </fill>
      <alignment horizontal="center" vertical="bottom" textRotation="0" wrapText="0" relativeIndent="0" justifyLastLine="0" shrinkToFit="0" readingOrder="0"/>
    </dxf>
    <dxf>
      <fill>
        <patternFill patternType="none">
          <fgColor indexed="64"/>
          <bgColor indexed="65"/>
        </patternFill>
      </fill>
      <alignment horizontal="center" vertical="bottom" textRotation="0" wrapText="0" relativeIndent="0" justifyLastLine="0" shrinkToFit="0" readingOrder="0"/>
    </dxf>
    <dxf>
      <numFmt numFmtId="0" formatCode="General"/>
      <fill>
        <patternFill patternType="none">
          <fgColor indexed="64"/>
          <bgColor indexed="65"/>
        </patternFill>
      </fill>
      <alignment horizontal="center" vertical="bottom" textRotation="0" wrapText="0" relativeIndent="0" justifyLastLine="0" shrinkToFit="0" readingOrder="0"/>
    </dxf>
    <dxf>
      <fill>
        <patternFill patternType="none">
          <fgColor indexed="64"/>
          <bgColor indexed="65"/>
        </patternFill>
      </fill>
      <alignment horizontal="center" vertical="bottom" textRotation="0" wrapText="0" relativeIndent="0" justifyLastLine="0" shrinkToFit="0" readingOrder="0"/>
    </dxf>
    <dxf>
      <numFmt numFmtId="0" formatCode="General"/>
      <fill>
        <patternFill patternType="none">
          <fgColor indexed="64"/>
          <bgColor indexed="65"/>
        </patternFill>
      </fill>
      <alignment horizontal="center" vertical="bottom" textRotation="0" wrapText="0" relativeIndent="0" justifyLastLine="0" shrinkToFit="0" readingOrder="0"/>
    </dxf>
    <dxf>
      <fill>
        <patternFill patternType="none">
          <fgColor indexed="64"/>
          <bgColor indexed="65"/>
        </patternFill>
      </fill>
      <alignment horizontal="center" vertical="bottom" textRotation="0" wrapText="0" relativeIndent="0" justifyLastLine="0" shrinkToFit="0" readingOrder="0"/>
    </dxf>
    <dxf>
      <numFmt numFmtId="0" formatCode="General"/>
      <fill>
        <patternFill patternType="none">
          <fgColor indexed="64"/>
          <bgColor indexed="65"/>
        </patternFill>
      </fill>
      <alignment horizontal="center" vertical="bottom" textRotation="0" wrapText="0" relativeIndent="0" justifyLastLine="0" shrinkToFit="0" readingOrder="0"/>
    </dxf>
    <dxf>
      <fill>
        <patternFill patternType="none">
          <fgColor indexed="64"/>
          <bgColor indexed="65"/>
        </patternFill>
      </fill>
      <alignment horizontal="center"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fill>
        <patternFill patternType="none">
          <fgColor theme="8" tint="0.59999389629810485"/>
          <bgColor indexed="65"/>
        </patternFill>
      </fill>
    </dxf>
    <dxf>
      <fill>
        <patternFill patternType="none">
          <fgColor indexed="64"/>
          <bgColor indexed="65"/>
        </patternFill>
      </fill>
    </dxf>
    <dxf>
      <fill>
        <patternFill patternType="none">
          <bgColor auto="1"/>
        </patternFill>
      </fill>
    </dxf>
    <dxf>
      <fill>
        <patternFill patternType="none">
          <bgColor indexed="65"/>
        </patternFill>
      </fill>
      <alignment horizontal="center" vertical="bottom" textRotation="0" wrapText="0" relativeIndent="0" justifyLastLine="0" shrinkToFit="0" readingOrder="0"/>
      <border diagonalUp="0" diagonalDown="0" outline="0"/>
    </dxf>
    <dxf>
      <font>
        <b/>
        <i val="0"/>
        <strike val="0"/>
        <condense val="0"/>
        <extend val="0"/>
        <outline val="0"/>
        <shadow val="0"/>
        <u val="none"/>
        <vertAlign val="baseline"/>
        <sz val="11"/>
        <color theme="0"/>
        <name val="Calibri"/>
        <scheme val="minor"/>
      </font>
      <fill>
        <patternFill patternType="none">
          <fgColor theme="4"/>
          <bgColor indexed="65"/>
        </patternFill>
      </fill>
      <alignment horizontal="center" vertical="bottom" textRotation="0" wrapText="0" relativeIndent="0" justifyLastLine="0" shrinkToFit="0" readingOrder="0"/>
      <border diagonalUp="0" diagonalDown="0" outline="0">
        <left style="thin">
          <color theme="0"/>
        </left>
        <right style="thin">
          <color theme="0"/>
        </right>
        <top/>
        <bottom/>
      </border>
    </dxf>
    <dxf>
      <fill>
        <patternFill patternType="none">
          <fgColor indexed="64"/>
          <bgColor indexed="65"/>
        </patternFill>
      </fill>
      <alignment horizontal="center" vertical="bottom" textRotation="0" wrapText="0" relativeIndent="0" justifyLastLine="0" shrinkToFit="0" readingOrder="0"/>
    </dxf>
    <dxf>
      <fill>
        <patternFill patternType="none">
          <fgColor indexed="64"/>
          <bgColor indexed="65"/>
        </patternFill>
      </fill>
      <alignment horizontal="center" vertical="bottom" textRotation="0" wrapText="0" relative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bgColor indexed="65"/>
        </patternFill>
      </fill>
      <alignment horizontal="center" vertical="bottom" textRotation="0" wrapText="0" relativeIndent="0" justifyLastLine="0" shrinkToFit="0" readingOrder="0"/>
    </dxf>
    <dxf>
      <fill>
        <patternFill patternType="none">
          <fgColor indexed="64"/>
          <bgColor indexed="65"/>
        </patternFill>
      </fill>
      <alignment horizontal="center" vertical="bottom" textRotation="0" wrapText="0" relativeIndent="0" justifyLastLine="0" shrinkToFit="0" readingOrder="0"/>
    </dxf>
    <dxf>
      <fill>
        <patternFill patternType="none">
          <bgColor indexed="65"/>
        </patternFill>
      </fill>
      <alignment horizontal="center" vertical="bottom" textRotation="0" wrapText="0" relativeIndent="0" justifyLastLine="0" shrinkToFit="0" readingOrder="0"/>
    </dxf>
    <dxf>
      <fill>
        <patternFill patternType="none">
          <fgColor indexed="64"/>
          <bgColor indexed="65"/>
        </patternFill>
      </fill>
      <alignment horizontal="center" vertical="bottom" textRotation="0" wrapText="0" relativeIndent="0" justifyLastLine="0" shrinkToFit="0" readingOrder="0"/>
    </dxf>
    <dxf>
      <fill>
        <patternFill patternType="none">
          <bgColor indexed="65"/>
        </patternFill>
      </fill>
      <alignment horizontal="center" vertical="bottom" textRotation="0" wrapText="0" relativeIndent="0" justifyLastLine="0" shrinkToFit="0" readingOrder="0"/>
    </dxf>
    <dxf>
      <fill>
        <patternFill patternType="none">
          <fgColor indexed="64"/>
          <bgColor indexed="65"/>
        </patternFill>
      </fill>
      <alignment horizontal="center" vertical="bottom" textRotation="0" wrapText="0" relativeIndent="0" justifyLastLine="0" shrinkToFit="0" readingOrder="0"/>
    </dxf>
    <dxf>
      <fill>
        <patternFill patternType="none">
          <bgColor indexed="65"/>
        </patternFill>
      </fill>
      <alignment horizontal="center" vertical="bottom" textRotation="0" wrapText="0" relativeIndent="0" justifyLastLine="0" shrinkToFit="0" readingOrder="0"/>
    </dxf>
    <dxf>
      <fill>
        <patternFill patternType="none">
          <fgColor indexed="64"/>
          <bgColor indexed="65"/>
        </patternFill>
      </fill>
      <alignment horizontal="center" vertical="bottom" textRotation="0" wrapText="0" relativeIndent="0" justifyLastLine="0" shrinkToFit="0" readingOrder="0"/>
    </dxf>
    <dxf>
      <fill>
        <patternFill patternType="none">
          <bgColor indexed="65"/>
        </patternFill>
      </fill>
      <alignment horizontal="center" vertical="bottom" textRotation="0" wrapText="0" relativeIndent="0" justifyLastLine="0" shrinkToFit="0" readingOrder="0"/>
    </dxf>
    <dxf>
      <fill>
        <patternFill patternType="none">
          <fgColor indexed="64"/>
          <bgColor indexed="65"/>
        </patternFill>
      </fill>
      <alignment horizontal="center" vertical="bottom" textRotation="0" wrapText="0" relativeIndent="0" justifyLastLine="0" shrinkToFit="0" readingOrder="0"/>
    </dxf>
    <dxf>
      <fill>
        <patternFill patternType="none">
          <bgColor indexed="65"/>
        </patternFill>
      </fill>
      <alignment horizontal="center" vertical="bottom" textRotation="0" wrapText="0" relativeIndent="0" justifyLastLine="0" shrinkToFit="0" readingOrder="0"/>
    </dxf>
    <dxf>
      <fill>
        <patternFill patternType="none">
          <fgColor indexed="64"/>
          <bgColor indexed="65"/>
        </patternFill>
      </fill>
      <alignment horizontal="center" vertical="bottom" textRotation="0" wrapText="0" relativeIndent="0" justifyLastLine="0" shrinkToFit="0" readingOrder="0"/>
    </dxf>
    <dxf>
      <numFmt numFmtId="0" formatCode="General"/>
      <fill>
        <patternFill patternType="none">
          <bgColor indexed="65"/>
        </patternFill>
      </fill>
      <alignment horizontal="center" vertical="bottom" textRotation="0" wrapText="0" relativeIndent="0" justifyLastLine="0" shrinkToFit="0" readingOrder="0"/>
    </dxf>
    <dxf>
      <fill>
        <patternFill patternType="none">
          <fgColor indexed="64"/>
          <bgColor indexed="65"/>
        </patternFill>
      </fill>
      <alignment horizontal="center" vertical="bottom" textRotation="0" wrapText="0" relativeIndent="0" justifyLastLine="0" shrinkToFit="0" readingOrder="0"/>
    </dxf>
    <dxf>
      <fill>
        <patternFill patternType="none">
          <bgColor auto="1"/>
        </patternFill>
      </fill>
    </dxf>
    <dxf>
      <fill>
        <patternFill patternType="none">
          <fgColor indexed="64"/>
          <bgColor indexed="65"/>
        </patternFill>
      </fill>
    </dxf>
    <dxf>
      <fill>
        <patternFill patternType="none">
          <bgColor auto="1"/>
        </patternFill>
      </fill>
    </dxf>
    <dxf>
      <fill>
        <patternFill patternType="none">
          <bgColor indexed="65"/>
        </patternFill>
      </fill>
      <alignment horizontal="center" vertical="bottom" textRotation="0" wrapText="0" relativeIndent="0" justifyLastLine="0" shrinkToFit="0" readingOrder="0"/>
    </dxf>
    <dxf>
      <font>
        <b/>
        <i val="0"/>
        <strike val="0"/>
        <condense val="0"/>
        <extend val="0"/>
        <outline val="0"/>
        <shadow val="0"/>
        <u val="none"/>
        <vertAlign val="baseline"/>
        <sz val="11"/>
        <color theme="0"/>
        <name val="Calibri"/>
        <scheme val="minor"/>
      </font>
      <fill>
        <patternFill patternType="none">
          <fgColor theme="4"/>
          <bgColor indexed="65"/>
        </patternFill>
      </fill>
      <alignment horizontal="center" vertical="bottom" textRotation="0" wrapText="0" relativeIndent="0" justifyLastLine="0" shrinkToFit="0" readingOrder="0"/>
    </dxf>
    <dxf>
      <fill>
        <patternFill patternType="none">
          <fgColor indexed="64"/>
          <bgColor indexed="65"/>
        </patternFill>
      </fill>
      <alignment horizontal="center" vertical="bottom" textRotation="0" wrapText="0" relativeIndent="0" justifyLastLine="0" shrinkToFit="0" readingOrder="0"/>
    </dxf>
    <dxf>
      <alignment horizontal="center" vertical="bottom" textRotation="0" wrapText="0" indent="0" justifyLastLine="0" shrinkToFit="0" readingOrder="0"/>
    </dxf>
    <dxf>
      <fill>
        <patternFill patternType="none">
          <fgColor indexed="64"/>
          <bgColor indexed="65"/>
        </patternFill>
      </fill>
      <alignment horizontal="center" vertical="bottom" textRotation="0" wrapText="0" relativeIndent="0" justifyLastLine="0" shrinkToFit="0" readingOrder="0"/>
    </dxf>
    <dxf>
      <alignment horizontal="center" vertical="bottom" textRotation="0" wrapText="0" indent="0" justifyLastLine="0" shrinkToFit="0" readingOrder="0"/>
    </dxf>
    <dxf>
      <fill>
        <patternFill patternType="none">
          <fgColor indexed="64"/>
          <bgColor indexed="65"/>
        </patternFill>
      </fill>
      <alignment horizontal="center" vertical="bottom" textRotation="0" wrapText="0" relativeIndent="0" justifyLastLine="0" shrinkToFit="0" readingOrder="0"/>
    </dxf>
    <dxf>
      <alignment horizontal="center" vertical="bottom" textRotation="0" wrapText="0" indent="0" justifyLastLine="0" shrinkToFit="0" readingOrder="0"/>
    </dxf>
    <dxf>
      <fill>
        <patternFill patternType="none">
          <fgColor indexed="64"/>
          <bgColor indexed="65"/>
        </patternFill>
      </fill>
      <alignment horizontal="center" vertical="bottom" textRotation="0" wrapText="0" relativeIndent="0" justifyLastLine="0" shrinkToFit="0" readingOrder="0"/>
    </dxf>
    <dxf>
      <alignment horizontal="center" vertical="bottom" textRotation="0" wrapText="0" indent="0" justifyLastLine="0" shrinkToFit="0" readingOrder="0"/>
    </dxf>
    <dxf>
      <fill>
        <patternFill patternType="none">
          <fgColor indexed="64"/>
          <bgColor indexed="65"/>
        </patternFill>
      </fill>
      <alignment horizontal="center" vertical="bottom" textRotation="0" wrapText="0" relativeIndent="0" justifyLastLine="0" shrinkToFit="0" readingOrder="0"/>
    </dxf>
    <dxf>
      <alignment horizontal="center" vertical="bottom" textRotation="0" wrapText="0" indent="0" justifyLastLine="0" shrinkToFit="0" readingOrder="0"/>
    </dxf>
    <dxf>
      <fill>
        <patternFill patternType="none">
          <fgColor indexed="64"/>
          <bgColor indexed="65"/>
        </patternFill>
      </fill>
      <alignment horizontal="center" vertical="bottom" textRotation="0" wrapText="0" relativeIndent="0" justifyLastLine="0" shrinkToFit="0" readingOrder="0"/>
    </dxf>
    <dxf>
      <alignment horizontal="center" vertical="bottom" textRotation="0" wrapText="0" indent="0" justifyLastLine="0" shrinkToFit="0" readingOrder="0"/>
    </dxf>
    <dxf>
      <fill>
        <patternFill patternType="none">
          <fgColor indexed="64"/>
          <bgColor auto="1"/>
        </patternFill>
      </fill>
    </dxf>
    <dxf>
      <fill>
        <patternFill patternType="none">
          <fgColor indexed="64"/>
          <bgColor auto="1"/>
        </patternFill>
      </fill>
    </dxf>
    <dxf>
      <fill>
        <patternFill patternType="none">
          <fgColor indexed="64"/>
          <bgColor indexed="65"/>
        </patternFill>
      </fill>
      <alignment horizontal="center" vertical="bottom" textRotation="0" wrapText="0" relativeIndent="0" justifyLastLine="0" shrinkToFit="0" readingOrder="0"/>
    </dxf>
    <dxf>
      <fill>
        <patternFill patternType="none">
          <fgColor indexed="64"/>
          <bgColor indexed="65"/>
        </patternFill>
      </fill>
      <alignment horizontal="center" vertical="bottom" textRotation="0" wrapText="0" relativeIndent="0" justifyLastLine="0" shrinkToFit="0" readingOrder="0"/>
    </dxf>
    <dxf>
      <fill>
        <patternFill>
          <bgColor theme="0"/>
        </patternFill>
      </fill>
    </dxf>
    <dxf>
      <fill>
        <patternFill patternType="solid">
          <fgColor theme="4" tint="0.79998168889431442"/>
          <bgColor theme="4" tint="0.79998168889431442"/>
        </patternFill>
      </fill>
    </dxf>
    <dxf>
      <font>
        <b/>
        <color theme="1"/>
      </font>
    </dxf>
    <dxf>
      <font>
        <b/>
        <color theme="1"/>
      </font>
    </dxf>
    <dxf>
      <font>
        <b/>
        <color theme="1"/>
      </font>
      <border>
        <top style="double">
          <color theme="4"/>
        </top>
      </border>
    </dxf>
    <dxf>
      <font>
        <b/>
        <color theme="0"/>
      </font>
      <fill>
        <patternFill patternType="solid">
          <fgColor theme="4"/>
          <bgColor theme="4"/>
        </patternFill>
      </fill>
    </dxf>
    <dxf>
      <font>
        <color theme="1"/>
      </font>
      <border>
        <left style="thin">
          <color theme="4" tint="0.39997558519241921"/>
        </left>
        <right style="thin">
          <color theme="4" tint="0.39997558519241921"/>
        </right>
        <top style="thin">
          <color theme="4" tint="0.39997558519241921"/>
        </top>
        <bottom style="thin">
          <color theme="4" tint="0.39997558519241921"/>
        </bottom>
        <horizontal style="thin">
          <color theme="4" tint="0.39997558519241921"/>
        </horizontal>
      </border>
    </dxf>
  </dxfs>
  <tableStyles count="1" defaultTableStyle="TableStyleMedium2" defaultPivotStyle="PivotStyleMedium9">
    <tableStyle name="TableStyleMedium2 2" pivot="0" count="7" xr9:uid="{00000000-0011-0000-FFFF-FFFF00000000}">
      <tableStyleElement type="wholeTable" dxfId="143"/>
      <tableStyleElement type="headerRow" dxfId="142"/>
      <tableStyleElement type="totalRow" dxfId="141"/>
      <tableStyleElement type="firstColumn" dxfId="140"/>
      <tableStyleElement type="lastColumn" dxfId="139"/>
      <tableStyleElement type="firstColumnStripe" dxfId="138"/>
      <tableStyleElement type="secondColumnStripe" dxfId="13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blBattlefieldFlt" displayName="TblBattlefieldFlt" ref="A9:G15" totalsRowCount="1" headerRowDxfId="136" dataDxfId="135" totalsRowDxfId="134">
  <autoFilter ref="A9:G14" xr:uid="{00000000-0009-0000-0100-000001000000}"/>
  <tableColumns count="7">
    <tableColumn id="1" xr3:uid="{00000000-0010-0000-0000-000001000000}" name="Option" totalsRowLabel="Total" dataDxfId="133"/>
    <tableColumn id="2" xr3:uid="{00000000-0010-0000-0000-000002000000}" name="A" totalsRowFunction="sum" dataDxfId="131" totalsRowDxfId="132"/>
    <tableColumn id="3" xr3:uid="{00000000-0010-0000-0000-000003000000}" name="B" totalsRowFunction="sum" dataDxfId="129" totalsRowDxfId="130"/>
    <tableColumn id="4" xr3:uid="{00000000-0010-0000-0000-000004000000}" name="C" totalsRowFunction="sum" dataDxfId="127" totalsRowDxfId="128"/>
    <tableColumn id="5" xr3:uid="{00000000-0010-0000-0000-000005000000}" name="D" totalsRowFunction="sum" dataDxfId="125" totalsRowDxfId="126"/>
    <tableColumn id="6" xr3:uid="{00000000-0010-0000-0000-000006000000}" name="E" totalsRowFunction="sum" dataDxfId="123" totalsRowDxfId="124"/>
    <tableColumn id="7" xr3:uid="{00000000-0010-0000-0000-000007000000}" name="F" totalsRowFunction="sum" dataDxfId="121" totalsRowDxfId="122"/>
  </tableColumns>
  <tableStyleInfo name="TableStyleMedium15"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9000000}" name="TblFltCrewSizes" displayName="TblFltCrewSizes" ref="A17:G21" totalsRowCount="1" headerRowDxfId="19" dataDxfId="18">
  <autoFilter ref="A17:G20" xr:uid="{00000000-0009-0000-0100-00000E000000}"/>
  <tableColumns count="7">
    <tableColumn id="1" xr3:uid="{00000000-0010-0000-0900-000001000000}" name="Option" totalsRowLabel="Total" dataDxfId="16" totalsRowDxfId="17"/>
    <tableColumn id="2" xr3:uid="{00000000-0010-0000-0900-000002000000}" name="A" totalsRowFunction="custom" dataDxfId="14" totalsRowDxfId="15">
      <totalsRowFormula>SUBTOTAL(109,TblFltCrewSizes[A])</totalsRowFormula>
    </tableColumn>
    <tableColumn id="3" xr3:uid="{00000000-0010-0000-0900-000003000000}" name="B" totalsRowFunction="custom" dataDxfId="12" totalsRowDxfId="13">
      <totalsRowFormula>SUBTOTAL(109,TblFltCrewSizes[B])</totalsRowFormula>
    </tableColumn>
    <tableColumn id="4" xr3:uid="{00000000-0010-0000-0900-000004000000}" name="C" totalsRowFunction="custom" dataDxfId="10" totalsRowDxfId="11">
      <totalsRowFormula>SUBTOTAL(109,TblFltCrewSizes[C])</totalsRowFormula>
    </tableColumn>
    <tableColumn id="5" xr3:uid="{00000000-0010-0000-0900-000005000000}" name="D" totalsRowFunction="custom" dataDxfId="8" totalsRowDxfId="9">
      <totalsRowFormula>SUBTOTAL(109,TblFltCrewSizes[D])</totalsRowFormula>
    </tableColumn>
    <tableColumn id="6" xr3:uid="{00000000-0010-0000-0900-000006000000}" name="E" totalsRowFunction="custom" dataDxfId="6" totalsRowDxfId="7">
      <totalsRowFormula>SUBTOTAL(109,TblFltCrewSizes[E])</totalsRowFormula>
    </tableColumn>
    <tableColumn id="7" xr3:uid="{00000000-0010-0000-0900-000007000000}" name="F" totalsRowFunction="sum" dataDxfId="4" totalsRowDxfId="5"/>
  </tableColumns>
  <tableStyleInfo name="TableStyleMedium13"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86E891F-CC1D-4ED6-98A6-972A212A6308}" name="Table3" displayName="Table3" ref="I4:J9" totalsRowShown="0" headerRowDxfId="3" headerRowBorderDxfId="1" tableBorderDxfId="2">
  <autoFilter ref="I4:J9" xr:uid="{186E891F-CC1D-4ED6-98A6-972A212A6308}"/>
  <tableColumns count="2">
    <tableColumn id="1" xr3:uid="{C81D7C06-9F89-4717-99F4-FA4E60C3BBF7}" name="Department"/>
    <tableColumn id="2" xr3:uid="{EE9AB412-432D-45A0-92A5-DA3A84572278}" name="Description" dataDxfId="0"/>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blFleetShipValues" displayName="TblFleetShipValues" ref="J9:Q15" totalsRowCount="1" headerRowDxfId="120" dataDxfId="119" totalsRowDxfId="118">
  <autoFilter ref="J9:Q14" xr:uid="{00000000-0009-0000-0100-000002000000}"/>
  <tableColumns count="8">
    <tableColumn id="1" xr3:uid="{00000000-0010-0000-0100-000001000000}" name="Option" totalsRowLabel="Total " dataDxfId="116" totalsRowDxfId="117"/>
    <tableColumn id="2" xr3:uid="{00000000-0010-0000-0100-000002000000}" name="A" totalsRowFunction="sum" dataDxfId="114" totalsRowDxfId="115">
      <calculatedColumnFormula>(INDEX(TblBattlefieldFlt[[A]:[F]],MATCH(TblFleetShipValues[[#This Row],[Option]],TblBattlefieldFlt[Option],0),MATCH(TblFleetShipValues[[#Headers],[A]],TblBattlefieldFlt[[#Headers],[A]:[F]],0)))*(INDEX(TblShipPoints[Points],MATCH(TblFleetShipValues[[#This Row],[Option]],TblShipPoints[Ships],0)))</calculatedColumnFormula>
    </tableColumn>
    <tableColumn id="3" xr3:uid="{00000000-0010-0000-0100-000003000000}" name="B" totalsRowFunction="sum" dataDxfId="112" totalsRowDxfId="113">
      <calculatedColumnFormula>C10*#REF!</calculatedColumnFormula>
    </tableColumn>
    <tableColumn id="4" xr3:uid="{00000000-0010-0000-0100-000004000000}" name="C" totalsRowFunction="sum" dataDxfId="110" totalsRowDxfId="111">
      <calculatedColumnFormula>D10*#REF!</calculatedColumnFormula>
    </tableColumn>
    <tableColumn id="5" xr3:uid="{00000000-0010-0000-0100-000005000000}" name="D" totalsRowFunction="sum" dataDxfId="108" totalsRowDxfId="109">
      <calculatedColumnFormula>E10*#REF!</calculatedColumnFormula>
    </tableColumn>
    <tableColumn id="6" xr3:uid="{00000000-0010-0000-0100-000006000000}" name="E" totalsRowFunction="sum" dataDxfId="106" totalsRowDxfId="107">
      <calculatedColumnFormula>F10*#REF!</calculatedColumnFormula>
    </tableColumn>
    <tableColumn id="7" xr3:uid="{00000000-0010-0000-0100-000007000000}" name="F" totalsRowFunction="sum" dataDxfId="104" totalsRowDxfId="105">
      <calculatedColumnFormula>G10*#REF!</calculatedColumnFormula>
    </tableColumn>
    <tableColumn id="8" xr3:uid="{00000000-0010-0000-0100-000008000000}" name="Name" dataDxfId="102" totalsRowDxfId="103"/>
  </tableColumns>
  <tableStyleInfo name="TableStyleMedium1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2000000}" name="TblRoleControlValues" displayName="TblRoleControlValues" ref="N2:Q3" totalsRowShown="0" headerRowDxfId="101" dataDxfId="100">
  <autoFilter ref="N2:Q3" xr:uid="{00000000-0009-0000-0100-000005000000}"/>
  <tableColumns count="4">
    <tableColumn id="1" xr3:uid="{00000000-0010-0000-0200-000001000000}" name="Generic" dataDxfId="99"/>
    <tableColumn id="2" xr3:uid="{00000000-0010-0000-0200-000002000000}" name="Service" dataDxfId="98"/>
    <tableColumn id="3" xr3:uid="{00000000-0010-0000-0200-000003000000}" name="Lieutenant" dataDxfId="97"/>
    <tableColumn id="4" xr3:uid="{00000000-0010-0000-0200-000004000000}" name="Captain" dataDxfId="96"/>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3000000}" name="TblAdjFleetRolesValues" displayName="TblAdjFleetRolesValues" ref="A24:H30" totalsRowCount="1" headerRowDxfId="95" dataDxfId="94" totalsRowDxfId="93">
  <autoFilter ref="A24:H29" xr:uid="{00000000-0009-0000-0100-000006000000}"/>
  <tableColumns count="8">
    <tableColumn id="1" xr3:uid="{00000000-0010-0000-0300-000001000000}" name="Option" totalsRowLabel="Total" dataDxfId="91" totalsRowDxfId="92"/>
    <tableColumn id="2" xr3:uid="{00000000-0010-0000-0300-000002000000}" name="A" totalsRowFunction="sum" dataDxfId="89" totalsRowDxfId="90">
      <calculatedColumnFormula>(INDEX(TblBattlefieldFlt[[A]:[F]],MATCH($A25,TblBattlefieldFlt[Option],0),MATCH(B$24,TblBattlefieldFlt[[#Headers],[A]:[F]],0)))*(INDEX(TblShipCrew[Adjusted],MATCH($A25,TblShipCrew[Ships],0)))</calculatedColumnFormula>
    </tableColumn>
    <tableColumn id="3" xr3:uid="{00000000-0010-0000-0300-000003000000}" name="B" totalsRowFunction="sum" dataDxfId="87" totalsRowDxfId="88">
      <calculatedColumnFormula>(INDEX(TblBattlefieldFlt[[A]:[F]],MATCH($A25,TblBattlefieldFlt[Option],0),MATCH(C$24,TblBattlefieldFlt[[#Headers],[A]:[F]],0)))*(INDEX(TblShipCrew[Adjusted],MATCH($A25,TblShipCrew[Ships],0)))</calculatedColumnFormula>
    </tableColumn>
    <tableColumn id="4" xr3:uid="{00000000-0010-0000-0300-000004000000}" name="C" totalsRowFunction="sum" dataDxfId="85" totalsRowDxfId="86">
      <calculatedColumnFormula>(INDEX(TblBattlefieldFlt[[A]:[F]],MATCH($A25,TblBattlefieldFlt[Option],0),MATCH(D$24,TblBattlefieldFlt[[#Headers],[A]:[F]],0)))*(INDEX(TblShipCrew[Adjusted],MATCH($A25,TblShipCrew[Ships],0)))</calculatedColumnFormula>
    </tableColumn>
    <tableColumn id="5" xr3:uid="{00000000-0010-0000-0300-000005000000}" name="D" totalsRowFunction="sum" dataDxfId="83" totalsRowDxfId="84">
      <calculatedColumnFormula>(INDEX(TblBattlefieldFlt[[A]:[F]],MATCH($A25,TblBattlefieldFlt[Option],0),MATCH(E$24,TblBattlefieldFlt[[#Headers],[A]:[F]],0)))*(INDEX(TblShipCrew[Adjusted],MATCH($A25,TblShipCrew[Ships],0)))</calculatedColumnFormula>
    </tableColumn>
    <tableColumn id="6" xr3:uid="{00000000-0010-0000-0300-000006000000}" name="E" totalsRowFunction="sum" dataDxfId="81" totalsRowDxfId="82">
      <calculatedColumnFormula>(INDEX(TblBattlefieldFlt[[A]:[F]],MATCH($A25,TblBattlefieldFlt[Option],0),MATCH(F$24,TblBattlefieldFlt[[#Headers],[A]:[F]],0)))*(INDEX(TblShipCrew[Adjusted],MATCH($A25,TblShipCrew[Ships],0)))</calculatedColumnFormula>
    </tableColumn>
    <tableColumn id="7" xr3:uid="{00000000-0010-0000-0300-000007000000}" name="F" totalsRowFunction="sum" dataDxfId="79" totalsRowDxfId="80">
      <calculatedColumnFormula>(INDEX(TblBattlefieldFlt[[A]:[F]],MATCH($A25,TblBattlefieldFlt[Option],0),MATCH(G$24,TblBattlefieldFlt[[#Headers],[A]:[F]],0)))*(INDEX(TblShipCrew[Adjusted],MATCH($A25,TblShipCrew[Ships],0)))</calculatedColumnFormula>
    </tableColumn>
    <tableColumn id="8" xr3:uid="{00000000-0010-0000-0300-000008000000}" name="Name" dataDxfId="77" totalsRowDxfId="78"/>
  </tableColumns>
  <tableStyleInfo name="TableStyleMedium13"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4000000}" name="TblCombinedAdjFltValues" displayName="TblCombinedAdjFltValues" ref="A32:G43" totalsRowCount="1" headerRowDxfId="76">
  <autoFilter ref="A32:G42" xr:uid="{00000000-0009-0000-0100-000008000000}"/>
  <tableColumns count="7">
    <tableColumn id="1" xr3:uid="{00000000-0010-0000-0400-000001000000}" name="Option" totalsRowLabel="Total"/>
    <tableColumn id="2" xr3:uid="{00000000-0010-0000-0400-000002000000}" name="A" totalsRowFunction="sum" dataDxfId="74" totalsRowDxfId="75">
      <calculatedColumnFormula>K10</calculatedColumnFormula>
    </tableColumn>
    <tableColumn id="3" xr3:uid="{00000000-0010-0000-0400-000003000000}" name="B" totalsRowFunction="sum" dataDxfId="72" totalsRowDxfId="73"/>
    <tableColumn id="4" xr3:uid="{00000000-0010-0000-0400-000004000000}" name="C" totalsRowFunction="sum" dataDxfId="70" totalsRowDxfId="71"/>
    <tableColumn id="5" xr3:uid="{00000000-0010-0000-0400-000005000000}" name="D" totalsRowFunction="sum" totalsRowDxfId="69"/>
    <tableColumn id="6" xr3:uid="{00000000-0010-0000-0400-000006000000}" name="E" totalsRowFunction="sum" totalsRowDxfId="68"/>
    <tableColumn id="7" xr3:uid="{00000000-0010-0000-0400-000007000000}" name="F" totalsRowFunction="sum" totalsRowDxfId="67"/>
  </tableColumns>
  <tableStyleInfo name="TableStyleMedium13"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5000000}" name="TblGenFleetRolesValues" displayName="TblGenFleetRolesValues" ref="J24:Q30" totalsRowCount="1" headerRowDxfId="66" dataDxfId="65">
  <autoFilter ref="J24:Q29" xr:uid="{00000000-0009-0000-0100-000009000000}"/>
  <tableColumns count="8">
    <tableColumn id="1" xr3:uid="{00000000-0010-0000-0500-000001000000}" name="Option" totalsRowLabel="Total" dataDxfId="64"/>
    <tableColumn id="2" xr3:uid="{00000000-0010-0000-0500-000002000000}" name="A" totalsRowFunction="sum" dataDxfId="62" totalsRowDxfId="63">
      <calculatedColumnFormula>(INDEX(TblBattlefieldFlt[[A]:[F]],MATCH($J25,TblBattlefieldFlt[Option],0),MATCH(K$24,TblBattlefieldFlt[[#Headers],[A]:[F]],0)))*(INDEX(TblShipCrew[Generic (500)],MATCH($J25,TblShipCrew[Ships],0)))</calculatedColumnFormula>
    </tableColumn>
    <tableColumn id="3" xr3:uid="{00000000-0010-0000-0500-000003000000}" name="B" totalsRowFunction="sum" dataDxfId="60" totalsRowDxfId="61">
      <calculatedColumnFormula>(INDEX(TblBattlefieldFlt[[A]:[F]],MATCH($J25,TblBattlefieldFlt[Option],0),MATCH(L$24,TblBattlefieldFlt[[#Headers],[A]:[F]],0)))*(INDEX(TblShipCrew[Generic (500)],MATCH($J25,TblShipCrew[Ships],0)))</calculatedColumnFormula>
    </tableColumn>
    <tableColumn id="4" xr3:uid="{00000000-0010-0000-0500-000004000000}" name="C" totalsRowFunction="sum" dataDxfId="58" totalsRowDxfId="59">
      <calculatedColumnFormula>(INDEX(TblBattlefieldFlt[[A]:[F]],MATCH($J25,TblBattlefieldFlt[Option],0),MATCH(M$24,TblBattlefieldFlt[[#Headers],[A]:[F]],0)))*(INDEX(TblShipCrew[Generic (500)],MATCH($J25,TblShipCrew[Ships],0)))</calculatedColumnFormula>
    </tableColumn>
    <tableColumn id="5" xr3:uid="{00000000-0010-0000-0500-000005000000}" name="D" totalsRowFunction="sum" dataDxfId="56" totalsRowDxfId="57">
      <calculatedColumnFormula>(INDEX(TblBattlefieldFlt[[A]:[F]],MATCH($J25,TblBattlefieldFlt[Option],0),MATCH(N$24,TblBattlefieldFlt[[#Headers],[A]:[F]],0)))*(INDEX(TblShipCrew[Generic (500)],MATCH($J25,TblShipCrew[Ships],0)))</calculatedColumnFormula>
    </tableColumn>
    <tableColumn id="6" xr3:uid="{00000000-0010-0000-0500-000006000000}" name="E" totalsRowFunction="sum" dataDxfId="54" totalsRowDxfId="55">
      <calculatedColumnFormula>(INDEX(TblBattlefieldFlt[[A]:[F]],MATCH($J25,TblBattlefieldFlt[Option],0),MATCH(O$24,TblBattlefieldFlt[[#Headers],[A]:[F]],0)))*(INDEX(TblShipCrew[Generic (500)],MATCH($J25,TblShipCrew[Ships],0)))</calculatedColumnFormula>
    </tableColumn>
    <tableColumn id="7" xr3:uid="{00000000-0010-0000-0500-000007000000}" name="F" totalsRowFunction="sum" dataDxfId="52" totalsRowDxfId="53">
      <calculatedColumnFormula>(INDEX(TblBattlefieldFlt[[A]:[F]],MATCH($J25,TblBattlefieldFlt[Option],0),MATCH(P$24,TblBattlefieldFlt[[#Headers],[A]:[F]],0)))*(INDEX(TblShipCrew[Generic (500)],MATCH($J25,TblShipCrew[Ships],0)))</calculatedColumnFormula>
    </tableColumn>
    <tableColumn id="8" xr3:uid="{00000000-0010-0000-0500-000008000000}" name="Name" dataDxfId="50" totalsRowDxfId="51"/>
  </tableColumns>
  <tableStyleInfo name="TableStyleMedium10"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6000000}" name="TblCombinedGenFltValues" displayName="TblCombinedGenFltValues" ref="J32:P43" totalsRowCount="1" headerRowDxfId="49">
  <autoFilter ref="J32:P42" xr:uid="{00000000-0009-0000-0100-00000A000000}"/>
  <tableColumns count="7">
    <tableColumn id="1" xr3:uid="{00000000-0010-0000-0600-000001000000}" name="Option" totalsRowLabel="Total" totalsRowDxfId="48"/>
    <tableColumn id="2" xr3:uid="{00000000-0010-0000-0600-000002000000}" name="A" totalsRowFunction="sum" dataDxfId="46" totalsRowDxfId="47">
      <calculatedColumnFormula>T10</calculatedColumnFormula>
    </tableColumn>
    <tableColumn id="3" xr3:uid="{00000000-0010-0000-0600-000003000000}" name="B" totalsRowFunction="sum" dataDxfId="44" totalsRowDxfId="45"/>
    <tableColumn id="4" xr3:uid="{00000000-0010-0000-0600-000004000000}" name="C" totalsRowFunction="sum" dataDxfId="42" totalsRowDxfId="43"/>
    <tableColumn id="5" xr3:uid="{00000000-0010-0000-0600-000005000000}" name="D" totalsRowFunction="sum" totalsRowDxfId="41"/>
    <tableColumn id="6" xr3:uid="{00000000-0010-0000-0600-000006000000}" name="E" totalsRowFunction="sum" totalsRowDxfId="40"/>
    <tableColumn id="7" xr3:uid="{00000000-0010-0000-0600-000007000000}" name="F" totalsRowFunction="sum" totalsRowDxfId="39"/>
  </tableColumns>
  <tableStyleInfo name="TableStyleMedium10"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7000000}" name="TblShipCrew" displayName="TblShipCrew" ref="D2:L7" totalsRowShown="0" headerRowDxfId="38" dataDxfId="37" headerRowBorderDxfId="35" tableBorderDxfId="36">
  <autoFilter ref="D2:L7" xr:uid="{00000000-0009-0000-0100-00000D000000}"/>
  <tableColumns count="9">
    <tableColumn id="1" xr3:uid="{00000000-0010-0000-0700-000001000000}" name="Ships" dataDxfId="34"/>
    <tableColumn id="2" xr3:uid="{00000000-0010-0000-0700-000002000000}" name="Service" dataDxfId="33"/>
    <tableColumn id="3" xr3:uid="{00000000-0010-0000-0700-000003000000}" name="Lieutenant" dataDxfId="32"/>
    <tableColumn id="4" xr3:uid="{00000000-0010-0000-0700-000004000000}" name="Captain" dataDxfId="31"/>
    <tableColumn id="5" xr3:uid="{00000000-0010-0000-0700-000005000000}" name="Service Value" dataDxfId="30">
      <calculatedColumnFormula>TblShipCrew[[#This Row],[Service]]*TblRoleControlValues[Service]</calculatedColumnFormula>
    </tableColumn>
    <tableColumn id="6" xr3:uid="{00000000-0010-0000-0700-000006000000}" name="Lt Value" dataDxfId="29">
      <calculatedColumnFormula>TblShipCrew[[#This Row],[Lieutenant]]*TblRoleControlValues[Lieutenant]</calculatedColumnFormula>
    </tableColumn>
    <tableColumn id="7" xr3:uid="{00000000-0010-0000-0700-000007000000}" name="Cpt Value" dataDxfId="28">
      <calculatedColumnFormula>TblShipCrew[[#This Row],[Captain]]*TblRoleControlValues[Captain]</calculatedColumnFormula>
    </tableColumn>
    <tableColumn id="8" xr3:uid="{00000000-0010-0000-0700-000008000000}" name="Adjusted" dataDxfId="27">
      <calculatedColumnFormula>SUM(TblShipCrew[[#This Row],[Service Value]:[Cpt Value]])</calculatedColumnFormula>
    </tableColumn>
    <tableColumn id="9" xr3:uid="{00000000-0010-0000-0700-000009000000}" name="Generic (500)" dataDxfId="26">
      <calculatedColumnFormula>SUM(TblShipCrew[[#This Row],[Service]:[Captain]])*TblRoleControlValues[Generic]</calculatedColumnFormula>
    </tableColumn>
  </tableColumns>
  <tableStyleInfo name="TableStyleMedium1"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8000000}" name="TblShipPoints" displayName="TblShipPoints" ref="A2:B7" totalsRowShown="0" headerRowDxfId="25" dataDxfId="24" headerRowBorderDxfId="22" tableBorderDxfId="23">
  <autoFilter ref="A2:B7" xr:uid="{00000000-0009-0000-0100-00000C000000}"/>
  <tableColumns count="2">
    <tableColumn id="1" xr3:uid="{00000000-0010-0000-0800-000001000000}" name="Ships" dataDxfId="21"/>
    <tableColumn id="2" xr3:uid="{00000000-0010-0000-0800-000002000000}" name="Points" dataDxfId="20"/>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table" Target="../tables/table8.xml"/><Relationship Id="rId3" Type="http://schemas.openxmlformats.org/officeDocument/2006/relationships/table" Target="../tables/table3.xml"/><Relationship Id="rId7" Type="http://schemas.openxmlformats.org/officeDocument/2006/relationships/table" Target="../tables/table7.xml"/><Relationship Id="rId2" Type="http://schemas.openxmlformats.org/officeDocument/2006/relationships/table" Target="../tables/table2.xml"/><Relationship Id="rId1" Type="http://schemas.openxmlformats.org/officeDocument/2006/relationships/table" Target="../tables/table1.xml"/><Relationship Id="rId6" Type="http://schemas.openxmlformats.org/officeDocument/2006/relationships/table" Target="../tables/table6.xml"/><Relationship Id="rId5" Type="http://schemas.openxmlformats.org/officeDocument/2006/relationships/table" Target="../tables/table5.xml"/><Relationship Id="rId10" Type="http://schemas.openxmlformats.org/officeDocument/2006/relationships/table" Target="../tables/table10.xml"/><Relationship Id="rId4" Type="http://schemas.openxmlformats.org/officeDocument/2006/relationships/table" Target="../tables/table4.xml"/><Relationship Id="rId9" Type="http://schemas.openxmlformats.org/officeDocument/2006/relationships/table" Target="../tables/table9.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table" Target="../tables/table1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51"/>
  <sheetViews>
    <sheetView workbookViewId="0">
      <selection activeCell="H10" sqref="H10"/>
    </sheetView>
  </sheetViews>
  <sheetFormatPr defaultRowHeight="15"/>
  <cols>
    <col min="1" max="1" width="14.85546875" bestFit="1" customWidth="1"/>
    <col min="2" max="7" width="15.42578125" customWidth="1"/>
    <col min="8" max="8" width="14.85546875" bestFit="1" customWidth="1"/>
    <col min="9" max="9" width="15.140625" bestFit="1" customWidth="1"/>
    <col min="10" max="10" width="14.85546875" bestFit="1" customWidth="1"/>
    <col min="11" max="16" width="15.42578125" customWidth="1"/>
    <col min="17" max="17" width="14.85546875" bestFit="1" customWidth="1"/>
    <col min="18" max="18" width="7.5703125" customWidth="1"/>
    <col min="19" max="19" width="27" customWidth="1"/>
    <col min="20" max="20" width="22.85546875" customWidth="1"/>
    <col min="21" max="21" width="19.42578125" customWidth="1"/>
    <col min="22" max="22" width="22.85546875" customWidth="1"/>
    <col min="23" max="23" width="18" customWidth="1"/>
    <col min="24" max="24" width="10" bestFit="1" customWidth="1"/>
  </cols>
  <sheetData>
    <row r="1" spans="1:17">
      <c r="A1" s="55" t="s">
        <v>0</v>
      </c>
      <c r="B1" s="55"/>
      <c r="C1" s="55"/>
      <c r="D1" s="55"/>
      <c r="E1" s="55"/>
      <c r="F1" s="55"/>
      <c r="G1" s="55"/>
      <c r="H1" s="55"/>
      <c r="N1" s="55" t="s">
        <v>1</v>
      </c>
      <c r="O1" s="55"/>
      <c r="P1" s="55"/>
    </row>
    <row r="2" spans="1:17">
      <c r="A2" s="9" t="s">
        <v>2</v>
      </c>
      <c r="B2" s="9" t="s">
        <v>3</v>
      </c>
      <c r="D2" s="9" t="s">
        <v>2</v>
      </c>
      <c r="E2" s="9" t="s">
        <v>4</v>
      </c>
      <c r="F2" s="9" t="s">
        <v>5</v>
      </c>
      <c r="G2" s="9" t="s">
        <v>6</v>
      </c>
      <c r="H2" t="s">
        <v>7</v>
      </c>
      <c r="I2" t="s">
        <v>8</v>
      </c>
      <c r="J2" t="s">
        <v>9</v>
      </c>
      <c r="K2" s="9" t="s">
        <v>10</v>
      </c>
      <c r="L2" t="s">
        <v>11</v>
      </c>
      <c r="N2" s="1" t="s">
        <v>12</v>
      </c>
      <c r="O2" s="1" t="s">
        <v>4</v>
      </c>
      <c r="P2" s="1" t="s">
        <v>5</v>
      </c>
      <c r="Q2" s="1" t="s">
        <v>6</v>
      </c>
    </row>
    <row r="3" spans="1:17">
      <c r="A3" s="15" t="s">
        <v>13</v>
      </c>
      <c r="B3" s="16">
        <v>5000</v>
      </c>
      <c r="C3" s="1"/>
      <c r="D3" s="10" t="s">
        <v>13</v>
      </c>
      <c r="E3" s="11">
        <v>11</v>
      </c>
      <c r="F3" s="11">
        <v>3</v>
      </c>
      <c r="G3" s="11">
        <v>1</v>
      </c>
      <c r="H3" s="1">
        <f>TblShipCrew[[#This Row],[Service]]*TblRoleControlValues[Service]</f>
        <v>1100</v>
      </c>
      <c r="I3" s="1">
        <f>TblShipCrew[[#This Row],[Lieutenant]]*TblRoleControlValues[Lieutenant]</f>
        <v>600</v>
      </c>
      <c r="J3" s="1">
        <f>TblShipCrew[[#This Row],[Captain]]*TblRoleControlValues[Captain]</f>
        <v>300</v>
      </c>
      <c r="K3" s="1">
        <f>SUM(TblShipCrew[[#This Row],[Service Value]:[Cpt Value]])</f>
        <v>2000</v>
      </c>
      <c r="L3" s="1">
        <f>SUM(TblShipCrew[[#This Row],[Service]:[Captain]])*TblRoleControlValues[Generic]</f>
        <v>7500</v>
      </c>
      <c r="N3" s="1">
        <v>500</v>
      </c>
      <c r="O3" s="1">
        <v>100</v>
      </c>
      <c r="P3" s="1">
        <v>200</v>
      </c>
      <c r="Q3" s="1">
        <v>300</v>
      </c>
    </row>
    <row r="4" spans="1:17">
      <c r="A4" s="10" t="s">
        <v>14</v>
      </c>
      <c r="B4" s="11">
        <v>3500</v>
      </c>
      <c r="C4" s="1"/>
      <c r="D4" s="10" t="s">
        <v>14</v>
      </c>
      <c r="E4" s="11">
        <v>8</v>
      </c>
      <c r="F4" s="11">
        <v>2</v>
      </c>
      <c r="G4" s="11">
        <v>1</v>
      </c>
      <c r="H4" s="1">
        <f>TblShipCrew[[#This Row],[Service]]*TblRoleControlValues[Service]</f>
        <v>800</v>
      </c>
      <c r="I4" s="1">
        <f>TblShipCrew[[#This Row],[Lieutenant]]*TblRoleControlValues[Lieutenant]</f>
        <v>400</v>
      </c>
      <c r="J4" s="1">
        <f>TblShipCrew[[#This Row],[Captain]]*TblRoleControlValues[Captain]</f>
        <v>300</v>
      </c>
      <c r="K4" s="1">
        <f>SUM(TblShipCrew[[#This Row],[Service Value]:[Cpt Value]])</f>
        <v>1500</v>
      </c>
      <c r="L4" s="1">
        <f>SUM(TblShipCrew[[#This Row],[Service]:[Captain]])*TblRoleControlValues[Generic]</f>
        <v>5500</v>
      </c>
    </row>
    <row r="5" spans="1:17">
      <c r="A5" s="10" t="s">
        <v>15</v>
      </c>
      <c r="B5" s="11">
        <v>2500</v>
      </c>
      <c r="C5" s="1"/>
      <c r="D5" s="10" t="s">
        <v>15</v>
      </c>
      <c r="E5" s="11">
        <v>5</v>
      </c>
      <c r="F5" s="11">
        <v>1</v>
      </c>
      <c r="G5" s="11">
        <v>1</v>
      </c>
      <c r="H5" s="1">
        <f>TblShipCrew[[#This Row],[Service]]*TblRoleControlValues[Service]</f>
        <v>500</v>
      </c>
      <c r="I5" s="1">
        <f>TblShipCrew[[#This Row],[Lieutenant]]*TblRoleControlValues[Lieutenant]</f>
        <v>200</v>
      </c>
      <c r="J5" s="1">
        <f>TblShipCrew[[#This Row],[Captain]]*TblRoleControlValues[Captain]</f>
        <v>300</v>
      </c>
      <c r="K5" s="1">
        <f>SUM(TblShipCrew[[#This Row],[Service Value]:[Cpt Value]])</f>
        <v>1000</v>
      </c>
      <c r="L5" s="1">
        <f>SUM(TblShipCrew[[#This Row],[Service]:[Captain]])*TblRoleControlValues[Generic]</f>
        <v>3500</v>
      </c>
    </row>
    <row r="6" spans="1:17">
      <c r="A6" s="10" t="s">
        <v>16</v>
      </c>
      <c r="B6" s="11">
        <v>1500</v>
      </c>
      <c r="C6" s="1"/>
      <c r="D6" s="10" t="s">
        <v>16</v>
      </c>
      <c r="E6" s="11">
        <v>3</v>
      </c>
      <c r="F6" s="11">
        <v>1</v>
      </c>
      <c r="G6" s="11">
        <v>0</v>
      </c>
      <c r="H6" s="1">
        <f>TblShipCrew[[#This Row],[Service]]*TblRoleControlValues[Service]</f>
        <v>300</v>
      </c>
      <c r="I6" s="1">
        <f>TblShipCrew[[#This Row],[Lieutenant]]*TblRoleControlValues[Lieutenant]</f>
        <v>200</v>
      </c>
      <c r="J6" s="1">
        <f>TblShipCrew[[#This Row],[Captain]]*TblRoleControlValues[Captain]</f>
        <v>0</v>
      </c>
      <c r="K6" s="1">
        <f>SUM(TblShipCrew[[#This Row],[Service Value]:[Cpt Value]])</f>
        <v>500</v>
      </c>
      <c r="L6" s="1">
        <f>SUM(TblShipCrew[[#This Row],[Service]:[Captain]])*TblRoleControlValues[Generic]</f>
        <v>2000</v>
      </c>
    </row>
    <row r="7" spans="1:17">
      <c r="A7" t="s">
        <v>17</v>
      </c>
      <c r="B7" s="1">
        <v>500</v>
      </c>
      <c r="C7" s="1"/>
      <c r="D7" t="s">
        <v>17</v>
      </c>
      <c r="E7" s="1">
        <v>1</v>
      </c>
      <c r="F7" s="1">
        <v>0</v>
      </c>
      <c r="G7" s="1">
        <v>0</v>
      </c>
      <c r="H7" s="1">
        <f>TblShipCrew[[#This Row],[Service]]*TblRoleControlValues[Service]</f>
        <v>100</v>
      </c>
      <c r="I7" s="1">
        <f>TblShipCrew[[#This Row],[Lieutenant]]*TblRoleControlValues[Lieutenant]</f>
        <v>0</v>
      </c>
      <c r="J7" s="1">
        <f>TblShipCrew[[#This Row],[Captain]]*TblRoleControlValues[Captain]</f>
        <v>0</v>
      </c>
      <c r="K7" s="1">
        <f>SUM(TblShipCrew[[#This Row],[Service Value]:[Cpt Value]])</f>
        <v>100</v>
      </c>
      <c r="L7" s="1">
        <f>SUM(TblShipCrew[[#This Row],[Service]:[Captain]])*TblRoleControlValues[Generic]</f>
        <v>500</v>
      </c>
    </row>
    <row r="8" spans="1:17">
      <c r="A8" s="55" t="s">
        <v>18</v>
      </c>
      <c r="B8" s="55"/>
      <c r="C8" s="55"/>
      <c r="D8" s="55"/>
      <c r="E8" s="55"/>
      <c r="F8" s="55"/>
      <c r="G8" s="55"/>
      <c r="J8" s="55" t="s">
        <v>19</v>
      </c>
      <c r="K8" s="55"/>
      <c r="L8" s="55"/>
      <c r="M8" s="55"/>
      <c r="N8" s="55"/>
      <c r="O8" s="55"/>
      <c r="P8" s="55"/>
      <c r="Q8" s="55"/>
    </row>
    <row r="9" spans="1:17">
      <c r="A9" s="8" t="s">
        <v>20</v>
      </c>
      <c r="B9" s="1" t="s">
        <v>21</v>
      </c>
      <c r="C9" s="1" t="s">
        <v>22</v>
      </c>
      <c r="D9" s="1" t="s">
        <v>23</v>
      </c>
      <c r="E9" s="1" t="s">
        <v>24</v>
      </c>
      <c r="F9" s="1" t="s">
        <v>25</v>
      </c>
      <c r="G9" s="1" t="s">
        <v>26</v>
      </c>
      <c r="H9" s="1"/>
      <c r="J9" s="8" t="s">
        <v>20</v>
      </c>
      <c r="K9" s="14" t="s">
        <v>21</v>
      </c>
      <c r="L9" s="14" t="s">
        <v>22</v>
      </c>
      <c r="M9" s="14" t="s">
        <v>23</v>
      </c>
      <c r="N9" s="14" t="s">
        <v>24</v>
      </c>
      <c r="O9" s="14" t="s">
        <v>25</v>
      </c>
      <c r="P9" s="14" t="s">
        <v>26</v>
      </c>
      <c r="Q9" s="14" t="s">
        <v>27</v>
      </c>
    </row>
    <row r="10" spans="1:17">
      <c r="A10" t="s">
        <v>13</v>
      </c>
      <c r="B10" s="1">
        <v>1</v>
      </c>
      <c r="C10" s="1"/>
      <c r="D10" s="1"/>
      <c r="E10" s="1"/>
      <c r="F10" s="1"/>
      <c r="G10" s="1"/>
      <c r="H10" s="1"/>
      <c r="J10" t="s">
        <v>13</v>
      </c>
      <c r="K10" s="1">
        <f>(INDEX(TblBattlefieldFlt[[A]:[F]],MATCH(TblFleetShipValues[[#This Row],[Option]],TblBattlefieldFlt[Option],0),MATCH(TblFleetShipValues[[#Headers],[A]],TblBattlefieldFlt[[#Headers],[A]:[F]],0)))*(INDEX(TblShipPoints[Points],MATCH(TblFleetShipValues[[#This Row],[Option]],TblShipPoints[Ships],0)))</f>
        <v>5000</v>
      </c>
      <c r="L10" s="1">
        <f>(INDEX(TblBattlefieldFlt[[A]:[F]],MATCH(TblFleetShipValues[[#This Row],[Option]],TblBattlefieldFlt[Option],0),MATCH(TblFleetShipValues[[#Headers],[B]],TblBattlefieldFlt[[#Headers],[A]:[F]],0)))*(INDEX(TblShipPoints[Points],MATCH(TblFleetShipValues[[#This Row],[Option]],TblShipPoints[Ships],0)))</f>
        <v>0</v>
      </c>
      <c r="M10" s="1">
        <f>(INDEX(TblBattlefieldFlt[[A]:[F]],MATCH(TblFleetShipValues[[#This Row],[Option]],TblBattlefieldFlt[Option],0),MATCH(TblFleetShipValues[[#Headers],[C]],TblBattlefieldFlt[[#Headers],[A]:[F]],0)))*(INDEX(TblShipPoints[Points],MATCH(TblFleetShipValues[[#This Row],[Option]],TblShipPoints[Ships],0)))</f>
        <v>0</v>
      </c>
      <c r="N10" s="1">
        <f>(INDEX(TblBattlefieldFlt[[A]:[F]],MATCH(TblFleetShipValues[[#This Row],[Option]],TblBattlefieldFlt[Option],0),MATCH(TblFleetShipValues[[#Headers],[D]],TblBattlefieldFlt[[#Headers],[A]:[F]],0)))*(INDEX(TblShipPoints[Points],MATCH(TblFleetShipValues[[#This Row],[Option]],TblShipPoints[Ships],0)))</f>
        <v>0</v>
      </c>
      <c r="O10" s="1">
        <f>(INDEX(TblBattlefieldFlt[[A]:[F]],MATCH(TblFleetShipValues[[#This Row],[Option]],TblBattlefieldFlt[Option],0),MATCH(TblFleetShipValues[[#Headers],[E]],TblBattlefieldFlt[[#Headers],[A]:[F]],0)))*(INDEX(TblShipPoints[Points],MATCH(TblFleetShipValues[[#This Row],[Option]],TblShipPoints[Ships],0)))</f>
        <v>0</v>
      </c>
      <c r="P10" s="1">
        <f>(INDEX(TblBattlefieldFlt[[A]:[F]],MATCH(TblFleetShipValues[[#This Row],[Option]],TblBattlefieldFlt[Option],0),MATCH(TblFleetShipValues[[#Headers],[F]],TblBattlefieldFlt[[#Headers],[A]:[F]],0)))*(INDEX(TblShipPoints[Points],MATCH(TblFleetShipValues[[#This Row],[Option]],TblShipPoints[Ships],0)))</f>
        <v>0</v>
      </c>
      <c r="Q10" s="1" t="s">
        <v>28</v>
      </c>
    </row>
    <row r="11" spans="1:17">
      <c r="A11" t="s">
        <v>14</v>
      </c>
      <c r="B11" s="1"/>
      <c r="C11" s="1">
        <v>1</v>
      </c>
      <c r="D11" s="1">
        <v>1</v>
      </c>
      <c r="E11" s="1"/>
      <c r="F11" s="1"/>
      <c r="G11" s="1"/>
      <c r="H11" s="1"/>
      <c r="J11" t="s">
        <v>14</v>
      </c>
      <c r="K11" s="1">
        <f>(INDEX(TblBattlefieldFlt[[A]:[F]],MATCH(TblFleetShipValues[[#This Row],[Option]],TblBattlefieldFlt[Option],0),MATCH(TblFleetShipValues[[#Headers],[A]],TblBattlefieldFlt[[#Headers],[A]:[F]],0)))*(INDEX(TblShipPoints[Points],MATCH(TblFleetShipValues[[#This Row],[Option]],TblShipPoints[Ships],0)))</f>
        <v>0</v>
      </c>
      <c r="L11" s="1">
        <f>(INDEX(TblBattlefieldFlt[[A]:[F]],MATCH(TblFleetShipValues[[#This Row],[Option]],TblBattlefieldFlt[Option],0),MATCH(TblFleetShipValues[[#Headers],[B]],TblBattlefieldFlt[[#Headers],[A]:[F]],0)))*(INDEX(TblShipPoints[Points],MATCH(TblFleetShipValues[[#This Row],[Option]],TblShipPoints[Ships],0)))</f>
        <v>3500</v>
      </c>
      <c r="M11" s="1">
        <f>(INDEX(TblBattlefieldFlt[[A]:[F]],MATCH(TblFleetShipValues[[#This Row],[Option]],TblBattlefieldFlt[Option],0),MATCH(TblFleetShipValues[[#Headers],[C]],TblBattlefieldFlt[[#Headers],[A]:[F]],0)))*(INDEX(TblShipPoints[Points],MATCH(TblFleetShipValues[[#This Row],[Option]],TblShipPoints[Ships],0)))</f>
        <v>3500</v>
      </c>
      <c r="N11" s="1">
        <f>(INDEX(TblBattlefieldFlt[[A]:[F]],MATCH(TblFleetShipValues[[#This Row],[Option]],TblBattlefieldFlt[Option],0),MATCH(TblFleetShipValues[[#Headers],[D]],TblBattlefieldFlt[[#Headers],[A]:[F]],0)))*(INDEX(TblShipPoints[Points],MATCH(TblFleetShipValues[[#This Row],[Option]],TblShipPoints[Ships],0)))</f>
        <v>0</v>
      </c>
      <c r="O11" s="1">
        <f>(INDEX(TblBattlefieldFlt[[A]:[F]],MATCH(TblFleetShipValues[[#This Row],[Option]],TblBattlefieldFlt[Option],0),MATCH(TblFleetShipValues[[#Headers],[E]],TblBattlefieldFlt[[#Headers],[A]:[F]],0)))*(INDEX(TblShipPoints[Points],MATCH(TblFleetShipValues[[#This Row],[Option]],TblShipPoints[Ships],0)))</f>
        <v>0</v>
      </c>
      <c r="P11" s="1">
        <f>(INDEX(TblBattlefieldFlt[[A]:[F]],MATCH(TblFleetShipValues[[#This Row],[Option]],TblBattlefieldFlt[Option],0),MATCH(TblFleetShipValues[[#Headers],[F]],TblBattlefieldFlt[[#Headers],[A]:[F]],0)))*(INDEX(TblShipPoints[Points],MATCH(TblFleetShipValues[[#This Row],[Option]],TblShipPoints[Ships],0)))</f>
        <v>0</v>
      </c>
      <c r="Q11" s="1" t="s">
        <v>29</v>
      </c>
    </row>
    <row r="12" spans="1:17">
      <c r="A12" t="s">
        <v>15</v>
      </c>
      <c r="B12" s="1"/>
      <c r="C12" s="1"/>
      <c r="D12" s="1"/>
      <c r="E12" s="1">
        <v>2</v>
      </c>
      <c r="F12" s="1">
        <v>1</v>
      </c>
      <c r="G12" s="1">
        <v>1</v>
      </c>
      <c r="H12" s="1"/>
      <c r="J12" t="s">
        <v>15</v>
      </c>
      <c r="K12" s="1">
        <f>(INDEX(TblBattlefieldFlt[[A]:[F]],MATCH(TblFleetShipValues[[#This Row],[Option]],TblBattlefieldFlt[Option],0),MATCH(TblFleetShipValues[[#Headers],[A]],TblBattlefieldFlt[[#Headers],[A]:[F]],0)))*(INDEX(TblShipPoints[Points],MATCH(TblFleetShipValues[[#This Row],[Option]],TblShipPoints[Ships],0)))</f>
        <v>0</v>
      </c>
      <c r="L12" s="1">
        <f>(INDEX(TblBattlefieldFlt[[A]:[F]],MATCH(TblFleetShipValues[[#This Row],[Option]],TblBattlefieldFlt[Option],0),MATCH(TblFleetShipValues[[#Headers],[B]],TblBattlefieldFlt[[#Headers],[A]:[F]],0)))*(INDEX(TblShipPoints[Points],MATCH(TblFleetShipValues[[#This Row],[Option]],TblShipPoints[Ships],0)))</f>
        <v>0</v>
      </c>
      <c r="M12" s="1">
        <f>(INDEX(TblBattlefieldFlt[[A]:[F]],MATCH(TblFleetShipValues[[#This Row],[Option]],TblBattlefieldFlt[Option],0),MATCH(TblFleetShipValues[[#Headers],[C]],TblBattlefieldFlt[[#Headers],[A]:[F]],0)))*(INDEX(TblShipPoints[Points],MATCH(TblFleetShipValues[[#This Row],[Option]],TblShipPoints[Ships],0)))</f>
        <v>0</v>
      </c>
      <c r="N12" s="1">
        <f>(INDEX(TblBattlefieldFlt[[A]:[F]],MATCH(TblFleetShipValues[[#This Row],[Option]],TblBattlefieldFlt[Option],0),MATCH(TblFleetShipValues[[#Headers],[D]],TblBattlefieldFlt[[#Headers],[A]:[F]],0)))*(INDEX(TblShipPoints[Points],MATCH(TblFleetShipValues[[#This Row],[Option]],TblShipPoints[Ships],0)))</f>
        <v>5000</v>
      </c>
      <c r="O12" s="1">
        <f>(INDEX(TblBattlefieldFlt[[A]:[F]],MATCH(TblFleetShipValues[[#This Row],[Option]],TblBattlefieldFlt[Option],0),MATCH(TblFleetShipValues[[#Headers],[E]],TblBattlefieldFlt[[#Headers],[A]:[F]],0)))*(INDEX(TblShipPoints[Points],MATCH(TblFleetShipValues[[#This Row],[Option]],TblShipPoints[Ships],0)))</f>
        <v>2500</v>
      </c>
      <c r="P12" s="1">
        <f>(INDEX(TblBattlefieldFlt[[A]:[F]],MATCH(TblFleetShipValues[[#This Row],[Option]],TblBattlefieldFlt[Option],0),MATCH(TblFleetShipValues[[#Headers],[F]],TblBattlefieldFlt[[#Headers],[A]:[F]],0)))*(INDEX(TblShipPoints[Points],MATCH(TblFleetShipValues[[#This Row],[Option]],TblShipPoints[Ships],0)))</f>
        <v>2500</v>
      </c>
      <c r="Q12" s="1" t="s">
        <v>30</v>
      </c>
    </row>
    <row r="13" spans="1:17">
      <c r="A13" t="s">
        <v>16</v>
      </c>
      <c r="B13" s="1"/>
      <c r="C13" s="1">
        <v>1</v>
      </c>
      <c r="D13" s="1"/>
      <c r="E13" s="1"/>
      <c r="F13" s="1">
        <v>1</v>
      </c>
      <c r="G13" s="1"/>
      <c r="H13" s="1"/>
      <c r="J13" t="s">
        <v>16</v>
      </c>
      <c r="K13" s="1">
        <f>(INDEX(TblBattlefieldFlt[[A]:[F]],MATCH(TblFleetShipValues[[#This Row],[Option]],TblBattlefieldFlt[Option],0),MATCH(TblFleetShipValues[[#Headers],[A]],TblBattlefieldFlt[[#Headers],[A]:[F]],0)))*(INDEX(TblShipPoints[Points],MATCH(TblFleetShipValues[[#This Row],[Option]],TblShipPoints[Ships],0)))</f>
        <v>0</v>
      </c>
      <c r="L13" s="1">
        <f>(INDEX(TblBattlefieldFlt[[A]:[F]],MATCH(TblFleetShipValues[[#This Row],[Option]],TblBattlefieldFlt[Option],0),MATCH(TblFleetShipValues[[#Headers],[B]],TblBattlefieldFlt[[#Headers],[A]:[F]],0)))*(INDEX(TblShipPoints[Points],MATCH(TblFleetShipValues[[#This Row],[Option]],TblShipPoints[Ships],0)))</f>
        <v>1500</v>
      </c>
      <c r="M13" s="1">
        <f>(INDEX(TblBattlefieldFlt[[A]:[F]],MATCH(TblFleetShipValues[[#This Row],[Option]],TblBattlefieldFlt[Option],0),MATCH(TblFleetShipValues[[#Headers],[C]],TblBattlefieldFlt[[#Headers],[A]:[F]],0)))*(INDEX(TblShipPoints[Points],MATCH(TblFleetShipValues[[#This Row],[Option]],TblShipPoints[Ships],0)))</f>
        <v>0</v>
      </c>
      <c r="N13" s="1">
        <f>(INDEX(TblBattlefieldFlt[[A]:[F]],MATCH(TblFleetShipValues[[#This Row],[Option]],TblBattlefieldFlt[Option],0),MATCH(TblFleetShipValues[[#Headers],[D]],TblBattlefieldFlt[[#Headers],[A]:[F]],0)))*(INDEX(TblShipPoints[Points],MATCH(TblFleetShipValues[[#This Row],[Option]],TblShipPoints[Ships],0)))</f>
        <v>0</v>
      </c>
      <c r="O13" s="1">
        <f>(INDEX(TblBattlefieldFlt[[A]:[F]],MATCH(TblFleetShipValues[[#This Row],[Option]],TblBattlefieldFlt[Option],0),MATCH(TblFleetShipValues[[#Headers],[E]],TblBattlefieldFlt[[#Headers],[A]:[F]],0)))*(INDEX(TblShipPoints[Points],MATCH(TblFleetShipValues[[#This Row],[Option]],TblShipPoints[Ships],0)))</f>
        <v>1500</v>
      </c>
      <c r="P13" s="1">
        <f>(INDEX(TblBattlefieldFlt[[A]:[F]],MATCH(TblFleetShipValues[[#This Row],[Option]],TblBattlefieldFlt[Option],0),MATCH(TblFleetShipValues[[#Headers],[F]],TblBattlefieldFlt[[#Headers],[A]:[F]],0)))*(INDEX(TblShipPoints[Points],MATCH(TblFleetShipValues[[#This Row],[Option]],TblShipPoints[Ships],0)))</f>
        <v>0</v>
      </c>
      <c r="Q13" s="1" t="s">
        <v>31</v>
      </c>
    </row>
    <row r="14" spans="1:17">
      <c r="A14" t="s">
        <v>17</v>
      </c>
      <c r="B14" s="1"/>
      <c r="C14" s="1"/>
      <c r="D14" s="1">
        <v>5</v>
      </c>
      <c r="E14" s="1"/>
      <c r="F14" s="1">
        <v>5</v>
      </c>
      <c r="G14" s="1">
        <v>10</v>
      </c>
      <c r="H14" s="1"/>
      <c r="J14" t="s">
        <v>17</v>
      </c>
      <c r="K14" s="1">
        <f>(INDEX(TblBattlefieldFlt[[A]:[F]],MATCH(TblFleetShipValues[[#This Row],[Option]],TblBattlefieldFlt[Option],0),MATCH(TblFleetShipValues[[#Headers],[A]],TblBattlefieldFlt[[#Headers],[A]:[F]],0)))*(INDEX(TblShipPoints[Points],MATCH(TblFleetShipValues[[#This Row],[Option]],TblShipPoints[Ships],0)))</f>
        <v>0</v>
      </c>
      <c r="L14" s="1">
        <f>(INDEX(TblBattlefieldFlt[[A]:[F]],MATCH(TblFleetShipValues[[#This Row],[Option]],TblBattlefieldFlt[Option],0),MATCH(TblFleetShipValues[[#Headers],[B]],TblBattlefieldFlt[[#Headers],[A]:[F]],0)))*(INDEX(TblShipPoints[Points],MATCH(TblFleetShipValues[[#This Row],[Option]],TblShipPoints[Ships],0)))</f>
        <v>0</v>
      </c>
      <c r="M14" s="1">
        <f>(INDEX(TblBattlefieldFlt[[A]:[F]],MATCH(TblFleetShipValues[[#This Row],[Option]],TblBattlefieldFlt[Option],0),MATCH(TblFleetShipValues[[#Headers],[C]],TblBattlefieldFlt[[#Headers],[A]:[F]],0)))*(INDEX(TblShipPoints[Points],MATCH(TblFleetShipValues[[#This Row],[Option]],TblShipPoints[Ships],0)))</f>
        <v>2500</v>
      </c>
      <c r="N14" s="1">
        <f>(INDEX(TblBattlefieldFlt[[A]:[F]],MATCH(TblFleetShipValues[[#This Row],[Option]],TblBattlefieldFlt[Option],0),MATCH(TblFleetShipValues[[#Headers],[D]],TblBattlefieldFlt[[#Headers],[A]:[F]],0)))*(INDEX(TblShipPoints[Points],MATCH(TblFleetShipValues[[#This Row],[Option]],TblShipPoints[Ships],0)))</f>
        <v>0</v>
      </c>
      <c r="O14" s="1">
        <f>(INDEX(TblBattlefieldFlt[[A]:[F]],MATCH(TblFleetShipValues[[#This Row],[Option]],TblBattlefieldFlt[Option],0),MATCH(TblFleetShipValues[[#Headers],[E]],TblBattlefieldFlt[[#Headers],[A]:[F]],0)))*(INDEX(TblShipPoints[Points],MATCH(TblFleetShipValues[[#This Row],[Option]],TblShipPoints[Ships],0)))</f>
        <v>2500</v>
      </c>
      <c r="P14" s="1">
        <f>(INDEX(TblBattlefieldFlt[[A]:[F]],MATCH(TblFleetShipValues[[#This Row],[Option]],TblBattlefieldFlt[Option],0),MATCH(TblFleetShipValues[[#Headers],[F]],TblBattlefieldFlt[[#Headers],[A]:[F]],0)))*(INDEX(TblShipPoints[Points],MATCH(TblFleetShipValues[[#This Row],[Option]],TblShipPoints[Ships],0)))</f>
        <v>5000</v>
      </c>
      <c r="Q14" s="1" t="s">
        <v>32</v>
      </c>
    </row>
    <row r="15" spans="1:17">
      <c r="A15" t="s">
        <v>33</v>
      </c>
      <c r="B15" s="1">
        <f>SUBTOTAL(109,TblBattlefieldFlt[A])</f>
        <v>1</v>
      </c>
      <c r="C15" s="1">
        <f>SUBTOTAL(109,TblBattlefieldFlt[B])</f>
        <v>2</v>
      </c>
      <c r="D15" s="1">
        <f>SUBTOTAL(109,TblBattlefieldFlt[C])</f>
        <v>6</v>
      </c>
      <c r="E15" s="1">
        <f>SUBTOTAL(109,TblBattlefieldFlt[D])</f>
        <v>2</v>
      </c>
      <c r="F15" s="1">
        <f>SUBTOTAL(109,TblBattlefieldFlt[E])</f>
        <v>7</v>
      </c>
      <c r="G15" s="1">
        <f>SUBTOTAL(109,TblBattlefieldFlt[F])</f>
        <v>11</v>
      </c>
      <c r="J15" t="s">
        <v>34</v>
      </c>
      <c r="K15" s="1">
        <f>SUBTOTAL(109,TblFleetShipValues[A])</f>
        <v>5000</v>
      </c>
      <c r="L15" s="1">
        <f>SUBTOTAL(109,TblFleetShipValues[B])</f>
        <v>5000</v>
      </c>
      <c r="M15" s="1">
        <f>SUBTOTAL(109,TblFleetShipValues[C])</f>
        <v>6000</v>
      </c>
      <c r="N15" s="1">
        <f>SUBTOTAL(109,TblFleetShipValues[D])</f>
        <v>5000</v>
      </c>
      <c r="O15" s="1">
        <f>SUBTOTAL(109,TblFleetShipValues[E])</f>
        <v>6500</v>
      </c>
      <c r="P15" s="1">
        <f>SUBTOTAL(109,TblFleetShipValues[F])</f>
        <v>7500</v>
      </c>
      <c r="Q15" s="1"/>
    </row>
    <row r="16" spans="1:17">
      <c r="A16" s="55" t="s">
        <v>35</v>
      </c>
      <c r="B16" s="55"/>
      <c r="C16" s="55"/>
      <c r="D16" s="55"/>
      <c r="E16" s="55"/>
      <c r="F16" s="55"/>
      <c r="G16" s="55"/>
      <c r="K16" s="1"/>
      <c r="L16" s="1"/>
      <c r="M16" s="1"/>
      <c r="N16" s="1"/>
      <c r="O16" s="1"/>
      <c r="P16" s="1"/>
      <c r="Q16" s="1"/>
    </row>
    <row r="17" spans="1:18">
      <c r="A17" t="s">
        <v>20</v>
      </c>
      <c r="B17" s="12" t="s">
        <v>21</v>
      </c>
      <c r="C17" s="13" t="s">
        <v>22</v>
      </c>
      <c r="D17" s="14" t="s">
        <v>23</v>
      </c>
      <c r="E17" s="14" t="s">
        <v>24</v>
      </c>
      <c r="F17" s="14" t="s">
        <v>25</v>
      </c>
      <c r="G17" s="14" t="s">
        <v>26</v>
      </c>
      <c r="I17" s="6" t="s">
        <v>36</v>
      </c>
      <c r="K17" s="1"/>
      <c r="L17" s="1"/>
      <c r="M17" s="1"/>
      <c r="N17" s="1"/>
      <c r="O17" s="1"/>
      <c r="P17" s="1"/>
      <c r="Q17" s="1"/>
    </row>
    <row r="18" spans="1:18">
      <c r="A18" t="s">
        <v>4</v>
      </c>
      <c r="B18" s="1">
        <f>SUMPRODUCT(TblBattlefieldFlt[A],TblShipCrew[Service])</f>
        <v>11</v>
      </c>
      <c r="C18" s="1">
        <f>SUMPRODUCT(TblBattlefieldFlt[B],TblShipCrew[Service])</f>
        <v>11</v>
      </c>
      <c r="D18" s="1">
        <f>SUMPRODUCT(TblBattlefieldFlt[C],TblShipCrew[Service])</f>
        <v>13</v>
      </c>
      <c r="E18" s="1">
        <f>SUMPRODUCT(TblBattlefieldFlt[D],TblShipCrew[Service])</f>
        <v>10</v>
      </c>
      <c r="F18" s="1">
        <f>SUMPRODUCT(TblBattlefieldFlt[E],TblShipCrew[Service])</f>
        <v>13</v>
      </c>
      <c r="G18" s="1">
        <f>SUMPRODUCT(TblBattlefieldFlt[F],TblShipCrew[Service])</f>
        <v>15</v>
      </c>
      <c r="I18" s="6" t="s">
        <v>37</v>
      </c>
      <c r="K18" s="1"/>
      <c r="L18" s="1"/>
      <c r="M18" s="1"/>
      <c r="N18" s="1"/>
      <c r="O18" s="1"/>
      <c r="P18" s="1"/>
      <c r="Q18" s="1"/>
    </row>
    <row r="19" spans="1:18">
      <c r="A19" t="s">
        <v>5</v>
      </c>
      <c r="B19" s="1">
        <f>SUMPRODUCT(TblBattlefieldFlt[A],TblShipCrew[Lieutenant])</f>
        <v>3</v>
      </c>
      <c r="C19" s="1">
        <f>SUMPRODUCT(TblBattlefieldFlt[B],TblShipCrew[Lieutenant])</f>
        <v>3</v>
      </c>
      <c r="D19" s="1">
        <f>SUMPRODUCT(TblBattlefieldFlt[C],TblShipCrew[Lieutenant])</f>
        <v>2</v>
      </c>
      <c r="E19" s="1">
        <f>SUMPRODUCT(TblBattlefieldFlt[D],TblShipCrew[Lieutenant])</f>
        <v>2</v>
      </c>
      <c r="F19" s="1">
        <f>SUMPRODUCT(TblBattlefieldFlt[E],TblShipCrew[Lieutenant])</f>
        <v>2</v>
      </c>
      <c r="G19" s="1">
        <f>SUMPRODUCT(TblBattlefieldFlt[F],TblShipCrew[Lieutenant])</f>
        <v>1</v>
      </c>
      <c r="I19" s="2" t="s">
        <v>38</v>
      </c>
      <c r="K19" s="1"/>
      <c r="L19" s="1"/>
      <c r="M19" s="1"/>
      <c r="N19" s="1"/>
      <c r="O19" s="1"/>
      <c r="P19" s="1"/>
      <c r="Q19" s="1"/>
    </row>
    <row r="20" spans="1:18">
      <c r="A20" t="s">
        <v>6</v>
      </c>
      <c r="B20" s="1">
        <f>SUMPRODUCT(TblBattlefieldFlt[A],TblShipCrew[Captain])</f>
        <v>1</v>
      </c>
      <c r="C20" s="1">
        <f>SUMPRODUCT(TblBattlefieldFlt[B],TblShipCrew[Captain])</f>
        <v>1</v>
      </c>
      <c r="D20" s="1">
        <f>SUMPRODUCT(TblBattlefieldFlt[C],TblShipCrew[Captain])</f>
        <v>1</v>
      </c>
      <c r="E20" s="1">
        <f>SUMPRODUCT(TblBattlefieldFlt[D],TblShipCrew[Captain])</f>
        <v>2</v>
      </c>
      <c r="F20" s="1">
        <f>SUMPRODUCT(TblBattlefieldFlt[E],TblShipCrew[Captain])</f>
        <v>1</v>
      </c>
      <c r="G20" s="1">
        <f>SUMPRODUCT(TblBattlefieldFlt[F],TblShipCrew[Captain])</f>
        <v>1</v>
      </c>
      <c r="I20" s="2" t="s">
        <v>39</v>
      </c>
      <c r="K20" s="1"/>
      <c r="L20" s="1"/>
      <c r="M20" s="1"/>
      <c r="N20" s="1"/>
      <c r="O20" s="1"/>
      <c r="P20" s="1"/>
      <c r="Q20" s="1"/>
    </row>
    <row r="21" spans="1:18">
      <c r="A21" t="s">
        <v>33</v>
      </c>
      <c r="B21" s="1">
        <f>SUBTOTAL(109,TblFltCrewSizes[A])</f>
        <v>15</v>
      </c>
      <c r="C21" s="1">
        <f>SUBTOTAL(109,TblFltCrewSizes[B])</f>
        <v>15</v>
      </c>
      <c r="D21" s="1">
        <f>SUBTOTAL(109,TblFltCrewSizes[C])</f>
        <v>16</v>
      </c>
      <c r="E21" s="1">
        <f>SUBTOTAL(109,TblFltCrewSizes[D])</f>
        <v>14</v>
      </c>
      <c r="F21" s="1">
        <f>SUBTOTAL(109,TblFltCrewSizes[E])</f>
        <v>16</v>
      </c>
      <c r="G21" s="1">
        <f>SUBTOTAL(109,TblFltCrewSizes[F])</f>
        <v>17</v>
      </c>
      <c r="I21" s="2"/>
      <c r="K21" s="1"/>
      <c r="L21" s="1"/>
      <c r="M21" s="1"/>
      <c r="N21" s="1"/>
      <c r="O21" s="1"/>
      <c r="P21" s="1"/>
      <c r="Q21" s="1"/>
    </row>
    <row r="22" spans="1:18">
      <c r="A22" s="4"/>
      <c r="B22" s="5"/>
      <c r="C22" s="5"/>
      <c r="D22" s="5"/>
      <c r="E22" s="5"/>
      <c r="F22" s="5"/>
      <c r="G22" s="5"/>
      <c r="H22" s="4"/>
      <c r="I22" s="4"/>
      <c r="J22" s="4"/>
      <c r="K22" s="4"/>
      <c r="L22" s="4"/>
      <c r="M22" s="4"/>
      <c r="N22" s="4"/>
      <c r="O22" s="4"/>
      <c r="P22" s="4"/>
      <c r="Q22" s="4"/>
      <c r="R22" s="4"/>
    </row>
    <row r="23" spans="1:18">
      <c r="A23" s="55" t="s">
        <v>40</v>
      </c>
      <c r="B23" s="55"/>
      <c r="C23" s="55"/>
      <c r="D23" s="55"/>
      <c r="E23" s="55"/>
      <c r="F23" s="55"/>
      <c r="G23" s="55"/>
      <c r="H23" s="55"/>
      <c r="I23" s="4"/>
      <c r="J23" s="55" t="s">
        <v>41</v>
      </c>
      <c r="K23" s="55"/>
      <c r="L23" s="55"/>
      <c r="M23" s="55"/>
      <c r="N23" s="55"/>
      <c r="O23" s="55"/>
      <c r="P23" s="55"/>
      <c r="Q23" s="55"/>
    </row>
    <row r="24" spans="1:18">
      <c r="A24" s="8" t="s">
        <v>20</v>
      </c>
      <c r="B24" s="14" t="s">
        <v>21</v>
      </c>
      <c r="C24" s="14" t="s">
        <v>22</v>
      </c>
      <c r="D24" s="14" t="s">
        <v>23</v>
      </c>
      <c r="E24" s="14" t="s">
        <v>24</v>
      </c>
      <c r="F24" s="14" t="s">
        <v>25</v>
      </c>
      <c r="G24" s="14" t="s">
        <v>26</v>
      </c>
      <c r="H24" s="14" t="s">
        <v>27</v>
      </c>
      <c r="I24" s="4"/>
      <c r="J24" s="8" t="s">
        <v>20</v>
      </c>
      <c r="K24" s="14" t="s">
        <v>21</v>
      </c>
      <c r="L24" s="14" t="s">
        <v>22</v>
      </c>
      <c r="M24" s="14" t="s">
        <v>23</v>
      </c>
      <c r="N24" s="14" t="s">
        <v>24</v>
      </c>
      <c r="O24" s="14" t="s">
        <v>25</v>
      </c>
      <c r="P24" s="14" t="s">
        <v>26</v>
      </c>
      <c r="Q24" s="14" t="s">
        <v>27</v>
      </c>
    </row>
    <row r="25" spans="1:18">
      <c r="A25" t="s">
        <v>13</v>
      </c>
      <c r="B25" s="1">
        <f>(INDEX(TblBattlefieldFlt[[A]:[F]],MATCH($A25,TblBattlefieldFlt[Option],0),MATCH(B$24,TblBattlefieldFlt[[#Headers],[A]:[F]],0)))*(INDEX(TblShipCrew[Adjusted],MATCH($A25,TblShipCrew[Ships],0)))</f>
        <v>2000</v>
      </c>
      <c r="C25" s="1">
        <f>(INDEX(TblBattlefieldFlt[[A]:[F]],MATCH($A25,TblBattlefieldFlt[Option],0),MATCH(C$24,TblBattlefieldFlt[[#Headers],[A]:[F]],0)))*(INDEX(TblShipCrew[Adjusted],MATCH($A25,TblShipCrew[Ships],0)))</f>
        <v>0</v>
      </c>
      <c r="D25" s="1">
        <f>(INDEX(TblBattlefieldFlt[[A]:[F]],MATCH($A25,TblBattlefieldFlt[Option],0),MATCH(D$24,TblBattlefieldFlt[[#Headers],[A]:[F]],0)))*(INDEX(TblShipCrew[Adjusted],MATCH($A25,TblShipCrew[Ships],0)))</f>
        <v>0</v>
      </c>
      <c r="E25" s="1">
        <f>(INDEX(TblBattlefieldFlt[[A]:[F]],MATCH($A25,TblBattlefieldFlt[Option],0),MATCH(E$24,TblBattlefieldFlt[[#Headers],[A]:[F]],0)))*(INDEX(TblShipCrew[Adjusted],MATCH($A25,TblShipCrew[Ships],0)))</f>
        <v>0</v>
      </c>
      <c r="F25" s="1">
        <f>(INDEX(TblBattlefieldFlt[[A]:[F]],MATCH($A25,TblBattlefieldFlt[Option],0),MATCH(F$24,TblBattlefieldFlt[[#Headers],[A]:[F]],0)))*(INDEX(TblShipCrew[Adjusted],MATCH($A25,TblShipCrew[Ships],0)))</f>
        <v>0</v>
      </c>
      <c r="G25" s="1">
        <f>(INDEX(TblBattlefieldFlt[[A]:[F]],MATCH($A25,TblBattlefieldFlt[Option],0),MATCH(G$24,TblBattlefieldFlt[[#Headers],[A]:[F]],0)))*(INDEX(TblShipCrew[Adjusted],MATCH($A25,TblShipCrew[Ships],0)))</f>
        <v>0</v>
      </c>
      <c r="H25" s="1" t="s">
        <v>42</v>
      </c>
      <c r="I25" s="4"/>
      <c r="J25" t="s">
        <v>13</v>
      </c>
      <c r="K25" s="1">
        <f>(INDEX(TblBattlefieldFlt[[A]:[F]],MATCH($J25,TblBattlefieldFlt[Option],0),MATCH(K$24,TblBattlefieldFlt[[#Headers],[A]:[F]],0)))*(INDEX(TblShipCrew[Generic (500)],MATCH($J25,TblShipCrew[Ships],0)))</f>
        <v>7500</v>
      </c>
      <c r="L25" s="1">
        <f>(INDEX(TblBattlefieldFlt[[A]:[F]],MATCH($J25,TblBattlefieldFlt[Option],0),MATCH(L$24,TblBattlefieldFlt[[#Headers],[A]:[F]],0)))*(INDEX(TblShipCrew[Generic (500)],MATCH($J25,TblShipCrew[Ships],0)))</f>
        <v>0</v>
      </c>
      <c r="M25" s="1">
        <f>(INDEX(TblBattlefieldFlt[[A]:[F]],MATCH($J25,TblBattlefieldFlt[Option],0),MATCH(M$24,TblBattlefieldFlt[[#Headers],[A]:[F]],0)))*(INDEX(TblShipCrew[Generic (500)],MATCH($J25,TblShipCrew[Ships],0)))</f>
        <v>0</v>
      </c>
      <c r="N25" s="1">
        <f>(INDEX(TblBattlefieldFlt[[A]:[F]],MATCH($J25,TblBattlefieldFlt[Option],0),MATCH(N$24,TblBattlefieldFlt[[#Headers],[A]:[F]],0)))*(INDEX(TblShipCrew[Generic (500)],MATCH($J25,TblShipCrew[Ships],0)))</f>
        <v>0</v>
      </c>
      <c r="O25" s="1">
        <f>(INDEX(TblBattlefieldFlt[[A]:[F]],MATCH($J25,TblBattlefieldFlt[Option],0),MATCH(O$24,TblBattlefieldFlt[[#Headers],[A]:[F]],0)))*(INDEX(TblShipCrew[Generic (500)],MATCH($J25,TblShipCrew[Ships],0)))</f>
        <v>0</v>
      </c>
      <c r="P25" s="1">
        <f>(INDEX(TblBattlefieldFlt[[A]:[F]],MATCH($J25,TblBattlefieldFlt[Option],0),MATCH(P$24,TblBattlefieldFlt[[#Headers],[A]:[F]],0)))*(INDEX(TblShipCrew[Generic (500)],MATCH($J25,TblShipCrew[Ships],0)))</f>
        <v>0</v>
      </c>
      <c r="Q25" s="1" t="s">
        <v>42</v>
      </c>
    </row>
    <row r="26" spans="1:18">
      <c r="A26" t="s">
        <v>14</v>
      </c>
      <c r="B26" s="1">
        <f>(INDEX(TblBattlefieldFlt[[A]:[F]],MATCH($A26,TblBattlefieldFlt[Option],0),MATCH(B$24,TblBattlefieldFlt[[#Headers],[A]:[F]],0)))*(INDEX(TblShipCrew[Adjusted],MATCH($A26,TblShipCrew[Ships],0)))</f>
        <v>0</v>
      </c>
      <c r="C26" s="1">
        <f>(INDEX(TblBattlefieldFlt[[A]:[F]],MATCH($A26,TblBattlefieldFlt[Option],0),MATCH(C$24,TblBattlefieldFlt[[#Headers],[A]:[F]],0)))*(INDEX(TblShipCrew[Adjusted],MATCH($A26,TblShipCrew[Ships],0)))</f>
        <v>1500</v>
      </c>
      <c r="D26" s="1">
        <f>(INDEX(TblBattlefieldFlt[[A]:[F]],MATCH($A26,TblBattlefieldFlt[Option],0),MATCH(D$24,TblBattlefieldFlt[[#Headers],[A]:[F]],0)))*(INDEX(TblShipCrew[Adjusted],MATCH($A26,TblShipCrew[Ships],0)))</f>
        <v>1500</v>
      </c>
      <c r="E26" s="1">
        <f>(INDEX(TblBattlefieldFlt[[A]:[F]],MATCH($A26,TblBattlefieldFlt[Option],0),MATCH(E$24,TblBattlefieldFlt[[#Headers],[A]:[F]],0)))*(INDEX(TblShipCrew[Adjusted],MATCH($A26,TblShipCrew[Ships],0)))</f>
        <v>0</v>
      </c>
      <c r="F26" s="1">
        <f>(INDEX(TblBattlefieldFlt[[A]:[F]],MATCH($A26,TblBattlefieldFlt[Option],0),MATCH(F$24,TblBattlefieldFlt[[#Headers],[A]:[F]],0)))*(INDEX(TblShipCrew[Adjusted],MATCH($A26,TblShipCrew[Ships],0)))</f>
        <v>0</v>
      </c>
      <c r="G26" s="1">
        <f>(INDEX(TblBattlefieldFlt[[A]:[F]],MATCH($A26,TblBattlefieldFlt[Option],0),MATCH(G$24,TblBattlefieldFlt[[#Headers],[A]:[F]],0)))*(INDEX(TblShipCrew[Adjusted],MATCH($A26,TblShipCrew[Ships],0)))</f>
        <v>0</v>
      </c>
      <c r="H26" s="1" t="s">
        <v>43</v>
      </c>
      <c r="I26" s="4"/>
      <c r="J26" t="s">
        <v>14</v>
      </c>
      <c r="K26" s="1">
        <f>(INDEX(TblBattlefieldFlt[[A]:[F]],MATCH($J26,TblBattlefieldFlt[Option],0),MATCH(K$24,TblBattlefieldFlt[[#Headers],[A]:[F]],0)))*(INDEX(TblShipCrew[Generic (500)],MATCH($J26,TblShipCrew[Ships],0)))</f>
        <v>0</v>
      </c>
      <c r="L26" s="1">
        <f>(INDEX(TblBattlefieldFlt[[A]:[F]],MATCH($J26,TblBattlefieldFlt[Option],0),MATCH(L$24,TblBattlefieldFlt[[#Headers],[A]:[F]],0)))*(INDEX(TblShipCrew[Generic (500)],MATCH($J26,TblShipCrew[Ships],0)))</f>
        <v>5500</v>
      </c>
      <c r="M26" s="1">
        <f>(INDEX(TblBattlefieldFlt[[A]:[F]],MATCH($J26,TblBattlefieldFlt[Option],0),MATCH(M$24,TblBattlefieldFlt[[#Headers],[A]:[F]],0)))*(INDEX(TblShipCrew[Generic (500)],MATCH($J26,TblShipCrew[Ships],0)))</f>
        <v>5500</v>
      </c>
      <c r="N26" s="1">
        <f>(INDEX(TblBattlefieldFlt[[A]:[F]],MATCH($J26,TblBattlefieldFlt[Option],0),MATCH(N$24,TblBattlefieldFlt[[#Headers],[A]:[F]],0)))*(INDEX(TblShipCrew[Generic (500)],MATCH($J26,TblShipCrew[Ships],0)))</f>
        <v>0</v>
      </c>
      <c r="O26" s="1">
        <f>(INDEX(TblBattlefieldFlt[[A]:[F]],MATCH($J26,TblBattlefieldFlt[Option],0),MATCH(O$24,TblBattlefieldFlt[[#Headers],[A]:[F]],0)))*(INDEX(TblShipCrew[Generic (500)],MATCH($J26,TblShipCrew[Ships],0)))</f>
        <v>0</v>
      </c>
      <c r="P26" s="1">
        <f>(INDEX(TblBattlefieldFlt[[A]:[F]],MATCH($J26,TblBattlefieldFlt[Option],0),MATCH(P$24,TblBattlefieldFlt[[#Headers],[A]:[F]],0)))*(INDEX(TblShipCrew[Generic (500)],MATCH($J26,TblShipCrew[Ships],0)))</f>
        <v>0</v>
      </c>
      <c r="Q26" s="1" t="s">
        <v>43</v>
      </c>
    </row>
    <row r="27" spans="1:18">
      <c r="A27" t="s">
        <v>15</v>
      </c>
      <c r="B27" s="1">
        <f>(INDEX(TblBattlefieldFlt[[A]:[F]],MATCH($A27,TblBattlefieldFlt[Option],0),MATCH(B$24,TblBattlefieldFlt[[#Headers],[A]:[F]],0)))*(INDEX(TblShipCrew[Adjusted],MATCH($A27,TblShipCrew[Ships],0)))</f>
        <v>0</v>
      </c>
      <c r="C27" s="1">
        <f>(INDEX(TblBattlefieldFlt[[A]:[F]],MATCH($A27,TblBattlefieldFlt[Option],0),MATCH(C$24,TblBattlefieldFlt[[#Headers],[A]:[F]],0)))*(INDEX(TblShipCrew[Adjusted],MATCH($A27,TblShipCrew[Ships],0)))</f>
        <v>0</v>
      </c>
      <c r="D27" s="1">
        <f>(INDEX(TblBattlefieldFlt[[A]:[F]],MATCH($A27,TblBattlefieldFlt[Option],0),MATCH(D$24,TblBattlefieldFlt[[#Headers],[A]:[F]],0)))*(INDEX(TblShipCrew[Adjusted],MATCH($A27,TblShipCrew[Ships],0)))</f>
        <v>0</v>
      </c>
      <c r="E27" s="1">
        <f>(INDEX(TblBattlefieldFlt[[A]:[F]],MATCH($A27,TblBattlefieldFlt[Option],0),MATCH(E$24,TblBattlefieldFlt[[#Headers],[A]:[F]],0)))*(INDEX(TblShipCrew[Adjusted],MATCH($A27,TblShipCrew[Ships],0)))</f>
        <v>2000</v>
      </c>
      <c r="F27" s="1">
        <f>(INDEX(TblBattlefieldFlt[[A]:[F]],MATCH($A27,TblBattlefieldFlt[Option],0),MATCH(F$24,TblBattlefieldFlt[[#Headers],[A]:[F]],0)))*(INDEX(TblShipCrew[Adjusted],MATCH($A27,TblShipCrew[Ships],0)))</f>
        <v>1000</v>
      </c>
      <c r="G27" s="1">
        <f>(INDEX(TblBattlefieldFlt[[A]:[F]],MATCH($A27,TblBattlefieldFlt[Option],0),MATCH(G$24,TblBattlefieldFlt[[#Headers],[A]:[F]],0)))*(INDEX(TblShipCrew[Adjusted],MATCH($A27,TblShipCrew[Ships],0)))</f>
        <v>1000</v>
      </c>
      <c r="H27" s="1" t="s">
        <v>44</v>
      </c>
      <c r="I27" s="4"/>
      <c r="J27" t="s">
        <v>15</v>
      </c>
      <c r="K27" s="1">
        <f>(INDEX(TblBattlefieldFlt[[A]:[F]],MATCH($J27,TblBattlefieldFlt[Option],0),MATCH(K$24,TblBattlefieldFlt[[#Headers],[A]:[F]],0)))*(INDEX(TblShipCrew[Generic (500)],MATCH($J27,TblShipCrew[Ships],0)))</f>
        <v>0</v>
      </c>
      <c r="L27" s="1">
        <f>(INDEX(TblBattlefieldFlt[[A]:[F]],MATCH($J27,TblBattlefieldFlt[Option],0),MATCH(L$24,TblBattlefieldFlt[[#Headers],[A]:[F]],0)))*(INDEX(TblShipCrew[Generic (500)],MATCH($J27,TblShipCrew[Ships],0)))</f>
        <v>0</v>
      </c>
      <c r="M27" s="1">
        <f>(INDEX(TblBattlefieldFlt[[A]:[F]],MATCH($J27,TblBattlefieldFlt[Option],0),MATCH(M$24,TblBattlefieldFlt[[#Headers],[A]:[F]],0)))*(INDEX(TblShipCrew[Generic (500)],MATCH($J27,TblShipCrew[Ships],0)))</f>
        <v>0</v>
      </c>
      <c r="N27" s="1">
        <f>(INDEX(TblBattlefieldFlt[[A]:[F]],MATCH($J27,TblBattlefieldFlt[Option],0),MATCH(N$24,TblBattlefieldFlt[[#Headers],[A]:[F]],0)))*(INDEX(TblShipCrew[Generic (500)],MATCH($J27,TblShipCrew[Ships],0)))</f>
        <v>7000</v>
      </c>
      <c r="O27" s="1">
        <f>(INDEX(TblBattlefieldFlt[[A]:[F]],MATCH($J27,TblBattlefieldFlt[Option],0),MATCH(O$24,TblBattlefieldFlt[[#Headers],[A]:[F]],0)))*(INDEX(TblShipCrew[Generic (500)],MATCH($J27,TblShipCrew[Ships],0)))</f>
        <v>3500</v>
      </c>
      <c r="P27" s="1">
        <f>(INDEX(TblBattlefieldFlt[[A]:[F]],MATCH($J27,TblBattlefieldFlt[Option],0),MATCH(P$24,TblBattlefieldFlt[[#Headers],[A]:[F]],0)))*(INDEX(TblShipCrew[Generic (500)],MATCH($J27,TblShipCrew[Ships],0)))</f>
        <v>3500</v>
      </c>
      <c r="Q27" s="1" t="s">
        <v>44</v>
      </c>
    </row>
    <row r="28" spans="1:18">
      <c r="A28" t="s">
        <v>16</v>
      </c>
      <c r="B28" s="1">
        <f>(INDEX(TblBattlefieldFlt[[A]:[F]],MATCH($A28,TblBattlefieldFlt[Option],0),MATCH(B$24,TblBattlefieldFlt[[#Headers],[A]:[F]],0)))*(INDEX(TblShipCrew[Adjusted],MATCH($A28,TblShipCrew[Ships],0)))</f>
        <v>0</v>
      </c>
      <c r="C28" s="1">
        <f>(INDEX(TblBattlefieldFlt[[A]:[F]],MATCH($A28,TblBattlefieldFlt[Option],0),MATCH(C$24,TblBattlefieldFlt[[#Headers],[A]:[F]],0)))*(INDEX(TblShipCrew[Adjusted],MATCH($A28,TblShipCrew[Ships],0)))</f>
        <v>500</v>
      </c>
      <c r="D28" s="1">
        <f>(INDEX(TblBattlefieldFlt[[A]:[F]],MATCH($A28,TblBattlefieldFlt[Option],0),MATCH(D$24,TblBattlefieldFlt[[#Headers],[A]:[F]],0)))*(INDEX(TblShipCrew[Adjusted],MATCH($A28,TblShipCrew[Ships],0)))</f>
        <v>0</v>
      </c>
      <c r="E28" s="1">
        <f>(INDEX(TblBattlefieldFlt[[A]:[F]],MATCH($A28,TblBattlefieldFlt[Option],0),MATCH(E$24,TblBattlefieldFlt[[#Headers],[A]:[F]],0)))*(INDEX(TblShipCrew[Adjusted],MATCH($A28,TblShipCrew[Ships],0)))</f>
        <v>0</v>
      </c>
      <c r="F28" s="1">
        <f>(INDEX(TblBattlefieldFlt[[A]:[F]],MATCH($A28,TblBattlefieldFlt[Option],0),MATCH(F$24,TblBattlefieldFlt[[#Headers],[A]:[F]],0)))*(INDEX(TblShipCrew[Adjusted],MATCH($A28,TblShipCrew[Ships],0)))</f>
        <v>500</v>
      </c>
      <c r="G28" s="1">
        <f>(INDEX(TblBattlefieldFlt[[A]:[F]],MATCH($A28,TblBattlefieldFlt[Option],0),MATCH(G$24,TblBattlefieldFlt[[#Headers],[A]:[F]],0)))*(INDEX(TblShipCrew[Adjusted],MATCH($A28,TblShipCrew[Ships],0)))</f>
        <v>0</v>
      </c>
      <c r="H28" s="1" t="s">
        <v>45</v>
      </c>
      <c r="I28" s="4"/>
      <c r="J28" t="s">
        <v>16</v>
      </c>
      <c r="K28" s="1">
        <f>(INDEX(TblBattlefieldFlt[[A]:[F]],MATCH($J28,TblBattlefieldFlt[Option],0),MATCH(K$24,TblBattlefieldFlt[[#Headers],[A]:[F]],0)))*(INDEX(TblShipCrew[Generic (500)],MATCH($J28,TblShipCrew[Ships],0)))</f>
        <v>0</v>
      </c>
      <c r="L28" s="1">
        <f>(INDEX(TblBattlefieldFlt[[A]:[F]],MATCH($J28,TblBattlefieldFlt[Option],0),MATCH(L$24,TblBattlefieldFlt[[#Headers],[A]:[F]],0)))*(INDEX(TblShipCrew[Generic (500)],MATCH($J28,TblShipCrew[Ships],0)))</f>
        <v>2000</v>
      </c>
      <c r="M28" s="1">
        <f>(INDEX(TblBattlefieldFlt[[A]:[F]],MATCH($J28,TblBattlefieldFlt[Option],0),MATCH(M$24,TblBattlefieldFlt[[#Headers],[A]:[F]],0)))*(INDEX(TblShipCrew[Generic (500)],MATCH($J28,TblShipCrew[Ships],0)))</f>
        <v>0</v>
      </c>
      <c r="N28" s="1">
        <f>(INDEX(TblBattlefieldFlt[[A]:[F]],MATCH($J28,TblBattlefieldFlt[Option],0),MATCH(N$24,TblBattlefieldFlt[[#Headers],[A]:[F]],0)))*(INDEX(TblShipCrew[Generic (500)],MATCH($J28,TblShipCrew[Ships],0)))</f>
        <v>0</v>
      </c>
      <c r="O28" s="1">
        <f>(INDEX(TblBattlefieldFlt[[A]:[F]],MATCH($J28,TblBattlefieldFlt[Option],0),MATCH(O$24,TblBattlefieldFlt[[#Headers],[A]:[F]],0)))*(INDEX(TblShipCrew[Generic (500)],MATCH($J28,TblShipCrew[Ships],0)))</f>
        <v>2000</v>
      </c>
      <c r="P28" s="1">
        <f>(INDEX(TblBattlefieldFlt[[A]:[F]],MATCH($J28,TblBattlefieldFlt[Option],0),MATCH(P$24,TblBattlefieldFlt[[#Headers],[A]:[F]],0)))*(INDEX(TblShipCrew[Generic (500)],MATCH($J28,TblShipCrew[Ships],0)))</f>
        <v>0</v>
      </c>
      <c r="Q28" s="1" t="s">
        <v>45</v>
      </c>
    </row>
    <row r="29" spans="1:18">
      <c r="A29" t="s">
        <v>17</v>
      </c>
      <c r="B29" s="1">
        <f>(INDEX(TblBattlefieldFlt[[A]:[F]],MATCH($A29,TblBattlefieldFlt[Option],0),MATCH(B$24,TblBattlefieldFlt[[#Headers],[A]:[F]],0)))*(INDEX(TblShipCrew[Adjusted],MATCH($A29,TblShipCrew[Ships],0)))</f>
        <v>0</v>
      </c>
      <c r="C29" s="1">
        <f>(INDEX(TblBattlefieldFlt[[A]:[F]],MATCH($A29,TblBattlefieldFlt[Option],0),MATCH(C$24,TblBattlefieldFlt[[#Headers],[A]:[F]],0)))*(INDEX(TblShipCrew[Adjusted],MATCH($A29,TblShipCrew[Ships],0)))</f>
        <v>0</v>
      </c>
      <c r="D29" s="1">
        <f>(INDEX(TblBattlefieldFlt[[A]:[F]],MATCH($A29,TblBattlefieldFlt[Option],0),MATCH(D$24,TblBattlefieldFlt[[#Headers],[A]:[F]],0)))*(INDEX(TblShipCrew[Adjusted],MATCH($A29,TblShipCrew[Ships],0)))</f>
        <v>500</v>
      </c>
      <c r="E29" s="1">
        <f>(INDEX(TblBattlefieldFlt[[A]:[F]],MATCH($A29,TblBattlefieldFlt[Option],0),MATCH(E$24,TblBattlefieldFlt[[#Headers],[A]:[F]],0)))*(INDEX(TblShipCrew[Adjusted],MATCH($A29,TblShipCrew[Ships],0)))</f>
        <v>0</v>
      </c>
      <c r="F29" s="1">
        <f>(INDEX(TblBattlefieldFlt[[A]:[F]],MATCH($A29,TblBattlefieldFlt[Option],0),MATCH(F$24,TblBattlefieldFlt[[#Headers],[A]:[F]],0)))*(INDEX(TblShipCrew[Adjusted],MATCH($A29,TblShipCrew[Ships],0)))</f>
        <v>500</v>
      </c>
      <c r="G29" s="1">
        <f>(INDEX(TblBattlefieldFlt[[A]:[F]],MATCH($A29,TblBattlefieldFlt[Option],0),MATCH(G$24,TblBattlefieldFlt[[#Headers],[A]:[F]],0)))*(INDEX(TblShipCrew[Adjusted],MATCH($A29,TblShipCrew[Ships],0)))</f>
        <v>1000</v>
      </c>
      <c r="H29" s="1" t="s">
        <v>46</v>
      </c>
      <c r="I29" s="4"/>
      <c r="J29" t="s">
        <v>17</v>
      </c>
      <c r="K29" s="1">
        <f>(INDEX(TblBattlefieldFlt[[A]:[F]],MATCH($J29,TblBattlefieldFlt[Option],0),MATCH(K$24,TblBattlefieldFlt[[#Headers],[A]:[F]],0)))*(INDEX(TblShipCrew[Generic (500)],MATCH($J29,TblShipCrew[Ships],0)))</f>
        <v>0</v>
      </c>
      <c r="L29" s="1">
        <f>(INDEX(TblBattlefieldFlt[[A]:[F]],MATCH($J29,TblBattlefieldFlt[Option],0),MATCH(L$24,TblBattlefieldFlt[[#Headers],[A]:[F]],0)))*(INDEX(TblShipCrew[Generic (500)],MATCH($J29,TblShipCrew[Ships],0)))</f>
        <v>0</v>
      </c>
      <c r="M29" s="1">
        <f>(INDEX(TblBattlefieldFlt[[A]:[F]],MATCH($J29,TblBattlefieldFlt[Option],0),MATCH(M$24,TblBattlefieldFlt[[#Headers],[A]:[F]],0)))*(INDEX(TblShipCrew[Generic (500)],MATCH($J29,TblShipCrew[Ships],0)))</f>
        <v>2500</v>
      </c>
      <c r="N29" s="1">
        <f>(INDEX(TblBattlefieldFlt[[A]:[F]],MATCH($J29,TblBattlefieldFlt[Option],0),MATCH(N$24,TblBattlefieldFlt[[#Headers],[A]:[F]],0)))*(INDEX(TblShipCrew[Generic (500)],MATCH($J29,TblShipCrew[Ships],0)))</f>
        <v>0</v>
      </c>
      <c r="O29" s="1">
        <f>(INDEX(TblBattlefieldFlt[[A]:[F]],MATCH($J29,TblBattlefieldFlt[Option],0),MATCH(O$24,TblBattlefieldFlt[[#Headers],[A]:[F]],0)))*(INDEX(TblShipCrew[Generic (500)],MATCH($J29,TblShipCrew[Ships],0)))</f>
        <v>2500</v>
      </c>
      <c r="P29" s="1">
        <f>(INDEX(TblBattlefieldFlt[[A]:[F]],MATCH($J29,TblBattlefieldFlt[Option],0),MATCH(P$24,TblBattlefieldFlt[[#Headers],[A]:[F]],0)))*(INDEX(TblShipCrew[Generic (500)],MATCH($J29,TblShipCrew[Ships],0)))</f>
        <v>5000</v>
      </c>
      <c r="Q29" s="1" t="s">
        <v>46</v>
      </c>
    </row>
    <row r="30" spans="1:18">
      <c r="A30" t="s">
        <v>33</v>
      </c>
      <c r="B30" s="1">
        <f>SUBTOTAL(109,TblAdjFleetRolesValues[A])</f>
        <v>2000</v>
      </c>
      <c r="C30" s="1">
        <f>SUBTOTAL(109,TblAdjFleetRolesValues[B])</f>
        <v>2000</v>
      </c>
      <c r="D30" s="1">
        <f>SUBTOTAL(109,TblAdjFleetRolesValues[C])</f>
        <v>2000</v>
      </c>
      <c r="E30" s="1">
        <f>SUBTOTAL(109,TblAdjFleetRolesValues[D])</f>
        <v>2000</v>
      </c>
      <c r="F30" s="1">
        <f>SUBTOTAL(109,TblAdjFleetRolesValues[E])</f>
        <v>2000</v>
      </c>
      <c r="G30" s="1">
        <f>SUBTOTAL(109,TblAdjFleetRolesValues[F])</f>
        <v>2000</v>
      </c>
      <c r="H30" s="1"/>
      <c r="I30" s="4"/>
      <c r="J30" t="s">
        <v>33</v>
      </c>
      <c r="K30" s="1">
        <f>SUBTOTAL(109,TblGenFleetRolesValues[A])</f>
        <v>7500</v>
      </c>
      <c r="L30" s="1">
        <f>SUBTOTAL(109,TblGenFleetRolesValues[B])</f>
        <v>7500</v>
      </c>
      <c r="M30" s="1">
        <f>SUBTOTAL(109,TblGenFleetRolesValues[C])</f>
        <v>8000</v>
      </c>
      <c r="N30" s="1">
        <f>SUBTOTAL(109,TblGenFleetRolesValues[D])</f>
        <v>7000</v>
      </c>
      <c r="O30" s="1">
        <f>SUBTOTAL(109,TblGenFleetRolesValues[E])</f>
        <v>8000</v>
      </c>
      <c r="P30" s="1">
        <f>SUBTOTAL(109,TblGenFleetRolesValues[F])</f>
        <v>8500</v>
      </c>
      <c r="Q30" s="1"/>
    </row>
    <row r="31" spans="1:18">
      <c r="A31" s="55" t="s">
        <v>47</v>
      </c>
      <c r="B31" s="55"/>
      <c r="C31" s="55"/>
      <c r="D31" s="55"/>
      <c r="E31" s="55"/>
      <c r="F31" s="55"/>
      <c r="G31" s="55"/>
      <c r="I31" s="4"/>
      <c r="J31" s="55" t="s">
        <v>48</v>
      </c>
      <c r="K31" s="55"/>
      <c r="L31" s="55"/>
      <c r="M31" s="55"/>
      <c r="N31" s="55"/>
      <c r="O31" s="55"/>
      <c r="P31" s="55"/>
    </row>
    <row r="32" spans="1:18">
      <c r="A32" t="s">
        <v>20</v>
      </c>
      <c r="B32" s="14" t="s">
        <v>21</v>
      </c>
      <c r="C32" s="14" t="s">
        <v>22</v>
      </c>
      <c r="D32" s="14" t="s">
        <v>23</v>
      </c>
      <c r="E32" s="14" t="s">
        <v>24</v>
      </c>
      <c r="F32" s="14" t="s">
        <v>25</v>
      </c>
      <c r="G32" s="14" t="s">
        <v>26</v>
      </c>
      <c r="I32" s="4"/>
      <c r="J32" t="s">
        <v>20</v>
      </c>
      <c r="K32" s="14" t="s">
        <v>21</v>
      </c>
      <c r="L32" s="14" t="s">
        <v>22</v>
      </c>
      <c r="M32" s="14" t="s">
        <v>23</v>
      </c>
      <c r="N32" s="14" t="s">
        <v>24</v>
      </c>
      <c r="O32" s="14" t="s">
        <v>25</v>
      </c>
      <c r="P32" s="14" t="s">
        <v>26</v>
      </c>
    </row>
    <row r="33" spans="1:16">
      <c r="A33" t="s">
        <v>28</v>
      </c>
      <c r="B33" s="1">
        <f>INDEX(TblFleetShipValues[[A]:[F]],MATCH(TblCombinedAdjFltValues[[#This Row],[Option]],TblFleetShipValues[Name],0),MATCH(TblCombinedAdjFltValues[[#Headers],[A]],TblFleetShipValues[[#Headers],[A]:[F]],0))</f>
        <v>5000</v>
      </c>
      <c r="C33" s="1">
        <f>INDEX(TblFleetShipValues[[A]:[F]],MATCH(TblCombinedAdjFltValues[[#This Row],[Option]],TblFleetShipValues[Name],0),MATCH(TblCombinedAdjFltValues[[#Headers],[B]],TblFleetShipValues[[#Headers],[A]:[F]],0))</f>
        <v>0</v>
      </c>
      <c r="D33" s="1">
        <f>INDEX(TblFleetShipValues[[A]:[F]],MATCH(TblCombinedAdjFltValues[[#This Row],[Option]],TblFleetShipValues[Name],0),MATCH(TblCombinedAdjFltValues[[#Headers],[C]],TblFleetShipValues[[#Headers],[A]:[F]],0))</f>
        <v>0</v>
      </c>
      <c r="E33" s="1">
        <f>INDEX(TblFleetShipValues[[A]:[F]],MATCH(TblCombinedAdjFltValues[[#This Row],[Option]],TblFleetShipValues[Name],0),MATCH(TblCombinedAdjFltValues[[#Headers],[D]],TblFleetShipValues[[#Headers],[A]:[F]],0))</f>
        <v>0</v>
      </c>
      <c r="F33" s="1">
        <f>INDEX(TblFleetShipValues[[A]:[F]],MATCH(TblCombinedAdjFltValues[[#This Row],[Option]],TblFleetShipValues[Name],0),MATCH(TblCombinedAdjFltValues[[#Headers],[E]],TblFleetShipValues[[#Headers],[A]:[F]],0))</f>
        <v>0</v>
      </c>
      <c r="G33" s="1">
        <f>INDEX(TblFleetShipValues[[A]:[F]],MATCH(TblCombinedAdjFltValues[[#This Row],[Option]],TblFleetShipValues[Name],0),MATCH(TblCombinedAdjFltValues[[#Headers],[F]],TblFleetShipValues[[#Headers],[A]:[F]],0))</f>
        <v>0</v>
      </c>
      <c r="I33" s="4"/>
      <c r="J33" t="s">
        <v>28</v>
      </c>
      <c r="K33" s="1">
        <f>INDEX(TblFleetShipValues[[A]:[F]],MATCH(TblCombinedGenFltValues[[#This Row],[Option]],TblFleetShipValues[Name],0),MATCH(TblCombinedGenFltValues[[#Headers],[A]],TblFleetShipValues[[#Headers],[A]:[F]],0))</f>
        <v>5000</v>
      </c>
      <c r="L33" s="1">
        <f>INDEX(TblFleetShipValues[[A]:[F]],MATCH(TblCombinedGenFltValues[[#This Row],[Option]],TblFleetShipValues[Name],0),MATCH(TblCombinedGenFltValues[[#Headers],[B]],TblFleetShipValues[[#Headers],[A]:[F]],0))</f>
        <v>0</v>
      </c>
      <c r="M33" s="1">
        <f>INDEX(TblFleetShipValues[[A]:[F]],MATCH(TblCombinedGenFltValues[[#This Row],[Option]],TblFleetShipValues[Name],0),MATCH(TblCombinedGenFltValues[[#Headers],[C]],TblFleetShipValues[[#Headers],[A]:[F]],0))</f>
        <v>0</v>
      </c>
      <c r="N33" s="1">
        <f>INDEX(TblFleetShipValues[[A]:[F]],MATCH(TblCombinedGenFltValues[[#This Row],[Option]],TblFleetShipValues[Name],0),MATCH(TblCombinedGenFltValues[[#Headers],[D]],TblFleetShipValues[[#Headers],[A]:[F]],0))</f>
        <v>0</v>
      </c>
      <c r="O33" s="1">
        <f>INDEX(TblFleetShipValues[[A]:[F]],MATCH(TblCombinedGenFltValues[[#This Row],[Option]],TblFleetShipValues[Name],0),MATCH(TblCombinedGenFltValues[[#Headers],[E]],TblFleetShipValues[[#Headers],[A]:[F]],0))</f>
        <v>0</v>
      </c>
      <c r="P33" s="1">
        <f>INDEX(TblFleetShipValues[[A]:[F]],MATCH(TblCombinedGenFltValues[[#This Row],[Option]],TblFleetShipValues[Name],0),MATCH(TblCombinedGenFltValues[[#Headers],[F]],TblFleetShipValues[[#Headers],[A]:[F]],0))</f>
        <v>0</v>
      </c>
    </row>
    <row r="34" spans="1:16">
      <c r="A34" t="s">
        <v>42</v>
      </c>
      <c r="B34" s="1">
        <f>INDEX(TblAdjFleetRolesValues[[A]:[F]],MATCH(TblCombinedAdjFltValues[[#This Row],[Option]],TblAdjFleetRolesValues[Name],0),MATCH(TblCombinedAdjFltValues[[#Headers],[A]],TblAdjFleetRolesValues[[#Headers],[A]:[F]],0))</f>
        <v>2000</v>
      </c>
      <c r="C34" s="1">
        <f>INDEX(TblAdjFleetRolesValues[[A]:[F]],MATCH(TblCombinedAdjFltValues[[#This Row],[Option]],TblAdjFleetRolesValues[Name],0),MATCH(TblCombinedAdjFltValues[[#Headers],[B]],TblAdjFleetRolesValues[[#Headers],[A]:[F]],0))</f>
        <v>0</v>
      </c>
      <c r="D34" s="1">
        <f>INDEX(TblAdjFleetRolesValues[[A]:[F]],MATCH(TblCombinedAdjFltValues[[#This Row],[Option]],TblAdjFleetRolesValues[Name],0),MATCH(TblCombinedAdjFltValues[[#Headers],[C]],TblAdjFleetRolesValues[[#Headers],[A]:[F]],0))</f>
        <v>0</v>
      </c>
      <c r="E34" s="1">
        <f>INDEX(TblAdjFleetRolesValues[[A]:[F]],MATCH(TblCombinedAdjFltValues[[#This Row],[Option]],TblAdjFleetRolesValues[Name],0),MATCH(TblCombinedAdjFltValues[[#Headers],[D]],TblAdjFleetRolesValues[[#Headers],[A]:[F]],0))</f>
        <v>0</v>
      </c>
      <c r="F34" s="1">
        <f>INDEX(TblAdjFleetRolesValues[[A]:[F]],MATCH(TblCombinedAdjFltValues[[#This Row],[Option]],TblAdjFleetRolesValues[Name],0),MATCH(TblCombinedAdjFltValues[[#Headers],[E]],TblAdjFleetRolesValues[[#Headers],[A]:[F]],0))</f>
        <v>0</v>
      </c>
      <c r="G34" s="1">
        <f>INDEX(TblAdjFleetRolesValues[[A]:[F]],MATCH(TblCombinedAdjFltValues[[#This Row],[Option]],TblAdjFleetRolesValues[Name],0),MATCH(TblCombinedAdjFltValues[[#Headers],[F]],TblAdjFleetRolesValues[[#Headers],[A]:[F]],0))</f>
        <v>0</v>
      </c>
      <c r="I34" s="4"/>
      <c r="J34" t="s">
        <v>42</v>
      </c>
      <c r="K34" s="1">
        <f>INDEX(TblGenFleetRolesValues[[A]:[F]],MATCH(TblCombinedGenFltValues[[#This Row],[Option]],TblGenFleetRolesValues[Name],0),MATCH(TblCombinedGenFltValues[[#Headers],[A]],TblGenFleetRolesValues[[#Headers],[A]:[F]],0))</f>
        <v>7500</v>
      </c>
      <c r="L34" s="1">
        <f>INDEX(TblGenFleetRolesValues[[A]:[F]],MATCH(TblCombinedGenFltValues[[#This Row],[Option]],TblGenFleetRolesValues[Name],0),MATCH(TblCombinedGenFltValues[[#Headers],[B]],TblGenFleetRolesValues[[#Headers],[A]:[F]],0))</f>
        <v>0</v>
      </c>
      <c r="M34" s="1">
        <f>INDEX(TblGenFleetRolesValues[[A]:[F]],MATCH(TblCombinedGenFltValues[[#This Row],[Option]],TblGenFleetRolesValues[Name],0),MATCH(TblCombinedGenFltValues[[#Headers],[C]],TblGenFleetRolesValues[[#Headers],[A]:[F]],0))</f>
        <v>0</v>
      </c>
      <c r="N34" s="1">
        <f>INDEX(TblGenFleetRolesValues[[A]:[F]],MATCH(TblCombinedGenFltValues[[#This Row],[Option]],TblGenFleetRolesValues[Name],0),MATCH(TblCombinedGenFltValues[[#Headers],[D]],TblGenFleetRolesValues[[#Headers],[A]:[F]],0))</f>
        <v>0</v>
      </c>
      <c r="O34" s="1">
        <f>INDEX(TblGenFleetRolesValues[[A]:[F]],MATCH(TblCombinedGenFltValues[[#This Row],[Option]],TblGenFleetRolesValues[Name],0),MATCH(TblCombinedGenFltValues[[#Headers],[E]],TblGenFleetRolesValues[[#Headers],[A]:[F]],0))</f>
        <v>0</v>
      </c>
      <c r="P34" s="1">
        <f>INDEX(TblGenFleetRolesValues[[A]:[F]],MATCH(TblCombinedGenFltValues[[#This Row],[Option]],TblGenFleetRolesValues[Name],0),MATCH(TblCombinedGenFltValues[[#Headers],[F]],TblGenFleetRolesValues[[#Headers],[A]:[F]],0))</f>
        <v>0</v>
      </c>
    </row>
    <row r="35" spans="1:16">
      <c r="A35" t="s">
        <v>29</v>
      </c>
      <c r="B35" s="1">
        <f>INDEX(TblFleetShipValues[[A]:[F]],MATCH(TblCombinedAdjFltValues[[#This Row],[Option]],TblFleetShipValues[Name],0),MATCH(TblCombinedAdjFltValues[[#Headers],[A]],TblFleetShipValues[[#Headers],[A]:[F]],0))</f>
        <v>0</v>
      </c>
      <c r="C35" s="1">
        <f>INDEX(TblFleetShipValues[[A]:[F]],MATCH(TblCombinedAdjFltValues[[#This Row],[Option]],TblFleetShipValues[Name],0),MATCH(TblCombinedAdjFltValues[[#Headers],[B]],TblFleetShipValues[[#Headers],[A]:[F]],0))</f>
        <v>3500</v>
      </c>
      <c r="D35" s="1">
        <f>INDEX(TblFleetShipValues[[A]:[F]],MATCH(TblCombinedAdjFltValues[[#This Row],[Option]],TblFleetShipValues[Name],0),MATCH(TblCombinedAdjFltValues[[#Headers],[C]],TblFleetShipValues[[#Headers],[A]:[F]],0))</f>
        <v>3500</v>
      </c>
      <c r="E35" s="1">
        <f>INDEX(TblFleetShipValues[[A]:[F]],MATCH(TblCombinedAdjFltValues[[#This Row],[Option]],TblFleetShipValues[Name],0),MATCH(TblCombinedAdjFltValues[[#Headers],[D]],TblFleetShipValues[[#Headers],[A]:[F]],0))</f>
        <v>0</v>
      </c>
      <c r="F35" s="1">
        <f>INDEX(TblFleetShipValues[[A]:[F]],MATCH(TblCombinedAdjFltValues[[#This Row],[Option]],TblFleetShipValues[Name],0),MATCH(TblCombinedAdjFltValues[[#Headers],[E]],TblFleetShipValues[[#Headers],[A]:[F]],0))</f>
        <v>0</v>
      </c>
      <c r="G35" s="1">
        <f>INDEX(TblFleetShipValues[[A]:[F]],MATCH(TblCombinedAdjFltValues[[#This Row],[Option]],TblFleetShipValues[Name],0),MATCH(TblCombinedAdjFltValues[[#Headers],[F]],TblFleetShipValues[[#Headers],[A]:[F]],0))</f>
        <v>0</v>
      </c>
      <c r="I35" s="4"/>
      <c r="J35" t="s">
        <v>29</v>
      </c>
      <c r="K35" s="1">
        <f>INDEX(TblFleetShipValues[[A]:[F]],MATCH(TblCombinedGenFltValues[[#This Row],[Option]],TblFleetShipValues[Name],0),MATCH(TblCombinedGenFltValues[[#Headers],[A]],TblFleetShipValues[[#Headers],[A]:[F]],0))</f>
        <v>0</v>
      </c>
      <c r="L35" s="1">
        <f>INDEX(TblFleetShipValues[[A]:[F]],MATCH(TblCombinedGenFltValues[[#This Row],[Option]],TblFleetShipValues[Name],0),MATCH(TblCombinedGenFltValues[[#Headers],[B]],TblFleetShipValues[[#Headers],[A]:[F]],0))</f>
        <v>3500</v>
      </c>
      <c r="M35" s="1">
        <f>INDEX(TblFleetShipValues[[A]:[F]],MATCH(TblCombinedGenFltValues[[#This Row],[Option]],TblFleetShipValues[Name],0),MATCH(TblCombinedGenFltValues[[#Headers],[C]],TblFleetShipValues[[#Headers],[A]:[F]],0))</f>
        <v>3500</v>
      </c>
      <c r="N35" s="1">
        <f>INDEX(TblFleetShipValues[[A]:[F]],MATCH(TblCombinedGenFltValues[[#This Row],[Option]],TblFleetShipValues[Name],0),MATCH(TblCombinedGenFltValues[[#Headers],[D]],TblFleetShipValues[[#Headers],[A]:[F]],0))</f>
        <v>0</v>
      </c>
      <c r="O35" s="1">
        <f>INDEX(TblFleetShipValues[[A]:[F]],MATCH(TblCombinedGenFltValues[[#This Row],[Option]],TblFleetShipValues[Name],0),MATCH(TblCombinedGenFltValues[[#Headers],[E]],TblFleetShipValues[[#Headers],[A]:[F]],0))</f>
        <v>0</v>
      </c>
      <c r="P35" s="1">
        <f>INDEX(TblFleetShipValues[[A]:[F]],MATCH(TblCombinedGenFltValues[[#This Row],[Option]],TblFleetShipValues[Name],0),MATCH(TblCombinedGenFltValues[[#Headers],[F]],TblFleetShipValues[[#Headers],[A]:[F]],0))</f>
        <v>0</v>
      </c>
    </row>
    <row r="36" spans="1:16">
      <c r="A36" t="s">
        <v>43</v>
      </c>
      <c r="B36" s="1">
        <f>INDEX(TblAdjFleetRolesValues[[A]:[F]],MATCH(TblCombinedAdjFltValues[[#This Row],[Option]],TblAdjFleetRolesValues[Name],0),MATCH(TblCombinedAdjFltValues[[#Headers],[A]],TblAdjFleetRolesValues[[#Headers],[A]:[F]],0))</f>
        <v>0</v>
      </c>
      <c r="C36" s="1">
        <f>INDEX(TblAdjFleetRolesValues[[A]:[F]],MATCH(TblCombinedAdjFltValues[[#This Row],[Option]],TblAdjFleetRolesValues[Name],0),MATCH(TblCombinedAdjFltValues[[#Headers],[B]],TblAdjFleetRolesValues[[#Headers],[A]:[F]],0))</f>
        <v>1500</v>
      </c>
      <c r="D36" s="1">
        <f>INDEX(TblAdjFleetRolesValues[[A]:[F]],MATCH(TblCombinedAdjFltValues[[#This Row],[Option]],TblAdjFleetRolesValues[Name],0),MATCH(TblCombinedAdjFltValues[[#Headers],[C]],TblAdjFleetRolesValues[[#Headers],[A]:[F]],0))</f>
        <v>1500</v>
      </c>
      <c r="E36" s="1">
        <f>INDEX(TblAdjFleetRolesValues[[A]:[F]],MATCH(TblCombinedAdjFltValues[[#This Row],[Option]],TblAdjFleetRolesValues[Name],0),MATCH(TblCombinedAdjFltValues[[#Headers],[D]],TblAdjFleetRolesValues[[#Headers],[A]:[F]],0))</f>
        <v>0</v>
      </c>
      <c r="F36" s="1">
        <f>INDEX(TblAdjFleetRolesValues[[A]:[F]],MATCH(TblCombinedAdjFltValues[[#This Row],[Option]],TblAdjFleetRolesValues[Name],0),MATCH(TblCombinedAdjFltValues[[#Headers],[E]],TblAdjFleetRolesValues[[#Headers],[A]:[F]],0))</f>
        <v>0</v>
      </c>
      <c r="G36" s="1">
        <f>INDEX(TblAdjFleetRolesValues[[A]:[F]],MATCH(TblCombinedAdjFltValues[[#This Row],[Option]],TblAdjFleetRolesValues[Name],0),MATCH(TblCombinedAdjFltValues[[#Headers],[F]],TblAdjFleetRolesValues[[#Headers],[A]:[F]],0))</f>
        <v>0</v>
      </c>
      <c r="I36" s="4"/>
      <c r="J36" t="s">
        <v>43</v>
      </c>
      <c r="K36" s="1">
        <f>INDEX(TblGenFleetRolesValues[[A]:[F]],MATCH(TblCombinedGenFltValues[[#This Row],[Option]],TblGenFleetRolesValues[Name],0),MATCH(TblCombinedGenFltValues[[#Headers],[A]],TblGenFleetRolesValues[[#Headers],[A]:[F]],0))</f>
        <v>0</v>
      </c>
      <c r="L36" s="1">
        <f>INDEX(TblGenFleetRolesValues[[A]:[F]],MATCH(TblCombinedGenFltValues[[#This Row],[Option]],TblGenFleetRolesValues[Name],0),MATCH(TblCombinedGenFltValues[[#Headers],[B]],TblGenFleetRolesValues[[#Headers],[A]:[F]],0))</f>
        <v>5500</v>
      </c>
      <c r="M36" s="1">
        <f>INDEX(TblGenFleetRolesValues[[A]:[F]],MATCH(TblCombinedGenFltValues[[#This Row],[Option]],TblGenFleetRolesValues[Name],0),MATCH(TblCombinedGenFltValues[[#Headers],[C]],TblGenFleetRolesValues[[#Headers],[A]:[F]],0))</f>
        <v>5500</v>
      </c>
      <c r="N36" s="1">
        <f>INDEX(TblGenFleetRolesValues[[A]:[F]],MATCH(TblCombinedGenFltValues[[#This Row],[Option]],TblGenFleetRolesValues[Name],0),MATCH(TblCombinedGenFltValues[[#Headers],[D]],TblGenFleetRolesValues[[#Headers],[A]:[F]],0))</f>
        <v>0</v>
      </c>
      <c r="O36" s="1">
        <f>INDEX(TblGenFleetRolesValues[[A]:[F]],MATCH(TblCombinedGenFltValues[[#This Row],[Option]],TblGenFleetRolesValues[Name],0),MATCH(TblCombinedGenFltValues[[#Headers],[E]],TblGenFleetRolesValues[[#Headers],[A]:[F]],0))</f>
        <v>0</v>
      </c>
      <c r="P36" s="1">
        <f>INDEX(TblGenFleetRolesValues[[A]:[F]],MATCH(TblCombinedGenFltValues[[#This Row],[Option]],TblGenFleetRolesValues[Name],0),MATCH(TblCombinedGenFltValues[[#Headers],[F]],TblGenFleetRolesValues[[#Headers],[A]:[F]],0))</f>
        <v>0</v>
      </c>
    </row>
    <row r="37" spans="1:16">
      <c r="A37" t="s">
        <v>30</v>
      </c>
      <c r="B37" s="1">
        <f>INDEX(TblFleetShipValues[[A]:[F]],MATCH(TblCombinedAdjFltValues[[#This Row],[Option]],TblFleetShipValues[Name],0),MATCH(TblCombinedAdjFltValues[[#Headers],[A]],TblFleetShipValues[[#Headers],[A]:[F]],0))</f>
        <v>0</v>
      </c>
      <c r="C37" s="1">
        <f>INDEX(TblFleetShipValues[[A]:[F]],MATCH(TblCombinedAdjFltValues[[#This Row],[Option]],TblFleetShipValues[Name],0),MATCH(TblCombinedAdjFltValues[[#Headers],[B]],TblFleetShipValues[[#Headers],[A]:[F]],0))</f>
        <v>0</v>
      </c>
      <c r="D37" s="1">
        <f>INDEX(TblFleetShipValues[[A]:[F]],MATCH(TblCombinedAdjFltValues[[#This Row],[Option]],TblFleetShipValues[Name],0),MATCH(TblCombinedAdjFltValues[[#Headers],[C]],TblFleetShipValues[[#Headers],[A]:[F]],0))</f>
        <v>0</v>
      </c>
      <c r="E37" s="1">
        <f>INDEX(TblFleetShipValues[[A]:[F]],MATCH(TblCombinedAdjFltValues[[#This Row],[Option]],TblFleetShipValues[Name],0),MATCH(TblCombinedAdjFltValues[[#Headers],[D]],TblFleetShipValues[[#Headers],[A]:[F]],0))</f>
        <v>5000</v>
      </c>
      <c r="F37" s="1">
        <f>INDEX(TblFleetShipValues[[A]:[F]],MATCH(TblCombinedAdjFltValues[[#This Row],[Option]],TblFleetShipValues[Name],0),MATCH(TblCombinedAdjFltValues[[#Headers],[E]],TblFleetShipValues[[#Headers],[A]:[F]],0))</f>
        <v>2500</v>
      </c>
      <c r="G37" s="1">
        <f>INDEX(TblFleetShipValues[[A]:[F]],MATCH(TblCombinedAdjFltValues[[#This Row],[Option]],TblFleetShipValues[Name],0),MATCH(TblCombinedAdjFltValues[[#Headers],[F]],TblFleetShipValues[[#Headers],[A]:[F]],0))</f>
        <v>2500</v>
      </c>
      <c r="I37" s="4"/>
      <c r="J37" t="s">
        <v>30</v>
      </c>
      <c r="K37" s="1">
        <f>INDEX(TblFleetShipValues[[A]:[F]],MATCH(TblCombinedGenFltValues[[#This Row],[Option]],TblFleetShipValues[Name],0),MATCH(TblCombinedGenFltValues[[#Headers],[A]],TblFleetShipValues[[#Headers],[A]:[F]],0))</f>
        <v>0</v>
      </c>
      <c r="L37" s="1">
        <f>INDEX(TblFleetShipValues[[A]:[F]],MATCH(TblCombinedGenFltValues[[#This Row],[Option]],TblFleetShipValues[Name],0),MATCH(TblCombinedGenFltValues[[#Headers],[B]],TblFleetShipValues[[#Headers],[A]:[F]],0))</f>
        <v>0</v>
      </c>
      <c r="M37" s="1">
        <f>INDEX(TblFleetShipValues[[A]:[F]],MATCH(TblCombinedGenFltValues[[#This Row],[Option]],TblFleetShipValues[Name],0),MATCH(TblCombinedGenFltValues[[#Headers],[C]],TblFleetShipValues[[#Headers],[A]:[F]],0))</f>
        <v>0</v>
      </c>
      <c r="N37" s="1">
        <f>INDEX(TblFleetShipValues[[A]:[F]],MATCH(TblCombinedGenFltValues[[#This Row],[Option]],TblFleetShipValues[Name],0),MATCH(TblCombinedGenFltValues[[#Headers],[D]],TblFleetShipValues[[#Headers],[A]:[F]],0))</f>
        <v>5000</v>
      </c>
      <c r="O37" s="1">
        <f>INDEX(TblFleetShipValues[[A]:[F]],MATCH(TblCombinedGenFltValues[[#This Row],[Option]],TblFleetShipValues[Name],0),MATCH(TblCombinedGenFltValues[[#Headers],[E]],TblFleetShipValues[[#Headers],[A]:[F]],0))</f>
        <v>2500</v>
      </c>
      <c r="P37" s="1">
        <f>INDEX(TblFleetShipValues[[A]:[F]],MATCH(TblCombinedGenFltValues[[#This Row],[Option]],TblFleetShipValues[Name],0),MATCH(TblCombinedGenFltValues[[#Headers],[F]],TblFleetShipValues[[#Headers],[A]:[F]],0))</f>
        <v>2500</v>
      </c>
    </row>
    <row r="38" spans="1:16">
      <c r="A38" t="s">
        <v>44</v>
      </c>
      <c r="B38" s="1">
        <f>INDEX(TblAdjFleetRolesValues[[A]:[F]],MATCH(TblCombinedAdjFltValues[[#This Row],[Option]],TblAdjFleetRolesValues[Name],0),MATCH(TblCombinedAdjFltValues[[#Headers],[A]],TblAdjFleetRolesValues[[#Headers],[A]:[F]],0))</f>
        <v>0</v>
      </c>
      <c r="C38" s="1">
        <f>INDEX(TblAdjFleetRolesValues[[A]:[F]],MATCH(TblCombinedAdjFltValues[[#This Row],[Option]],TblAdjFleetRolesValues[Name],0),MATCH(TblCombinedAdjFltValues[[#Headers],[B]],TblAdjFleetRolesValues[[#Headers],[A]:[F]],0))</f>
        <v>0</v>
      </c>
      <c r="D38" s="1">
        <f>INDEX(TblAdjFleetRolesValues[[A]:[F]],MATCH(TblCombinedAdjFltValues[[#This Row],[Option]],TblAdjFleetRolesValues[Name],0),MATCH(TblCombinedAdjFltValues[[#Headers],[C]],TblAdjFleetRolesValues[[#Headers],[A]:[F]],0))</f>
        <v>0</v>
      </c>
      <c r="E38" s="1">
        <f>INDEX(TblAdjFleetRolesValues[[A]:[F]],MATCH(TblCombinedAdjFltValues[[#This Row],[Option]],TblAdjFleetRolesValues[Name],0),MATCH(TblCombinedAdjFltValues[[#Headers],[D]],TblAdjFleetRolesValues[[#Headers],[A]:[F]],0))</f>
        <v>2000</v>
      </c>
      <c r="F38" s="1">
        <f>INDEX(TblAdjFleetRolesValues[[A]:[F]],MATCH(TblCombinedAdjFltValues[[#This Row],[Option]],TblAdjFleetRolesValues[Name],0),MATCH(TblCombinedAdjFltValues[[#Headers],[E]],TblAdjFleetRolesValues[[#Headers],[A]:[F]],0))</f>
        <v>1000</v>
      </c>
      <c r="G38" s="1">
        <f>INDEX(TblAdjFleetRolesValues[[A]:[F]],MATCH(TblCombinedAdjFltValues[[#This Row],[Option]],TblAdjFleetRolesValues[Name],0),MATCH(TblCombinedAdjFltValues[[#Headers],[F]],TblAdjFleetRolesValues[[#Headers],[A]:[F]],0))</f>
        <v>1000</v>
      </c>
      <c r="I38" s="4"/>
      <c r="J38" t="s">
        <v>44</v>
      </c>
      <c r="K38" s="1">
        <f>INDEX(TblGenFleetRolesValues[[A]:[F]],MATCH(TblCombinedGenFltValues[[#This Row],[Option]],TblGenFleetRolesValues[Name],0),MATCH(TblCombinedGenFltValues[[#Headers],[A]],TblGenFleetRolesValues[[#Headers],[A]:[F]],0))</f>
        <v>0</v>
      </c>
      <c r="L38" s="1">
        <f>INDEX(TblGenFleetRolesValues[[A]:[F]],MATCH(TblCombinedGenFltValues[[#This Row],[Option]],TblGenFleetRolesValues[Name],0),MATCH(TblCombinedGenFltValues[[#Headers],[B]],TblGenFleetRolesValues[[#Headers],[A]:[F]],0))</f>
        <v>0</v>
      </c>
      <c r="M38" s="1">
        <f>INDEX(TblGenFleetRolesValues[[A]:[F]],MATCH(TblCombinedGenFltValues[[#This Row],[Option]],TblGenFleetRolesValues[Name],0),MATCH(TblCombinedGenFltValues[[#Headers],[C]],TblGenFleetRolesValues[[#Headers],[A]:[F]],0))</f>
        <v>0</v>
      </c>
      <c r="N38" s="1">
        <f>INDEX(TblGenFleetRolesValues[[A]:[F]],MATCH(TblCombinedGenFltValues[[#This Row],[Option]],TblGenFleetRolesValues[Name],0),MATCH(TblCombinedGenFltValues[[#Headers],[D]],TblGenFleetRolesValues[[#Headers],[A]:[F]],0))</f>
        <v>7000</v>
      </c>
      <c r="O38" s="1">
        <f>INDEX(TblGenFleetRolesValues[[A]:[F]],MATCH(TblCombinedGenFltValues[[#This Row],[Option]],TblGenFleetRolesValues[Name],0),MATCH(TblCombinedGenFltValues[[#Headers],[E]],TblGenFleetRolesValues[[#Headers],[A]:[F]],0))</f>
        <v>3500</v>
      </c>
      <c r="P38" s="1">
        <f>INDEX(TblGenFleetRolesValues[[A]:[F]],MATCH(TblCombinedGenFltValues[[#This Row],[Option]],TblGenFleetRolesValues[Name],0),MATCH(TblCombinedGenFltValues[[#Headers],[F]],TblGenFleetRolesValues[[#Headers],[A]:[F]],0))</f>
        <v>3500</v>
      </c>
    </row>
    <row r="39" spans="1:16">
      <c r="A39" t="s">
        <v>31</v>
      </c>
      <c r="B39" s="1">
        <f>INDEX(TblFleetShipValues[[A]:[F]],MATCH(TblCombinedAdjFltValues[[#This Row],[Option]],TblFleetShipValues[Name],0),MATCH(TblCombinedAdjFltValues[[#Headers],[A]],TblFleetShipValues[[#Headers],[A]:[F]],0))</f>
        <v>0</v>
      </c>
      <c r="C39" s="1">
        <f>INDEX(TblFleetShipValues[[A]:[F]],MATCH(TblCombinedAdjFltValues[[#This Row],[Option]],TblFleetShipValues[Name],0),MATCH(TblCombinedAdjFltValues[[#Headers],[B]],TblFleetShipValues[[#Headers],[A]:[F]],0))</f>
        <v>1500</v>
      </c>
      <c r="D39" s="1">
        <f>INDEX(TblFleetShipValues[[A]:[F]],MATCH(TblCombinedAdjFltValues[[#This Row],[Option]],TblFleetShipValues[Name],0),MATCH(TblCombinedAdjFltValues[[#Headers],[C]],TblFleetShipValues[[#Headers],[A]:[F]],0))</f>
        <v>0</v>
      </c>
      <c r="E39" s="1">
        <f>INDEX(TblFleetShipValues[[A]:[F]],MATCH(TblCombinedAdjFltValues[[#This Row],[Option]],TblFleetShipValues[Name],0),MATCH(TblCombinedAdjFltValues[[#Headers],[D]],TblFleetShipValues[[#Headers],[A]:[F]],0))</f>
        <v>0</v>
      </c>
      <c r="F39" s="1">
        <f>INDEX(TblFleetShipValues[[A]:[F]],MATCH(TblCombinedAdjFltValues[[#This Row],[Option]],TblFleetShipValues[Name],0),MATCH(TblCombinedAdjFltValues[[#Headers],[E]],TblFleetShipValues[[#Headers],[A]:[F]],0))</f>
        <v>1500</v>
      </c>
      <c r="G39" s="1">
        <f>INDEX(TblFleetShipValues[[A]:[F]],MATCH(TblCombinedAdjFltValues[[#This Row],[Option]],TblFleetShipValues[Name],0),MATCH(TblCombinedAdjFltValues[[#Headers],[F]],TblFleetShipValues[[#Headers],[A]:[F]],0))</f>
        <v>0</v>
      </c>
      <c r="I39" s="4"/>
      <c r="J39" t="s">
        <v>31</v>
      </c>
      <c r="K39" s="1">
        <f>INDEX(TblFleetShipValues[[A]:[F]],MATCH(TblCombinedGenFltValues[[#This Row],[Option]],TblFleetShipValues[Name],0),MATCH(TblCombinedGenFltValues[[#Headers],[A]],TblFleetShipValues[[#Headers],[A]:[F]],0))</f>
        <v>0</v>
      </c>
      <c r="L39" s="1">
        <f>INDEX(TblFleetShipValues[[A]:[F]],MATCH(TblCombinedGenFltValues[[#This Row],[Option]],TblFleetShipValues[Name],0),MATCH(TblCombinedGenFltValues[[#Headers],[B]],TblFleetShipValues[[#Headers],[A]:[F]],0))</f>
        <v>1500</v>
      </c>
      <c r="M39" s="1">
        <f>INDEX(TblFleetShipValues[[A]:[F]],MATCH(TblCombinedGenFltValues[[#This Row],[Option]],TblFleetShipValues[Name],0),MATCH(TblCombinedGenFltValues[[#Headers],[C]],TblFleetShipValues[[#Headers],[A]:[F]],0))</f>
        <v>0</v>
      </c>
      <c r="N39" s="1">
        <f>INDEX(TblFleetShipValues[[A]:[F]],MATCH(TblCombinedGenFltValues[[#This Row],[Option]],TblFleetShipValues[Name],0),MATCH(TblCombinedGenFltValues[[#Headers],[D]],TblFleetShipValues[[#Headers],[A]:[F]],0))</f>
        <v>0</v>
      </c>
      <c r="O39" s="1">
        <f>INDEX(TblFleetShipValues[[A]:[F]],MATCH(TblCombinedGenFltValues[[#This Row],[Option]],TblFleetShipValues[Name],0),MATCH(TblCombinedGenFltValues[[#Headers],[E]],TblFleetShipValues[[#Headers],[A]:[F]],0))</f>
        <v>1500</v>
      </c>
      <c r="P39" s="1">
        <f>INDEX(TblFleetShipValues[[A]:[F]],MATCH(TblCombinedGenFltValues[[#This Row],[Option]],TblFleetShipValues[Name],0),MATCH(TblCombinedGenFltValues[[#Headers],[F]],TblFleetShipValues[[#Headers],[A]:[F]],0))</f>
        <v>0</v>
      </c>
    </row>
    <row r="40" spans="1:16">
      <c r="A40" t="s">
        <v>45</v>
      </c>
      <c r="B40" s="1">
        <f>INDEX(TblAdjFleetRolesValues[[A]:[F]],MATCH(TblCombinedAdjFltValues[[#This Row],[Option]],TblAdjFleetRolesValues[Name],0),MATCH(TblCombinedAdjFltValues[[#Headers],[A]],TblAdjFleetRolesValues[[#Headers],[A]:[F]],0))</f>
        <v>0</v>
      </c>
      <c r="C40" s="1">
        <f>INDEX(TblAdjFleetRolesValues[[A]:[F]],MATCH(TblCombinedAdjFltValues[[#This Row],[Option]],TblAdjFleetRolesValues[Name],0),MATCH(TblCombinedAdjFltValues[[#Headers],[B]],TblAdjFleetRolesValues[[#Headers],[A]:[F]],0))</f>
        <v>500</v>
      </c>
      <c r="D40" s="1">
        <f>INDEX(TblAdjFleetRolesValues[[A]:[F]],MATCH(TblCombinedAdjFltValues[[#This Row],[Option]],TblAdjFleetRolesValues[Name],0),MATCH(TblCombinedAdjFltValues[[#Headers],[C]],TblAdjFleetRolesValues[[#Headers],[A]:[F]],0))</f>
        <v>0</v>
      </c>
      <c r="E40" s="1">
        <f>INDEX(TblAdjFleetRolesValues[[A]:[F]],MATCH(TblCombinedAdjFltValues[[#This Row],[Option]],TblAdjFleetRolesValues[Name],0),MATCH(TblCombinedAdjFltValues[[#Headers],[D]],TblAdjFleetRolesValues[[#Headers],[A]:[F]],0))</f>
        <v>0</v>
      </c>
      <c r="F40" s="1">
        <f>INDEX(TblAdjFleetRolesValues[[A]:[F]],MATCH(TblCombinedAdjFltValues[[#This Row],[Option]],TblAdjFleetRolesValues[Name],0),MATCH(TblCombinedAdjFltValues[[#Headers],[E]],TblAdjFleetRolesValues[[#Headers],[A]:[F]],0))</f>
        <v>500</v>
      </c>
      <c r="G40" s="1">
        <f>INDEX(TblAdjFleetRolesValues[[A]:[F]],MATCH(TblCombinedAdjFltValues[[#This Row],[Option]],TblAdjFleetRolesValues[Name],0),MATCH(TblCombinedAdjFltValues[[#Headers],[F]],TblAdjFleetRolesValues[[#Headers],[A]:[F]],0))</f>
        <v>0</v>
      </c>
      <c r="I40" s="4"/>
      <c r="J40" t="s">
        <v>45</v>
      </c>
      <c r="K40" s="1">
        <f>INDEX(TblGenFleetRolesValues[[A]:[F]],MATCH(TblCombinedGenFltValues[[#This Row],[Option]],TblGenFleetRolesValues[Name],0),MATCH(TblCombinedGenFltValues[[#Headers],[A]],TblGenFleetRolesValues[[#Headers],[A]:[F]],0))</f>
        <v>0</v>
      </c>
      <c r="L40" s="1">
        <f>INDEX(TblGenFleetRolesValues[[A]:[F]],MATCH(TblCombinedGenFltValues[[#This Row],[Option]],TblGenFleetRolesValues[Name],0),MATCH(TblCombinedGenFltValues[[#Headers],[B]],TblGenFleetRolesValues[[#Headers],[A]:[F]],0))</f>
        <v>2000</v>
      </c>
      <c r="M40" s="1">
        <f>INDEX(TblGenFleetRolesValues[[A]:[F]],MATCH(TblCombinedGenFltValues[[#This Row],[Option]],TblGenFleetRolesValues[Name],0),MATCH(TblCombinedGenFltValues[[#Headers],[C]],TblGenFleetRolesValues[[#Headers],[A]:[F]],0))</f>
        <v>0</v>
      </c>
      <c r="N40" s="1">
        <f>INDEX(TblGenFleetRolesValues[[A]:[F]],MATCH(TblCombinedGenFltValues[[#This Row],[Option]],TblGenFleetRolesValues[Name],0),MATCH(TblCombinedGenFltValues[[#Headers],[D]],TblGenFleetRolesValues[[#Headers],[A]:[F]],0))</f>
        <v>0</v>
      </c>
      <c r="O40" s="1">
        <f>INDEX(TblGenFleetRolesValues[[A]:[F]],MATCH(TblCombinedGenFltValues[[#This Row],[Option]],TblGenFleetRolesValues[Name],0),MATCH(TblCombinedGenFltValues[[#Headers],[E]],TblGenFleetRolesValues[[#Headers],[A]:[F]],0))</f>
        <v>2000</v>
      </c>
      <c r="P40" s="1">
        <f>INDEX(TblGenFleetRolesValues[[A]:[F]],MATCH(TblCombinedGenFltValues[[#This Row],[Option]],TblGenFleetRolesValues[Name],0),MATCH(TblCombinedGenFltValues[[#Headers],[F]],TblGenFleetRolesValues[[#Headers],[A]:[F]],0))</f>
        <v>0</v>
      </c>
    </row>
    <row r="41" spans="1:16">
      <c r="A41" t="s">
        <v>32</v>
      </c>
      <c r="B41" s="1">
        <f>INDEX(TblFleetShipValues[[A]:[F]],MATCH(TblCombinedAdjFltValues[[#This Row],[Option]],TblFleetShipValues[Name],0),MATCH(TblCombinedAdjFltValues[[#Headers],[A]],TblFleetShipValues[[#Headers],[A]:[F]],0))</f>
        <v>0</v>
      </c>
      <c r="C41" s="1">
        <f>INDEX(TblFleetShipValues[[A]:[F]],MATCH(TblCombinedAdjFltValues[[#This Row],[Option]],TblFleetShipValues[Name],0),MATCH(TblCombinedAdjFltValues[[#Headers],[B]],TblFleetShipValues[[#Headers],[A]:[F]],0))</f>
        <v>0</v>
      </c>
      <c r="D41" s="1">
        <f>INDEX(TblFleetShipValues[[A]:[F]],MATCH(TblCombinedAdjFltValues[[#This Row],[Option]],TblFleetShipValues[Name],0),MATCH(TblCombinedAdjFltValues[[#Headers],[C]],TblFleetShipValues[[#Headers],[A]:[F]],0))</f>
        <v>2500</v>
      </c>
      <c r="E41" s="1">
        <f>INDEX(TblFleetShipValues[[A]:[F]],MATCH(TblCombinedAdjFltValues[[#This Row],[Option]],TblFleetShipValues[Name],0),MATCH(TblCombinedAdjFltValues[[#Headers],[D]],TblFleetShipValues[[#Headers],[A]:[F]],0))</f>
        <v>0</v>
      </c>
      <c r="F41" s="1">
        <f>INDEX(TblFleetShipValues[[A]:[F]],MATCH(TblCombinedAdjFltValues[[#This Row],[Option]],TblFleetShipValues[Name],0),MATCH(TblCombinedAdjFltValues[[#Headers],[E]],TblFleetShipValues[[#Headers],[A]:[F]],0))</f>
        <v>2500</v>
      </c>
      <c r="G41" s="1">
        <f>INDEX(TblFleetShipValues[[A]:[F]],MATCH(TblCombinedAdjFltValues[[#This Row],[Option]],TblFleetShipValues[Name],0),MATCH(TblCombinedAdjFltValues[[#Headers],[F]],TblFleetShipValues[[#Headers],[A]:[F]],0))</f>
        <v>5000</v>
      </c>
      <c r="I41" s="4"/>
      <c r="J41" t="s">
        <v>32</v>
      </c>
      <c r="K41" s="1">
        <f>INDEX(TblFleetShipValues[[A]:[F]],MATCH(TblCombinedGenFltValues[[#This Row],[Option]],TblFleetShipValues[Name],0),MATCH(TblCombinedGenFltValues[[#Headers],[A]],TblFleetShipValues[[#Headers],[A]:[F]],0))</f>
        <v>0</v>
      </c>
      <c r="L41" s="1">
        <f>INDEX(TblFleetShipValues[[A]:[F]],MATCH(TblCombinedGenFltValues[[#This Row],[Option]],TblFleetShipValues[Name],0),MATCH(TblCombinedGenFltValues[[#Headers],[B]],TblFleetShipValues[[#Headers],[A]:[F]],0))</f>
        <v>0</v>
      </c>
      <c r="M41" s="1">
        <f>INDEX(TblFleetShipValues[[A]:[F]],MATCH(TblCombinedGenFltValues[[#This Row],[Option]],TblFleetShipValues[Name],0),MATCH(TblCombinedGenFltValues[[#Headers],[C]],TblFleetShipValues[[#Headers],[A]:[F]],0))</f>
        <v>2500</v>
      </c>
      <c r="N41" s="1">
        <f>INDEX(TblFleetShipValues[[A]:[F]],MATCH(TblCombinedGenFltValues[[#This Row],[Option]],TblFleetShipValues[Name],0),MATCH(TblCombinedGenFltValues[[#Headers],[D]],TblFleetShipValues[[#Headers],[A]:[F]],0))</f>
        <v>0</v>
      </c>
      <c r="O41" s="1">
        <f>INDEX(TblFleetShipValues[[A]:[F]],MATCH(TblCombinedGenFltValues[[#This Row],[Option]],TblFleetShipValues[Name],0),MATCH(TblCombinedGenFltValues[[#Headers],[E]],TblFleetShipValues[[#Headers],[A]:[F]],0))</f>
        <v>2500</v>
      </c>
      <c r="P41" s="1">
        <f>INDEX(TblFleetShipValues[[A]:[F]],MATCH(TblCombinedGenFltValues[[#This Row],[Option]],TblFleetShipValues[Name],0),MATCH(TblCombinedGenFltValues[[#Headers],[F]],TblFleetShipValues[[#Headers],[A]:[F]],0))</f>
        <v>5000</v>
      </c>
    </row>
    <row r="42" spans="1:16">
      <c r="A42" t="s">
        <v>46</v>
      </c>
      <c r="B42" s="1">
        <f>INDEX(TblAdjFleetRolesValues[[A]:[F]],MATCH(TblCombinedAdjFltValues[[#This Row],[Option]],TblAdjFleetRolesValues[Name],0),MATCH(TblCombinedAdjFltValues[[#Headers],[A]],TblAdjFleetRolesValues[[#Headers],[A]:[F]],0))</f>
        <v>0</v>
      </c>
      <c r="C42" s="1">
        <f>INDEX(TblAdjFleetRolesValues[[A]:[F]],MATCH(TblCombinedAdjFltValues[[#This Row],[Option]],TblAdjFleetRolesValues[Name],0),MATCH(TblCombinedAdjFltValues[[#Headers],[B]],TblAdjFleetRolesValues[[#Headers],[A]:[F]],0))</f>
        <v>0</v>
      </c>
      <c r="D42" s="1">
        <f>INDEX(TblAdjFleetRolesValues[[A]:[F]],MATCH(TblCombinedAdjFltValues[[#This Row],[Option]],TblAdjFleetRolesValues[Name],0),MATCH(TblCombinedAdjFltValues[[#Headers],[C]],TblAdjFleetRolesValues[[#Headers],[A]:[F]],0))</f>
        <v>500</v>
      </c>
      <c r="E42" s="1">
        <f>INDEX(TblAdjFleetRolesValues[[A]:[F]],MATCH(TblCombinedAdjFltValues[[#This Row],[Option]],TblAdjFleetRolesValues[Name],0),MATCH(TblCombinedAdjFltValues[[#Headers],[D]],TblAdjFleetRolesValues[[#Headers],[A]:[F]],0))</f>
        <v>0</v>
      </c>
      <c r="F42" s="1">
        <f>INDEX(TblAdjFleetRolesValues[[A]:[F]],MATCH(TblCombinedAdjFltValues[[#This Row],[Option]],TblAdjFleetRolesValues[Name],0),MATCH(TblCombinedAdjFltValues[[#Headers],[E]],TblAdjFleetRolesValues[[#Headers],[A]:[F]],0))</f>
        <v>500</v>
      </c>
      <c r="G42" s="1">
        <f>INDEX(TblAdjFleetRolesValues[[A]:[F]],MATCH(TblCombinedAdjFltValues[[#This Row],[Option]],TblAdjFleetRolesValues[Name],0),MATCH(TblCombinedAdjFltValues[[#Headers],[F]],TblAdjFleetRolesValues[[#Headers],[A]:[F]],0))</f>
        <v>1000</v>
      </c>
      <c r="I42" s="4"/>
      <c r="J42" t="s">
        <v>46</v>
      </c>
      <c r="K42" s="1">
        <f>INDEX(TblGenFleetRolesValues[[A]:[F]],MATCH(TblCombinedGenFltValues[[#This Row],[Option]],TblGenFleetRolesValues[Name],0),MATCH(TblCombinedGenFltValues[[#Headers],[A]],TblGenFleetRolesValues[[#Headers],[A]:[F]],0))</f>
        <v>0</v>
      </c>
      <c r="L42" s="1">
        <f>INDEX(TblGenFleetRolesValues[[A]:[F]],MATCH(TblCombinedGenFltValues[[#This Row],[Option]],TblGenFleetRolesValues[Name],0),MATCH(TblCombinedGenFltValues[[#Headers],[B]],TblGenFleetRolesValues[[#Headers],[A]:[F]],0))</f>
        <v>0</v>
      </c>
      <c r="M42" s="1">
        <f>INDEX(TblGenFleetRolesValues[[A]:[F]],MATCH(TblCombinedGenFltValues[[#This Row],[Option]],TblGenFleetRolesValues[Name],0),MATCH(TblCombinedGenFltValues[[#Headers],[C]],TblGenFleetRolesValues[[#Headers],[A]:[F]],0))</f>
        <v>2500</v>
      </c>
      <c r="N42" s="1">
        <f>INDEX(TblGenFleetRolesValues[[A]:[F]],MATCH(TblCombinedGenFltValues[[#This Row],[Option]],TblGenFleetRolesValues[Name],0),MATCH(TblCombinedGenFltValues[[#Headers],[D]],TblGenFleetRolesValues[[#Headers],[A]:[F]],0))</f>
        <v>0</v>
      </c>
      <c r="O42" s="1">
        <f>INDEX(TblGenFleetRolesValues[[A]:[F]],MATCH(TblCombinedGenFltValues[[#This Row],[Option]],TblGenFleetRolesValues[Name],0),MATCH(TblCombinedGenFltValues[[#Headers],[E]],TblGenFleetRolesValues[[#Headers],[A]:[F]],0))</f>
        <v>2500</v>
      </c>
      <c r="P42" s="1">
        <f>INDEX(TblGenFleetRolesValues[[A]:[F]],MATCH(TblCombinedGenFltValues[[#This Row],[Option]],TblGenFleetRolesValues[Name],0),MATCH(TblCombinedGenFltValues[[#Headers],[F]],TblGenFleetRolesValues[[#Headers],[A]:[F]],0))</f>
        <v>5000</v>
      </c>
    </row>
    <row r="43" spans="1:16">
      <c r="A43" t="s">
        <v>33</v>
      </c>
      <c r="B43" s="1">
        <f>SUBTOTAL(109,TblCombinedAdjFltValues[A])</f>
        <v>7000</v>
      </c>
      <c r="C43" s="1">
        <f>SUBTOTAL(109,TblCombinedAdjFltValues[B])</f>
        <v>7000</v>
      </c>
      <c r="D43" s="1">
        <f>SUBTOTAL(109,TblCombinedAdjFltValues[C])</f>
        <v>8000</v>
      </c>
      <c r="E43" s="1">
        <f>SUBTOTAL(109,TblCombinedAdjFltValues[D])</f>
        <v>7000</v>
      </c>
      <c r="F43" s="1">
        <f>SUBTOTAL(109,TblCombinedAdjFltValues[E])</f>
        <v>8500</v>
      </c>
      <c r="G43" s="1">
        <f>SUBTOTAL(109,TblCombinedAdjFltValues[F])</f>
        <v>9500</v>
      </c>
      <c r="I43" s="4"/>
      <c r="J43" t="s">
        <v>33</v>
      </c>
      <c r="K43" s="1">
        <f>SUBTOTAL(109,TblCombinedGenFltValues[A])</f>
        <v>12500</v>
      </c>
      <c r="L43" s="1">
        <f>SUBTOTAL(109,TblCombinedGenFltValues[B])</f>
        <v>12500</v>
      </c>
      <c r="M43" s="1">
        <f>SUBTOTAL(109,TblCombinedGenFltValues[C])</f>
        <v>14000</v>
      </c>
      <c r="N43" s="1">
        <f>SUBTOTAL(109,TblCombinedGenFltValues[D])</f>
        <v>12000</v>
      </c>
      <c r="O43" s="1">
        <f>SUBTOTAL(109,TblCombinedGenFltValues[E])</f>
        <v>14500</v>
      </c>
      <c r="P43" s="1">
        <f>SUBTOTAL(109,TblCombinedGenFltValues[F])</f>
        <v>16000</v>
      </c>
    </row>
    <row r="45" spans="1:16">
      <c r="C45" s="1"/>
      <c r="D45" s="1"/>
      <c r="E45" s="1"/>
      <c r="F45" s="1"/>
      <c r="G45" s="1"/>
    </row>
    <row r="50" spans="2:2">
      <c r="B50" s="1"/>
    </row>
    <row r="51" spans="2:2">
      <c r="B51" s="1"/>
    </row>
  </sheetData>
  <mergeCells count="9">
    <mergeCell ref="A31:G31"/>
    <mergeCell ref="J23:Q23"/>
    <mergeCell ref="J31:P31"/>
    <mergeCell ref="N1:P1"/>
    <mergeCell ref="A16:G16"/>
    <mergeCell ref="J8:Q8"/>
    <mergeCell ref="A23:H23"/>
    <mergeCell ref="A8:G8"/>
    <mergeCell ref="A1:H1"/>
  </mergeCells>
  <pageMargins left="0.7" right="0.7" top="0.75" bottom="0.75" header="0.3" footer="0.3"/>
  <pageSetup paperSize="0" orientation="portrait" horizontalDpi="0" verticalDpi="0" copies="0"/>
  <ignoredErrors>
    <ignoredError sqref="B33:G33 B34:B42 K33:P33 K41 K39 K37 K35 K34 K36 K38 K40 K42 L10:P10 L11:P14" calculatedColumn="1"/>
    <ignoredError sqref="C34:G42 L42:P42 L40:P40 L38:M38 L36:P36 L34:P34 L35:P35 L37:P37 L41:P41 L39:P39 O38:P38" formula="1" calculatedColumn="1"/>
  </ignoredErrors>
  <tableParts count="10">
    <tablePart r:id="rId1"/>
    <tablePart r:id="rId2"/>
    <tablePart r:id="rId3"/>
    <tablePart r:id="rId4"/>
    <tablePart r:id="rId5"/>
    <tablePart r:id="rId6"/>
    <tablePart r:id="rId7"/>
    <tablePart r:id="rId8"/>
    <tablePart r:id="rId9"/>
    <tablePart r:id="rId10"/>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S19"/>
  <sheetViews>
    <sheetView workbookViewId="0">
      <selection activeCell="D5" sqref="D5"/>
    </sheetView>
  </sheetViews>
  <sheetFormatPr defaultRowHeight="15"/>
  <cols>
    <col min="1" max="1" width="12.140625" bestFit="1" customWidth="1"/>
    <col min="4" max="4" width="10.5703125" bestFit="1" customWidth="1"/>
    <col min="6" max="6" width="12.140625" bestFit="1" customWidth="1"/>
    <col min="9" max="9" width="9.5703125" customWidth="1"/>
    <col min="10" max="10" width="12.7109375" customWidth="1"/>
    <col min="11" max="11" width="9.85546875" customWidth="1"/>
  </cols>
  <sheetData>
    <row r="2" spans="1:19">
      <c r="A2" s="55" t="s">
        <v>165</v>
      </c>
      <c r="B2" s="55"/>
      <c r="C2" s="55"/>
      <c r="F2" s="55" t="s">
        <v>170</v>
      </c>
      <c r="G2" s="55"/>
      <c r="H2" s="55"/>
    </row>
    <row r="3" spans="1:19">
      <c r="A3" t="s">
        <v>321</v>
      </c>
      <c r="B3" s="1" t="s">
        <v>21</v>
      </c>
      <c r="F3" t="s">
        <v>321</v>
      </c>
      <c r="G3" s="1" t="s">
        <v>26</v>
      </c>
    </row>
    <row r="4" spans="1:19">
      <c r="A4" t="s">
        <v>3</v>
      </c>
      <c r="B4">
        <f>INDEX(TblCombinedAdjFltValues[[#Totals],[A]:[F]],MATCH(Comparison!$B$3,TblCombinedAdjFltValues[[#Headers],[A]:[F]]))</f>
        <v>7000</v>
      </c>
      <c r="F4" t="s">
        <v>3</v>
      </c>
      <c r="G4">
        <f>INDEX(TblCombinedAdjFltValues[[#Totals],[A]:[F]],MATCH(Comparison!$G$3,TblCombinedAdjFltValues[[#Headers],[A]:[F]]))</f>
        <v>9500</v>
      </c>
    </row>
    <row r="5" spans="1:19">
      <c r="A5" t="s">
        <v>322</v>
      </c>
      <c r="B5">
        <f>SUM(C10:C14)</f>
        <v>5000</v>
      </c>
      <c r="F5" t="s">
        <v>322</v>
      </c>
      <c r="G5">
        <f>SUM(H10:H14)</f>
        <v>7500</v>
      </c>
    </row>
    <row r="6" spans="1:19">
      <c r="A6" t="s">
        <v>323</v>
      </c>
      <c r="B6">
        <f>SUM(C17:C19)</f>
        <v>2000</v>
      </c>
      <c r="F6" t="s">
        <v>323</v>
      </c>
      <c r="G6">
        <f>SUM(H17:H19)</f>
        <v>2000</v>
      </c>
    </row>
    <row r="7" spans="1:19">
      <c r="C7" s="17"/>
      <c r="H7" s="17"/>
    </row>
    <row r="8" spans="1:19">
      <c r="C8" s="17"/>
      <c r="H8" s="17"/>
      <c r="Q8" s="3"/>
      <c r="S8" s="3"/>
    </row>
    <row r="9" spans="1:19">
      <c r="A9" s="17" t="s">
        <v>2</v>
      </c>
      <c r="B9" s="17" t="s">
        <v>324</v>
      </c>
      <c r="C9" s="17" t="s">
        <v>3</v>
      </c>
      <c r="F9" s="17" t="s">
        <v>2</v>
      </c>
      <c r="G9" s="17" t="s">
        <v>324</v>
      </c>
      <c r="H9" s="17" t="s">
        <v>3</v>
      </c>
      <c r="I9" s="1"/>
      <c r="J9" s="1"/>
      <c r="K9" s="1"/>
      <c r="L9" s="1"/>
      <c r="M9" s="1"/>
      <c r="N9" s="1"/>
      <c r="O9" s="1"/>
      <c r="P9" s="1"/>
      <c r="Q9" s="7"/>
      <c r="R9" s="1"/>
      <c r="S9" s="7"/>
    </row>
    <row r="10" spans="1:19">
      <c r="A10" s="17" t="s">
        <v>13</v>
      </c>
      <c r="B10" s="18">
        <f>INDEX(TblBattlefieldFlt[[A]:[F]],MATCH($A10,TblBattlefieldFlt[Option],0),MATCH($B$3,TblBattlefieldFlt[[#Headers],[A]:[F]],0))</f>
        <v>1</v>
      </c>
      <c r="C10" s="17">
        <f>INDEX(TblShipPoints[Points],MATCH(A10,TblShipPoints[Ships],0))*B10</f>
        <v>5000</v>
      </c>
      <c r="F10" s="17" t="s">
        <v>13</v>
      </c>
      <c r="G10" s="18">
        <f>INDEX(TblBattlefieldFlt[[A]:[F]],MATCH($F10,TblBattlefieldFlt[Option],0),MATCH($G$3,TblBattlefieldFlt[[#Headers],[A]:[F]],0))</f>
        <v>0</v>
      </c>
      <c r="H10" s="17">
        <f>INDEX(TblShipPoints[Points],MATCH(F10,TblShipPoints[Ships],0))*G10</f>
        <v>0</v>
      </c>
      <c r="I10" s="1"/>
      <c r="J10" s="1"/>
      <c r="K10" s="1"/>
      <c r="L10" s="1"/>
      <c r="M10" s="1"/>
      <c r="N10" s="1"/>
      <c r="O10" s="1"/>
      <c r="P10" s="1"/>
      <c r="Q10" s="7"/>
      <c r="R10" s="1"/>
      <c r="S10" s="7"/>
    </row>
    <row r="11" spans="1:19">
      <c r="A11" s="17" t="s">
        <v>14</v>
      </c>
      <c r="B11" s="18">
        <f>INDEX(TblBattlefieldFlt[[A]:[F]],MATCH($A11,TblBattlefieldFlt[Option],0),MATCH($B$3,TblBattlefieldFlt[[#Headers],[A]:[F]],0))</f>
        <v>0</v>
      </c>
      <c r="C11" s="17">
        <f>INDEX(TblShipPoints[Points],MATCH(A11,TblShipPoints[Ships],0))*B11</f>
        <v>0</v>
      </c>
      <c r="D11" s="17"/>
      <c r="E11" s="17"/>
      <c r="F11" s="17" t="s">
        <v>14</v>
      </c>
      <c r="G11" s="18">
        <f>INDEX(TblBattlefieldFlt[[A]:[F]],MATCH($F11,TblBattlefieldFlt[Option],0),MATCH($G$3,TblBattlefieldFlt[[#Headers],[A]:[F]],0))</f>
        <v>0</v>
      </c>
      <c r="H11" s="17">
        <f>INDEX(TblShipPoints[Points],MATCH(F11,TblShipPoints[Ships],0))*G11</f>
        <v>0</v>
      </c>
      <c r="I11" s="1"/>
      <c r="J11" s="1"/>
      <c r="K11" s="1"/>
      <c r="L11" s="1"/>
      <c r="M11" s="1"/>
      <c r="N11" s="1"/>
      <c r="O11" s="1"/>
      <c r="P11" s="1"/>
      <c r="Q11" s="7"/>
      <c r="R11" s="1"/>
      <c r="S11" s="7"/>
    </row>
    <row r="12" spans="1:19">
      <c r="A12" s="17" t="s">
        <v>15</v>
      </c>
      <c r="B12" s="18">
        <f>INDEX(TblBattlefieldFlt[[A]:[F]],MATCH($A12,TblBattlefieldFlt[Option],0),MATCH($B$3,TblBattlefieldFlt[[#Headers],[A]:[F]],0))</f>
        <v>0</v>
      </c>
      <c r="C12" s="17">
        <f>INDEX(TblShipPoints[Points],MATCH(A12,TblShipPoints[Ships],0))*B12</f>
        <v>0</v>
      </c>
      <c r="D12" s="17"/>
      <c r="E12" s="17"/>
      <c r="F12" s="17" t="s">
        <v>15</v>
      </c>
      <c r="G12" s="18">
        <f>INDEX(TblBattlefieldFlt[[A]:[F]],MATCH($F12,TblBattlefieldFlt[Option],0),MATCH($G$3,TblBattlefieldFlt[[#Headers],[A]:[F]],0))</f>
        <v>1</v>
      </c>
      <c r="H12" s="17">
        <f>INDEX(TblShipPoints[Points],MATCH(F12,TblShipPoints[Ships],0))*G12</f>
        <v>2500</v>
      </c>
      <c r="I12" s="1"/>
      <c r="J12" s="1"/>
      <c r="K12" s="1"/>
      <c r="L12" s="1"/>
      <c r="M12" s="1"/>
      <c r="N12" s="1"/>
      <c r="O12" s="1"/>
      <c r="P12" s="1"/>
      <c r="Q12" s="7"/>
      <c r="R12" s="1"/>
      <c r="S12" s="7"/>
    </row>
    <row r="13" spans="1:19">
      <c r="A13" s="17" t="s">
        <v>16</v>
      </c>
      <c r="B13" s="18">
        <f>INDEX(TblBattlefieldFlt[[A]:[F]],MATCH($A13,TblBattlefieldFlt[Option],0),MATCH($B$3,TblBattlefieldFlt[[#Headers],[A]:[F]],0))</f>
        <v>0</v>
      </c>
      <c r="C13" s="17">
        <f>INDEX(TblShipPoints[Points],MATCH(A13,TblShipPoints[Ships],0))*B13</f>
        <v>0</v>
      </c>
      <c r="F13" s="17" t="s">
        <v>16</v>
      </c>
      <c r="G13" s="18">
        <f>INDEX(TblBattlefieldFlt[[A]:[F]],MATCH($F13,TblBattlefieldFlt[Option],0),MATCH($G$3,TblBattlefieldFlt[[#Headers],[A]:[F]],0))</f>
        <v>0</v>
      </c>
      <c r="H13" s="17">
        <f>INDEX(TblShipPoints[Points],MATCH(F13,TblShipPoints[Ships],0))*G13</f>
        <v>0</v>
      </c>
      <c r="I13" s="1"/>
      <c r="J13" s="1"/>
      <c r="K13" s="1"/>
      <c r="L13" s="1"/>
      <c r="M13" s="1"/>
      <c r="N13" s="1"/>
      <c r="O13" s="1"/>
      <c r="P13" s="1"/>
      <c r="Q13" s="7"/>
      <c r="R13" s="1"/>
      <c r="S13" s="7"/>
    </row>
    <row r="14" spans="1:19">
      <c r="A14" s="17" t="s">
        <v>17</v>
      </c>
      <c r="B14" s="18">
        <f>INDEX(TblBattlefieldFlt[[A]:[F]],MATCH($A14,TblBattlefieldFlt[Option],0),MATCH($B$3,TblBattlefieldFlt[[#Headers],[A]:[F]],0))</f>
        <v>0</v>
      </c>
      <c r="C14" s="17">
        <f>INDEX(TblShipPoints[Points],MATCH(A14,TblShipPoints[Ships],0))*B14</f>
        <v>0</v>
      </c>
      <c r="F14" s="17" t="s">
        <v>17</v>
      </c>
      <c r="G14" s="18">
        <f>INDEX(TblBattlefieldFlt[[A]:[F]],MATCH($F14,TblBattlefieldFlt[Option],0),MATCH($G$3,TblBattlefieldFlt[[#Headers],[A]:[F]],0))</f>
        <v>10</v>
      </c>
      <c r="H14" s="17">
        <f>INDEX(TblShipPoints[Points],MATCH(F14,TblShipPoints[Ships],0))*G14</f>
        <v>5000</v>
      </c>
    </row>
    <row r="16" spans="1:19">
      <c r="A16" s="17" t="s">
        <v>212</v>
      </c>
      <c r="B16" s="17" t="s">
        <v>324</v>
      </c>
      <c r="C16" t="s">
        <v>3</v>
      </c>
      <c r="F16" s="17" t="s">
        <v>212</v>
      </c>
      <c r="G16" s="17" t="s">
        <v>324</v>
      </c>
      <c r="H16" t="s">
        <v>3</v>
      </c>
    </row>
    <row r="17" spans="1:8">
      <c r="A17" s="17" t="s">
        <v>4</v>
      </c>
      <c r="B17" s="18">
        <f>SUMPRODUCT($B$10:$B$14,TblShipCrew[Service])</f>
        <v>11</v>
      </c>
      <c r="C17">
        <f>TblRoleControlValues[Service]*B17</f>
        <v>1100</v>
      </c>
      <c r="F17" s="17" t="s">
        <v>4</v>
      </c>
      <c r="G17" s="18">
        <f>SUMPRODUCT($G$10:$G$14,TblShipCrew[Service])</f>
        <v>15</v>
      </c>
      <c r="H17">
        <f>TblRoleControlValues[Service]*G17</f>
        <v>1500</v>
      </c>
    </row>
    <row r="18" spans="1:8">
      <c r="A18" s="17" t="s">
        <v>5</v>
      </c>
      <c r="B18" s="18">
        <f>SUMPRODUCT($B$10:$B$14,TblShipCrew[Lieutenant])</f>
        <v>3</v>
      </c>
      <c r="C18">
        <f>TblRoleControlValues[Lieutenant]*B18</f>
        <v>600</v>
      </c>
      <c r="F18" s="17" t="s">
        <v>5</v>
      </c>
      <c r="G18" s="18">
        <f>SUMPRODUCT($G$10:$G$14,TblShipCrew[Lieutenant])</f>
        <v>1</v>
      </c>
      <c r="H18">
        <f>TblRoleControlValues[Lieutenant]*G18</f>
        <v>200</v>
      </c>
    </row>
    <row r="19" spans="1:8">
      <c r="A19" s="17" t="s">
        <v>6</v>
      </c>
      <c r="B19" s="18">
        <f>SUMPRODUCT($B$10:$B$14,TblShipCrew[Captain])</f>
        <v>1</v>
      </c>
      <c r="C19">
        <f>TblRoleControlValues[Captain]*B19</f>
        <v>300</v>
      </c>
      <c r="F19" s="17" t="s">
        <v>6</v>
      </c>
      <c r="G19" s="18">
        <f>SUMPRODUCT($G$10:$G$14,TblShipCrew[Captain])</f>
        <v>1</v>
      </c>
      <c r="H19">
        <f>TblRoleControlValues[Captain]*G19</f>
        <v>300</v>
      </c>
    </row>
  </sheetData>
  <mergeCells count="2">
    <mergeCell ref="A2:C2"/>
    <mergeCell ref="F2:H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273792-62E9-442E-9CC7-E8C6E6BD4008}">
  <dimension ref="B1:V32"/>
  <sheetViews>
    <sheetView workbookViewId="0">
      <selection activeCell="H9" sqref="H9"/>
    </sheetView>
  </sheetViews>
  <sheetFormatPr defaultRowHeight="15"/>
  <cols>
    <col min="2" max="2" width="16.5703125" customWidth="1"/>
    <col min="3" max="3" width="18" customWidth="1"/>
    <col min="4" max="4" width="15.7109375" customWidth="1"/>
    <col min="5" max="5" width="17.140625" customWidth="1"/>
    <col min="6" max="6" width="17.7109375" customWidth="1"/>
    <col min="8" max="8" width="12" bestFit="1" customWidth="1"/>
    <col min="13" max="13" width="34" bestFit="1" customWidth="1"/>
  </cols>
  <sheetData>
    <row r="1" spans="2:22">
      <c r="M1" t="s">
        <v>49</v>
      </c>
    </row>
    <row r="2" spans="2:22">
      <c r="B2" s="21" t="s">
        <v>2</v>
      </c>
      <c r="C2" s="24" t="s">
        <v>3</v>
      </c>
      <c r="D2" s="24" t="s">
        <v>50</v>
      </c>
      <c r="E2" s="24" t="s">
        <v>51</v>
      </c>
      <c r="F2" s="24" t="s">
        <v>52</v>
      </c>
      <c r="G2" s="24" t="s">
        <v>53</v>
      </c>
      <c r="H2" s="24" t="s">
        <v>54</v>
      </c>
      <c r="L2" t="s">
        <v>55</v>
      </c>
      <c r="M2" t="s">
        <v>13</v>
      </c>
      <c r="O2" t="s">
        <v>14</v>
      </c>
      <c r="Q2" t="s">
        <v>15</v>
      </c>
      <c r="S2" t="s">
        <v>16</v>
      </c>
      <c r="U2" t="s">
        <v>17</v>
      </c>
    </row>
    <row r="3" spans="2:22">
      <c r="B3" s="25" t="s">
        <v>13</v>
      </c>
      <c r="C3" s="25">
        <v>2000</v>
      </c>
      <c r="D3" s="25">
        <v>2000</v>
      </c>
      <c r="E3" s="25">
        <v>2000</v>
      </c>
      <c r="F3" s="25">
        <v>100</v>
      </c>
      <c r="G3" s="34">
        <v>10</v>
      </c>
      <c r="H3">
        <v>5</v>
      </c>
      <c r="L3">
        <v>1</v>
      </c>
      <c r="M3">
        <v>0</v>
      </c>
      <c r="N3">
        <f>M3*100</f>
        <v>0</v>
      </c>
      <c r="O3">
        <v>0</v>
      </c>
      <c r="P3">
        <f>O3*100</f>
        <v>0</v>
      </c>
      <c r="Q3">
        <v>0</v>
      </c>
      <c r="R3">
        <f>Q3*100</f>
        <v>0</v>
      </c>
      <c r="S3">
        <v>0</v>
      </c>
      <c r="T3">
        <f>S3*100</f>
        <v>0</v>
      </c>
      <c r="U3">
        <v>0</v>
      </c>
      <c r="V3">
        <f>U3*100</f>
        <v>0</v>
      </c>
    </row>
    <row r="4" spans="2:22">
      <c r="B4" s="26" t="s">
        <v>14</v>
      </c>
      <c r="C4" s="26">
        <v>1500</v>
      </c>
      <c r="D4" s="26">
        <v>1500</v>
      </c>
      <c r="E4" s="26">
        <v>1500</v>
      </c>
      <c r="F4" s="26">
        <v>100</v>
      </c>
      <c r="G4" s="35">
        <v>7</v>
      </c>
      <c r="H4">
        <v>4</v>
      </c>
      <c r="L4">
        <v>2</v>
      </c>
      <c r="M4">
        <v>1</v>
      </c>
      <c r="N4">
        <f t="shared" ref="N4:N14" si="0">M4*100</f>
        <v>100</v>
      </c>
      <c r="O4">
        <v>1</v>
      </c>
      <c r="P4">
        <f t="shared" ref="P4:R4" si="1">O4*100</f>
        <v>100</v>
      </c>
      <c r="Q4">
        <v>1</v>
      </c>
      <c r="R4">
        <f t="shared" si="1"/>
        <v>100</v>
      </c>
      <c r="S4">
        <v>1</v>
      </c>
      <c r="T4">
        <f t="shared" ref="T4:V4" si="2">S4*100</f>
        <v>100</v>
      </c>
      <c r="U4">
        <v>1</v>
      </c>
      <c r="V4">
        <f t="shared" si="2"/>
        <v>100</v>
      </c>
    </row>
    <row r="5" spans="2:22">
      <c r="B5" s="27" t="s">
        <v>15</v>
      </c>
      <c r="C5" s="27">
        <v>1000</v>
      </c>
      <c r="D5" s="27">
        <v>1000</v>
      </c>
      <c r="E5" s="27">
        <v>1000</v>
      </c>
      <c r="F5" s="27">
        <v>100</v>
      </c>
      <c r="G5" s="34">
        <v>5</v>
      </c>
      <c r="H5">
        <v>3</v>
      </c>
      <c r="L5">
        <v>3</v>
      </c>
      <c r="M5">
        <v>2</v>
      </c>
      <c r="N5">
        <f t="shared" si="0"/>
        <v>200</v>
      </c>
      <c r="O5">
        <v>2</v>
      </c>
      <c r="P5">
        <f t="shared" ref="P5:R5" si="3">O5*100</f>
        <v>200</v>
      </c>
      <c r="Q5">
        <v>2</v>
      </c>
      <c r="R5">
        <f t="shared" si="3"/>
        <v>200</v>
      </c>
      <c r="S5">
        <v>2</v>
      </c>
      <c r="T5">
        <f t="shared" ref="T5" si="4">S5*100</f>
        <v>200</v>
      </c>
    </row>
    <row r="6" spans="2:22">
      <c r="B6" s="26" t="s">
        <v>16</v>
      </c>
      <c r="C6" s="26">
        <v>500</v>
      </c>
      <c r="D6" s="26">
        <v>500</v>
      </c>
      <c r="E6" s="26">
        <v>500</v>
      </c>
      <c r="F6" s="26">
        <v>100</v>
      </c>
      <c r="G6" s="35">
        <v>3</v>
      </c>
      <c r="H6">
        <v>2</v>
      </c>
      <c r="L6">
        <v>4</v>
      </c>
      <c r="M6">
        <v>3</v>
      </c>
      <c r="N6">
        <f t="shared" si="0"/>
        <v>300</v>
      </c>
      <c r="O6">
        <v>3</v>
      </c>
      <c r="P6">
        <f t="shared" ref="P6:R6" si="5">O6*100</f>
        <v>300</v>
      </c>
      <c r="Q6">
        <v>3</v>
      </c>
      <c r="R6">
        <f t="shared" si="5"/>
        <v>300</v>
      </c>
      <c r="S6">
        <v>3</v>
      </c>
      <c r="T6">
        <f t="shared" ref="T6" si="6">S6*100</f>
        <v>300</v>
      </c>
    </row>
    <row r="7" spans="2:22">
      <c r="B7" s="27" t="s">
        <v>17</v>
      </c>
      <c r="C7" s="27">
        <v>100</v>
      </c>
      <c r="D7" s="27">
        <v>100</v>
      </c>
      <c r="E7" s="27">
        <v>100</v>
      </c>
      <c r="F7" s="27">
        <v>100</v>
      </c>
      <c r="G7" s="34">
        <v>1</v>
      </c>
      <c r="H7">
        <v>1</v>
      </c>
      <c r="L7">
        <v>5</v>
      </c>
      <c r="M7">
        <v>4</v>
      </c>
      <c r="N7">
        <f t="shared" si="0"/>
        <v>400</v>
      </c>
      <c r="O7">
        <v>4</v>
      </c>
      <c r="P7">
        <f t="shared" ref="P7:R7" si="7">O7*100</f>
        <v>400</v>
      </c>
      <c r="Q7">
        <v>4</v>
      </c>
      <c r="R7">
        <f t="shared" si="7"/>
        <v>400</v>
      </c>
    </row>
    <row r="8" spans="2:22">
      <c r="L8">
        <v>6</v>
      </c>
      <c r="M8">
        <v>5</v>
      </c>
      <c r="N8">
        <f t="shared" si="0"/>
        <v>500</v>
      </c>
      <c r="O8">
        <v>5</v>
      </c>
      <c r="P8">
        <f t="shared" ref="P8:R8" si="8">O8*100</f>
        <v>500</v>
      </c>
      <c r="Q8">
        <v>5</v>
      </c>
      <c r="R8">
        <f t="shared" si="8"/>
        <v>500</v>
      </c>
    </row>
    <row r="9" spans="2:22">
      <c r="L9">
        <v>7</v>
      </c>
      <c r="M9">
        <v>6</v>
      </c>
      <c r="N9">
        <f t="shared" si="0"/>
        <v>600</v>
      </c>
      <c r="O9">
        <v>6</v>
      </c>
      <c r="P9">
        <f t="shared" ref="P9" si="9">O9*100</f>
        <v>600</v>
      </c>
    </row>
    <row r="10" spans="2:22">
      <c r="B10" t="s">
        <v>56</v>
      </c>
      <c r="L10">
        <v>8</v>
      </c>
      <c r="M10">
        <v>7</v>
      </c>
      <c r="N10">
        <f t="shared" si="0"/>
        <v>700</v>
      </c>
      <c r="O10">
        <v>7</v>
      </c>
      <c r="P10">
        <f t="shared" ref="P10" si="10">O10*100</f>
        <v>700</v>
      </c>
    </row>
    <row r="11" spans="2:22">
      <c r="B11" s="19" t="s">
        <v>57</v>
      </c>
      <c r="C11" s="19" t="s">
        <v>58</v>
      </c>
      <c r="D11" s="19" t="s">
        <v>59</v>
      </c>
      <c r="E11" s="19" t="s">
        <v>60</v>
      </c>
      <c r="F11" s="19" t="s">
        <v>61</v>
      </c>
      <c r="L11">
        <v>9</v>
      </c>
      <c r="M11">
        <v>8</v>
      </c>
      <c r="N11">
        <f t="shared" si="0"/>
        <v>800</v>
      </c>
      <c r="O11">
        <v>8</v>
      </c>
      <c r="P11">
        <f t="shared" ref="P11" si="11">O11*100</f>
        <v>800</v>
      </c>
    </row>
    <row r="12" spans="2:22" ht="75">
      <c r="B12" s="20" t="s">
        <v>62</v>
      </c>
      <c r="C12" s="20" t="s">
        <v>63</v>
      </c>
      <c r="D12" s="20" t="s">
        <v>64</v>
      </c>
      <c r="E12" s="20" t="s">
        <v>65</v>
      </c>
      <c r="F12" s="20" t="s">
        <v>66</v>
      </c>
      <c r="L12">
        <v>10</v>
      </c>
      <c r="M12">
        <v>9</v>
      </c>
      <c r="N12">
        <f t="shared" si="0"/>
        <v>900</v>
      </c>
    </row>
    <row r="13" spans="2:22">
      <c r="L13">
        <v>11</v>
      </c>
      <c r="M13">
        <v>10</v>
      </c>
      <c r="N13">
        <f t="shared" si="0"/>
        <v>1000</v>
      </c>
    </row>
    <row r="14" spans="2:22">
      <c r="L14">
        <v>12</v>
      </c>
      <c r="M14">
        <v>11</v>
      </c>
      <c r="N14">
        <f t="shared" si="0"/>
        <v>1100</v>
      </c>
    </row>
    <row r="15" spans="2:22">
      <c r="B15" s="21" t="s">
        <v>2</v>
      </c>
      <c r="C15" s="33" t="s">
        <v>4</v>
      </c>
      <c r="D15" s="33" t="s">
        <v>5</v>
      </c>
      <c r="E15" s="33" t="s">
        <v>6</v>
      </c>
      <c r="L15">
        <v>13</v>
      </c>
    </row>
    <row r="16" spans="2:22">
      <c r="B16" s="22" t="s">
        <v>13</v>
      </c>
      <c r="C16" s="34">
        <v>11</v>
      </c>
      <c r="D16" s="34">
        <v>3</v>
      </c>
      <c r="E16" s="34">
        <v>1</v>
      </c>
      <c r="L16">
        <v>14</v>
      </c>
    </row>
    <row r="17" spans="2:12">
      <c r="B17" s="23" t="s">
        <v>14</v>
      </c>
      <c r="C17" s="35">
        <v>8</v>
      </c>
      <c r="D17" s="35">
        <v>2</v>
      </c>
      <c r="E17" s="35">
        <v>1</v>
      </c>
      <c r="L17">
        <v>15</v>
      </c>
    </row>
    <row r="18" spans="2:12">
      <c r="B18" s="22" t="s">
        <v>15</v>
      </c>
      <c r="C18" s="34">
        <v>5</v>
      </c>
      <c r="D18" s="34">
        <v>1</v>
      </c>
      <c r="E18" s="34">
        <v>1</v>
      </c>
      <c r="L18">
        <v>16</v>
      </c>
    </row>
    <row r="19" spans="2:12">
      <c r="B19" s="23" t="s">
        <v>16</v>
      </c>
      <c r="C19" s="35">
        <v>3</v>
      </c>
      <c r="D19" s="35">
        <v>1</v>
      </c>
      <c r="E19" s="35">
        <v>0</v>
      </c>
      <c r="L19">
        <v>17</v>
      </c>
    </row>
    <row r="20" spans="2:12">
      <c r="B20" s="22" t="s">
        <v>17</v>
      </c>
      <c r="C20" s="34">
        <v>1</v>
      </c>
      <c r="D20" s="34">
        <v>0</v>
      </c>
      <c r="E20" s="34">
        <v>0</v>
      </c>
      <c r="L20">
        <v>18</v>
      </c>
    </row>
    <row r="21" spans="2:12">
      <c r="L21">
        <v>19</v>
      </c>
    </row>
    <row r="22" spans="2:12">
      <c r="L22">
        <v>20</v>
      </c>
    </row>
    <row r="23" spans="2:12">
      <c r="B23" s="36" t="s">
        <v>20</v>
      </c>
      <c r="C23" s="37" t="s">
        <v>21</v>
      </c>
      <c r="D23" s="37" t="s">
        <v>22</v>
      </c>
      <c r="E23" s="37" t="s">
        <v>23</v>
      </c>
      <c r="F23" s="37" t="s">
        <v>24</v>
      </c>
      <c r="G23" s="37" t="s">
        <v>25</v>
      </c>
      <c r="H23" s="37" t="s">
        <v>26</v>
      </c>
      <c r="L23">
        <v>21</v>
      </c>
    </row>
    <row r="24" spans="2:12">
      <c r="B24" s="38" t="s">
        <v>13</v>
      </c>
      <c r="C24" s="39">
        <v>1</v>
      </c>
      <c r="D24" s="39"/>
      <c r="E24" s="39"/>
      <c r="F24" s="39"/>
      <c r="G24" s="39"/>
      <c r="H24" s="39"/>
      <c r="L24">
        <v>22</v>
      </c>
    </row>
    <row r="25" spans="2:12">
      <c r="B25" s="40" t="s">
        <v>14</v>
      </c>
      <c r="C25" s="41"/>
      <c r="D25" s="41">
        <v>1</v>
      </c>
      <c r="E25" s="41">
        <v>1</v>
      </c>
      <c r="F25" s="41"/>
      <c r="G25" s="41"/>
      <c r="H25" s="41"/>
      <c r="L25">
        <v>23</v>
      </c>
    </row>
    <row r="26" spans="2:12">
      <c r="B26" s="38" t="s">
        <v>15</v>
      </c>
      <c r="C26" s="39"/>
      <c r="D26" s="39"/>
      <c r="E26" s="39"/>
      <c r="F26" s="39">
        <v>2</v>
      </c>
      <c r="G26" s="39">
        <v>1</v>
      </c>
      <c r="H26" s="39">
        <v>1</v>
      </c>
      <c r="L26">
        <v>24</v>
      </c>
    </row>
    <row r="27" spans="2:12">
      <c r="B27" s="40" t="s">
        <v>16</v>
      </c>
      <c r="C27" s="41"/>
      <c r="D27" s="41">
        <v>1</v>
      </c>
      <c r="E27" s="41"/>
      <c r="F27" s="41"/>
      <c r="G27" s="41">
        <v>1</v>
      </c>
      <c r="H27" s="41"/>
      <c r="L27">
        <v>25</v>
      </c>
    </row>
    <row r="28" spans="2:12">
      <c r="B28" s="38" t="s">
        <v>17</v>
      </c>
      <c r="C28" s="39"/>
      <c r="D28" s="39"/>
      <c r="E28" s="39">
        <v>5</v>
      </c>
      <c r="F28" s="39"/>
      <c r="G28" s="39">
        <v>5</v>
      </c>
      <c r="H28" s="39">
        <v>10</v>
      </c>
      <c r="L28">
        <v>26</v>
      </c>
    </row>
    <row r="29" spans="2:12">
      <c r="C29">
        <f>C24*G3*F3</f>
        <v>1000</v>
      </c>
      <c r="D29">
        <f>(D25*G4*F4)+(D27*G6*F6)</f>
        <v>1000</v>
      </c>
      <c r="E29">
        <f>(E25*G4*F4)+(E28*G7*F7)</f>
        <v>1200</v>
      </c>
      <c r="F29">
        <f>F26*G5*F5</f>
        <v>1000</v>
      </c>
      <c r="G29">
        <f>(G26*G5*F5)+(G27*G6*F6)+(G28*G7*F7)</f>
        <v>1300</v>
      </c>
      <c r="H29">
        <f>(H26*G5*F5)+(H28*G7*F7)</f>
        <v>1500</v>
      </c>
    </row>
    <row r="31" spans="2:12">
      <c r="C31" t="s">
        <v>67</v>
      </c>
    </row>
    <row r="32" spans="2:12">
      <c r="C32" t="s">
        <v>68</v>
      </c>
      <c r="D32" t="s">
        <v>69</v>
      </c>
      <c r="E32" t="s">
        <v>70</v>
      </c>
      <c r="F32" t="s">
        <v>71</v>
      </c>
      <c r="G32" t="s">
        <v>70</v>
      </c>
      <c r="H32" t="s">
        <v>58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8582BA-383F-47D3-8480-5088EC096D30}">
  <dimension ref="B1:S25"/>
  <sheetViews>
    <sheetView workbookViewId="0">
      <selection activeCell="P25" sqref="P24:Q25"/>
    </sheetView>
  </sheetViews>
  <sheetFormatPr defaultRowHeight="15"/>
  <sheetData>
    <row r="1" spans="2:19">
      <c r="D1">
        <v>38</v>
      </c>
      <c r="E1">
        <v>44</v>
      </c>
      <c r="F1">
        <v>119</v>
      </c>
      <c r="G1">
        <v>35</v>
      </c>
      <c r="H1">
        <v>54</v>
      </c>
      <c r="J1">
        <v>2</v>
      </c>
      <c r="K1">
        <v>5</v>
      </c>
    </row>
    <row r="2" spans="2:19">
      <c r="J2" t="s">
        <v>58</v>
      </c>
      <c r="K2" t="s">
        <v>72</v>
      </c>
    </row>
    <row r="3" spans="2:19">
      <c r="B3" s="42"/>
      <c r="C3" s="42"/>
      <c r="D3" s="42"/>
      <c r="E3" s="42"/>
      <c r="F3" s="42"/>
      <c r="G3" s="42" t="s">
        <v>73</v>
      </c>
      <c r="H3" s="42"/>
      <c r="I3" s="42"/>
      <c r="J3" s="42"/>
      <c r="K3" s="42"/>
      <c r="L3" s="42"/>
      <c r="N3" s="21" t="s">
        <v>2</v>
      </c>
      <c r="O3" s="24" t="s">
        <v>3</v>
      </c>
      <c r="P3" s="24" t="s">
        <v>50</v>
      </c>
      <c r="Q3" s="24" t="s">
        <v>51</v>
      </c>
      <c r="R3" s="24" t="s">
        <v>52</v>
      </c>
      <c r="S3" s="24" t="s">
        <v>53</v>
      </c>
    </row>
    <row r="4" spans="2:19">
      <c r="B4" s="45" t="s">
        <v>74</v>
      </c>
      <c r="N4" s="25" t="s">
        <v>13</v>
      </c>
      <c r="O4" s="25">
        <v>2000</v>
      </c>
      <c r="P4" s="25">
        <v>2000</v>
      </c>
      <c r="Q4" s="25">
        <v>2000</v>
      </c>
      <c r="R4" s="25">
        <v>100</v>
      </c>
      <c r="S4" s="34">
        <v>10</v>
      </c>
    </row>
    <row r="5" spans="2:19">
      <c r="B5" s="43" t="s">
        <v>75</v>
      </c>
      <c r="N5" s="26" t="s">
        <v>14</v>
      </c>
      <c r="O5" s="26">
        <v>1500</v>
      </c>
      <c r="P5" s="26">
        <v>1500</v>
      </c>
      <c r="Q5" s="26">
        <v>1500</v>
      </c>
      <c r="R5" s="26">
        <v>100</v>
      </c>
      <c r="S5" s="35">
        <v>7</v>
      </c>
    </row>
    <row r="6" spans="2:19">
      <c r="B6" s="45" t="s">
        <v>76</v>
      </c>
      <c r="N6" s="27" t="s">
        <v>15</v>
      </c>
      <c r="O6" s="27">
        <v>1000</v>
      </c>
      <c r="P6" s="27">
        <v>1000</v>
      </c>
      <c r="Q6" s="27">
        <v>1000</v>
      </c>
      <c r="R6" s="27">
        <v>100</v>
      </c>
      <c r="S6" s="34">
        <v>5</v>
      </c>
    </row>
    <row r="7" spans="2:19">
      <c r="B7" s="6" t="s">
        <v>77</v>
      </c>
      <c r="N7" s="26" t="s">
        <v>16</v>
      </c>
      <c r="O7" s="26">
        <v>500</v>
      </c>
      <c r="P7" s="26">
        <v>500</v>
      </c>
      <c r="Q7" s="26">
        <v>500</v>
      </c>
      <c r="R7" s="26">
        <v>100</v>
      </c>
      <c r="S7" s="35">
        <v>3</v>
      </c>
    </row>
    <row r="8" spans="2:19">
      <c r="G8" s="6" t="s">
        <v>13</v>
      </c>
      <c r="N8" s="27" t="s">
        <v>17</v>
      </c>
      <c r="O8" s="27">
        <v>100</v>
      </c>
      <c r="P8" s="27">
        <v>100</v>
      </c>
      <c r="Q8" s="27">
        <v>100</v>
      </c>
      <c r="R8" s="27">
        <v>100</v>
      </c>
      <c r="S8" s="34">
        <v>1</v>
      </c>
    </row>
    <row r="10" spans="2:19">
      <c r="N10" s="19" t="s">
        <v>57</v>
      </c>
      <c r="O10" s="19" t="s">
        <v>58</v>
      </c>
      <c r="P10" s="19" t="s">
        <v>59</v>
      </c>
      <c r="Q10" s="19" t="s">
        <v>60</v>
      </c>
      <c r="R10" s="19" t="s">
        <v>61</v>
      </c>
    </row>
    <row r="15" spans="2:19">
      <c r="C15" s="44" t="s">
        <v>17</v>
      </c>
      <c r="E15" s="44" t="s">
        <v>17</v>
      </c>
      <c r="G15" s="6" t="s">
        <v>15</v>
      </c>
      <c r="I15" s="44" t="s">
        <v>17</v>
      </c>
      <c r="K15" s="44" t="s">
        <v>17</v>
      </c>
    </row>
    <row r="16" spans="2:19">
      <c r="P16">
        <f ca="1">RANDBETWEEN(0,123)</f>
        <v>77</v>
      </c>
    </row>
    <row r="17" spans="2:16">
      <c r="P17" s="46">
        <f ca="1">RANDBETWEEN(0,6)</f>
        <v>4</v>
      </c>
    </row>
    <row r="18" spans="2:16">
      <c r="C18" s="44" t="s">
        <v>17</v>
      </c>
      <c r="E18" s="44" t="s">
        <v>17</v>
      </c>
      <c r="I18" s="44" t="s">
        <v>17</v>
      </c>
      <c r="K18" s="44" t="s">
        <v>17</v>
      </c>
      <c r="L18" s="6" t="s">
        <v>77</v>
      </c>
    </row>
    <row r="19" spans="2:16">
      <c r="L19" s="45" t="s">
        <v>76</v>
      </c>
    </row>
    <row r="20" spans="2:16">
      <c r="E20" s="44" t="s">
        <v>17</v>
      </c>
      <c r="I20" s="44" t="s">
        <v>17</v>
      </c>
      <c r="L20" s="43" t="s">
        <v>75</v>
      </c>
    </row>
    <row r="21" spans="2:16">
      <c r="L21" s="45" t="s">
        <v>74</v>
      </c>
    </row>
    <row r="22" spans="2:16">
      <c r="B22" s="2"/>
      <c r="C22" s="2"/>
      <c r="D22" s="2"/>
      <c r="E22" s="2"/>
      <c r="F22" s="2"/>
      <c r="G22" s="2" t="s">
        <v>78</v>
      </c>
      <c r="H22" s="2"/>
      <c r="I22" s="2"/>
      <c r="J22" s="2"/>
      <c r="K22" s="2"/>
      <c r="L22" s="2"/>
    </row>
    <row r="24" spans="2:16">
      <c r="E24">
        <v>64</v>
      </c>
      <c r="F24">
        <v>114</v>
      </c>
      <c r="G24">
        <v>118</v>
      </c>
      <c r="H24">
        <v>73</v>
      </c>
      <c r="I24">
        <v>80</v>
      </c>
      <c r="K24">
        <v>2</v>
      </c>
      <c r="L24">
        <v>5</v>
      </c>
    </row>
    <row r="25" spans="2:16">
      <c r="K25" t="s">
        <v>58</v>
      </c>
      <c r="L25" t="s">
        <v>72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EC53A5-8F19-4711-93EA-0F4CBD261EC8}">
  <dimension ref="B2:B83"/>
  <sheetViews>
    <sheetView topLeftCell="A6" workbookViewId="0">
      <selection activeCell="H25" sqref="H25"/>
    </sheetView>
  </sheetViews>
  <sheetFormatPr defaultRowHeight="15"/>
  <cols>
    <col min="2" max="2" width="11.7109375" bestFit="1" customWidth="1"/>
  </cols>
  <sheetData>
    <row r="2" spans="2:2">
      <c r="B2" s="21" t="s">
        <v>79</v>
      </c>
    </row>
    <row r="3" spans="2:2">
      <c r="B3" s="3" t="s">
        <v>80</v>
      </c>
    </row>
    <row r="4" spans="2:2">
      <c r="B4" t="s">
        <v>81</v>
      </c>
    </row>
    <row r="5" spans="2:2">
      <c r="B5" t="s">
        <v>82</v>
      </c>
    </row>
    <row r="6" spans="2:2">
      <c r="B6" t="s">
        <v>83</v>
      </c>
    </row>
    <row r="7" spans="2:2">
      <c r="B7" t="s">
        <v>84</v>
      </c>
    </row>
    <row r="8" spans="2:2">
      <c r="B8" t="s">
        <v>85</v>
      </c>
    </row>
    <row r="9" spans="2:2">
      <c r="B9" t="s">
        <v>86</v>
      </c>
    </row>
    <row r="10" spans="2:2">
      <c r="B10" t="s">
        <v>87</v>
      </c>
    </row>
    <row r="11" spans="2:2">
      <c r="B11" t="s">
        <v>88</v>
      </c>
    </row>
    <row r="13" spans="2:2">
      <c r="B13" s="3" t="s">
        <v>89</v>
      </c>
    </row>
    <row r="14" spans="2:2">
      <c r="B14" t="s">
        <v>90</v>
      </c>
    </row>
    <row r="15" spans="2:2">
      <c r="B15" t="s">
        <v>91</v>
      </c>
    </row>
    <row r="17" spans="2:2">
      <c r="B17" s="3" t="s">
        <v>92</v>
      </c>
    </row>
    <row r="18" spans="2:2">
      <c r="B18" t="s">
        <v>93</v>
      </c>
    </row>
    <row r="19" spans="2:2">
      <c r="B19" t="s">
        <v>94</v>
      </c>
    </row>
    <row r="20" spans="2:2">
      <c r="B20" t="s">
        <v>95</v>
      </c>
    </row>
    <row r="21" spans="2:2">
      <c r="B21" t="s">
        <v>96</v>
      </c>
    </row>
    <row r="22" spans="2:2">
      <c r="B22" t="s">
        <v>97</v>
      </c>
    </row>
    <row r="24" spans="2:2">
      <c r="B24" s="3" t="s">
        <v>98</v>
      </c>
    </row>
    <row r="25" spans="2:2">
      <c r="B25" t="s">
        <v>99</v>
      </c>
    </row>
    <row r="26" spans="2:2">
      <c r="B26" t="s">
        <v>100</v>
      </c>
    </row>
    <row r="28" spans="2:2">
      <c r="B28" s="3" t="s">
        <v>101</v>
      </c>
    </row>
    <row r="29" spans="2:2">
      <c r="B29" t="s">
        <v>102</v>
      </c>
    </row>
    <row r="30" spans="2:2">
      <c r="B30" t="s">
        <v>103</v>
      </c>
    </row>
    <row r="32" spans="2:2">
      <c r="B32" s="3" t="s">
        <v>104</v>
      </c>
    </row>
    <row r="33" spans="2:2">
      <c r="B33" t="s">
        <v>105</v>
      </c>
    </row>
    <row r="35" spans="2:2">
      <c r="B35" s="3" t="s">
        <v>106</v>
      </c>
    </row>
    <row r="36" spans="2:2">
      <c r="B36" t="s">
        <v>107</v>
      </c>
    </row>
    <row r="38" spans="2:2">
      <c r="B38" s="3" t="s">
        <v>108</v>
      </c>
    </row>
    <row r="39" spans="2:2">
      <c r="B39" t="s">
        <v>109</v>
      </c>
    </row>
    <row r="41" spans="2:2">
      <c r="B41" s="3" t="s">
        <v>110</v>
      </c>
    </row>
    <row r="42" spans="2:2">
      <c r="B42" t="s">
        <v>111</v>
      </c>
    </row>
    <row r="43" spans="2:2">
      <c r="B43" t="s">
        <v>112</v>
      </c>
    </row>
    <row r="45" spans="2:2">
      <c r="B45" s="3" t="s">
        <v>113</v>
      </c>
    </row>
    <row r="46" spans="2:2">
      <c r="B46" t="s">
        <v>114</v>
      </c>
    </row>
    <row r="47" spans="2:2">
      <c r="B47" t="s">
        <v>115</v>
      </c>
    </row>
    <row r="48" spans="2:2">
      <c r="B48" t="s">
        <v>116</v>
      </c>
    </row>
    <row r="49" spans="2:2">
      <c r="B49" t="s">
        <v>117</v>
      </c>
    </row>
    <row r="50" spans="2:2">
      <c r="B50" t="s">
        <v>118</v>
      </c>
    </row>
    <row r="51" spans="2:2">
      <c r="B51" t="s">
        <v>119</v>
      </c>
    </row>
    <row r="52" spans="2:2">
      <c r="B52" t="s">
        <v>120</v>
      </c>
    </row>
    <row r="53" spans="2:2">
      <c r="B53" t="s">
        <v>121</v>
      </c>
    </row>
    <row r="54" spans="2:2">
      <c r="B54" t="s">
        <v>122</v>
      </c>
    </row>
    <row r="55" spans="2:2">
      <c r="B55" t="s">
        <v>123</v>
      </c>
    </row>
    <row r="56" spans="2:2">
      <c r="B56" t="s">
        <v>124</v>
      </c>
    </row>
    <row r="58" spans="2:2">
      <c r="B58" s="3" t="s">
        <v>125</v>
      </c>
    </row>
    <row r="59" spans="2:2">
      <c r="B59" t="s">
        <v>126</v>
      </c>
    </row>
    <row r="60" spans="2:2">
      <c r="B60" t="s">
        <v>127</v>
      </c>
    </row>
    <row r="61" spans="2:2">
      <c r="B61" t="s">
        <v>128</v>
      </c>
    </row>
    <row r="62" spans="2:2">
      <c r="B62" t="s">
        <v>129</v>
      </c>
    </row>
    <row r="63" spans="2:2">
      <c r="B63" t="s">
        <v>130</v>
      </c>
    </row>
    <row r="64" spans="2:2">
      <c r="B64" t="s">
        <v>131</v>
      </c>
    </row>
    <row r="65" spans="2:2">
      <c r="B65" t="s">
        <v>132</v>
      </c>
    </row>
    <row r="66" spans="2:2">
      <c r="B66" t="s">
        <v>133</v>
      </c>
    </row>
    <row r="68" spans="2:2">
      <c r="B68" s="3" t="s">
        <v>134</v>
      </c>
    </row>
    <row r="69" spans="2:2">
      <c r="B69" t="s">
        <v>135</v>
      </c>
    </row>
    <row r="70" spans="2:2">
      <c r="B70" t="s">
        <v>136</v>
      </c>
    </row>
    <row r="71" spans="2:2">
      <c r="B71" t="s">
        <v>137</v>
      </c>
    </row>
    <row r="73" spans="2:2">
      <c r="B73" s="3" t="s">
        <v>138</v>
      </c>
    </row>
    <row r="74" spans="2:2">
      <c r="B74" t="s">
        <v>139</v>
      </c>
    </row>
    <row r="76" spans="2:2">
      <c r="B76" s="3" t="s">
        <v>140</v>
      </c>
    </row>
    <row r="77" spans="2:2">
      <c r="B77" t="s">
        <v>141</v>
      </c>
    </row>
    <row r="78" spans="2:2">
      <c r="B78" t="s">
        <v>142</v>
      </c>
    </row>
    <row r="79" spans="2:2">
      <c r="B79" t="s">
        <v>143</v>
      </c>
    </row>
    <row r="80" spans="2:2">
      <c r="B80" t="s">
        <v>144</v>
      </c>
    </row>
    <row r="81" spans="2:2">
      <c r="B81" t="s">
        <v>145</v>
      </c>
    </row>
    <row r="82" spans="2:2">
      <c r="B82" t="s">
        <v>146</v>
      </c>
    </row>
    <row r="83" spans="2:2">
      <c r="B83" t="s">
        <v>147</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013FD4-B940-4A70-A7DA-BF82FD0F616E}">
  <dimension ref="A2:K81"/>
  <sheetViews>
    <sheetView topLeftCell="A35" workbookViewId="0">
      <selection activeCell="B64" sqref="B64"/>
    </sheetView>
  </sheetViews>
  <sheetFormatPr defaultRowHeight="15"/>
  <cols>
    <col min="2" max="2" width="16.140625" customWidth="1"/>
    <col min="11" max="11" width="16" customWidth="1"/>
  </cols>
  <sheetData>
    <row r="2" spans="2:2" ht="23.25">
      <c r="B2" s="47" t="s">
        <v>148</v>
      </c>
    </row>
    <row r="4" spans="2:2">
      <c r="B4" t="s">
        <v>149</v>
      </c>
    </row>
    <row r="5" spans="2:2">
      <c r="B5" t="s">
        <v>150</v>
      </c>
    </row>
    <row r="7" spans="2:2" ht="18.75">
      <c r="B7" s="51" t="s">
        <v>151</v>
      </c>
    </row>
    <row r="8" spans="2:2">
      <c r="B8" t="s">
        <v>152</v>
      </c>
    </row>
    <row r="9" spans="2:2">
      <c r="B9" t="s">
        <v>153</v>
      </c>
    </row>
    <row r="10" spans="2:2">
      <c r="B10" t="s">
        <v>154</v>
      </c>
    </row>
    <row r="11" spans="2:2">
      <c r="B11" t="s">
        <v>155</v>
      </c>
    </row>
    <row r="12" spans="2:2">
      <c r="B12" t="s">
        <v>156</v>
      </c>
    </row>
    <row r="13" spans="2:2">
      <c r="B13" t="s">
        <v>157</v>
      </c>
    </row>
    <row r="14" spans="2:2">
      <c r="B14" t="s">
        <v>158</v>
      </c>
    </row>
    <row r="15" spans="2:2">
      <c r="B15" t="s">
        <v>159</v>
      </c>
    </row>
    <row r="16" spans="2:2">
      <c r="B16" t="s">
        <v>160</v>
      </c>
    </row>
    <row r="17" spans="1:11">
      <c r="B17" t="s">
        <v>161</v>
      </c>
    </row>
    <row r="18" spans="1:11">
      <c r="B18" t="s">
        <v>162</v>
      </c>
    </row>
    <row r="19" spans="1:11">
      <c r="B19" t="s">
        <v>163</v>
      </c>
    </row>
    <row r="20" spans="1:11">
      <c r="B20" t="s">
        <v>164</v>
      </c>
    </row>
    <row r="23" spans="1:11">
      <c r="A23" t="s">
        <v>165</v>
      </c>
      <c r="B23" s="50" t="s">
        <v>75</v>
      </c>
      <c r="C23" s="48"/>
      <c r="D23" s="56" t="s">
        <v>166</v>
      </c>
      <c r="E23" s="57"/>
      <c r="F23" s="57"/>
      <c r="G23" s="57"/>
      <c r="H23" s="57"/>
      <c r="I23" s="58"/>
      <c r="J23" s="48"/>
      <c r="K23" s="50" t="s">
        <v>167</v>
      </c>
    </row>
    <row r="24" spans="1:11">
      <c r="B24" s="48"/>
      <c r="C24" s="48"/>
      <c r="D24" s="59"/>
      <c r="E24" s="60"/>
      <c r="F24" s="60"/>
      <c r="G24" s="60"/>
      <c r="H24" s="60"/>
      <c r="I24" s="61"/>
      <c r="J24" s="48"/>
      <c r="K24" s="48"/>
    </row>
    <row r="25" spans="1:11">
      <c r="B25" s="48"/>
      <c r="C25" s="48"/>
      <c r="D25" s="59"/>
      <c r="E25" s="60"/>
      <c r="F25" s="60"/>
      <c r="G25" s="60"/>
      <c r="H25" s="60"/>
      <c r="I25" s="61"/>
      <c r="J25" s="48"/>
      <c r="K25" s="48"/>
    </row>
    <row r="26" spans="1:11">
      <c r="B26" s="50" t="s">
        <v>77</v>
      </c>
      <c r="C26" s="48"/>
      <c r="D26" s="59"/>
      <c r="E26" s="60"/>
      <c r="F26" s="60"/>
      <c r="G26" s="60"/>
      <c r="H26" s="60"/>
      <c r="I26" s="61"/>
      <c r="J26" s="48"/>
      <c r="K26" s="50" t="s">
        <v>168</v>
      </c>
    </row>
    <row r="27" spans="1:11">
      <c r="B27" s="48"/>
      <c r="C27" s="48"/>
      <c r="D27" s="59"/>
      <c r="E27" s="60"/>
      <c r="F27" s="60"/>
      <c r="G27" s="60"/>
      <c r="H27" s="60"/>
      <c r="I27" s="61"/>
      <c r="J27" s="48"/>
      <c r="K27" s="48"/>
    </row>
    <row r="28" spans="1:11">
      <c r="B28" s="50" t="s">
        <v>169</v>
      </c>
      <c r="C28" s="49"/>
      <c r="D28" s="62"/>
      <c r="E28" s="63"/>
      <c r="F28" s="63"/>
      <c r="G28" s="63"/>
      <c r="H28" s="63"/>
      <c r="I28" s="64"/>
      <c r="J28" s="49"/>
      <c r="K28" s="48"/>
    </row>
    <row r="29" spans="1:11">
      <c r="B29" s="48"/>
      <c r="C29" s="48"/>
      <c r="D29" s="56" t="s">
        <v>166</v>
      </c>
      <c r="E29" s="57"/>
      <c r="F29" s="57"/>
      <c r="G29" s="57"/>
      <c r="H29" s="57"/>
      <c r="I29" s="58"/>
      <c r="J29" s="48"/>
      <c r="K29" s="50" t="s">
        <v>169</v>
      </c>
    </row>
    <row r="30" spans="1:11">
      <c r="B30" s="48"/>
      <c r="C30" s="48"/>
      <c r="D30" s="59"/>
      <c r="E30" s="60"/>
      <c r="F30" s="60"/>
      <c r="G30" s="60"/>
      <c r="H30" s="60"/>
      <c r="I30" s="61"/>
      <c r="J30" s="48"/>
      <c r="K30" s="48"/>
    </row>
    <row r="31" spans="1:11">
      <c r="B31" s="50" t="s">
        <v>168</v>
      </c>
      <c r="C31" s="48"/>
      <c r="D31" s="59"/>
      <c r="E31" s="60"/>
      <c r="F31" s="60"/>
      <c r="G31" s="60"/>
      <c r="H31" s="60"/>
      <c r="I31" s="61"/>
      <c r="J31" s="48"/>
      <c r="K31" s="50" t="s">
        <v>77</v>
      </c>
    </row>
    <row r="32" spans="1:11">
      <c r="B32" s="48"/>
      <c r="C32" s="48"/>
      <c r="D32" s="59"/>
      <c r="E32" s="60"/>
      <c r="F32" s="60"/>
      <c r="G32" s="60"/>
      <c r="H32" s="60"/>
      <c r="I32" s="61"/>
      <c r="J32" s="48"/>
      <c r="K32" s="48"/>
    </row>
    <row r="33" spans="1:11">
      <c r="B33" s="48"/>
      <c r="C33" s="48"/>
      <c r="D33" s="59"/>
      <c r="E33" s="60"/>
      <c r="F33" s="60"/>
      <c r="G33" s="60"/>
      <c r="H33" s="60"/>
      <c r="I33" s="61"/>
      <c r="J33" s="48"/>
      <c r="K33" s="48"/>
    </row>
    <row r="34" spans="1:11">
      <c r="A34" t="s">
        <v>170</v>
      </c>
      <c r="B34" s="50" t="s">
        <v>167</v>
      </c>
      <c r="C34" s="48"/>
      <c r="D34" s="62"/>
      <c r="E34" s="63"/>
      <c r="F34" s="63"/>
      <c r="G34" s="63"/>
      <c r="H34" s="63"/>
      <c r="I34" s="64"/>
      <c r="J34" s="48"/>
      <c r="K34" s="50" t="s">
        <v>75</v>
      </c>
    </row>
    <row r="37" spans="1:11">
      <c r="B37" t="s">
        <v>171</v>
      </c>
    </row>
    <row r="38" spans="1:11">
      <c r="B38" t="s">
        <v>172</v>
      </c>
    </row>
    <row r="39" spans="1:11">
      <c r="B39" t="s">
        <v>173</v>
      </c>
    </row>
    <row r="40" spans="1:11">
      <c r="B40" t="s">
        <v>174</v>
      </c>
    </row>
    <row r="43" spans="1:11" ht="18.75">
      <c r="B43" s="51" t="s">
        <v>175</v>
      </c>
    </row>
    <row r="44" spans="1:11">
      <c r="B44" t="s">
        <v>176</v>
      </c>
    </row>
    <row r="46" spans="1:11">
      <c r="B46" s="3" t="s">
        <v>177</v>
      </c>
    </row>
    <row r="47" spans="1:11">
      <c r="B47" t="s">
        <v>178</v>
      </c>
    </row>
    <row r="48" spans="1:11">
      <c r="B48" t="s">
        <v>100</v>
      </c>
    </row>
    <row r="50" spans="2:2">
      <c r="B50" s="3" t="s">
        <v>179</v>
      </c>
    </row>
    <row r="51" spans="2:2">
      <c r="B51" t="s">
        <v>180</v>
      </c>
    </row>
    <row r="53" spans="2:2">
      <c r="B53" s="3" t="s">
        <v>101</v>
      </c>
    </row>
    <row r="54" spans="2:2">
      <c r="B54" t="s">
        <v>181</v>
      </c>
    </row>
    <row r="56" spans="2:2">
      <c r="B56" s="3" t="s">
        <v>104</v>
      </c>
    </row>
    <row r="57" spans="2:2">
      <c r="B57" t="s">
        <v>182</v>
      </c>
    </row>
    <row r="58" spans="2:2">
      <c r="B58" t="s">
        <v>183</v>
      </c>
    </row>
    <row r="59" spans="2:2">
      <c r="B59" t="s">
        <v>184</v>
      </c>
    </row>
    <row r="60" spans="2:2">
      <c r="B60" t="s">
        <v>185</v>
      </c>
    </row>
    <row r="61" spans="2:2">
      <c r="B61" t="s">
        <v>186</v>
      </c>
    </row>
    <row r="63" spans="2:2">
      <c r="B63" s="3" t="s">
        <v>106</v>
      </c>
    </row>
    <row r="64" spans="2:2">
      <c r="B64" t="s">
        <v>187</v>
      </c>
    </row>
    <row r="65" spans="2:2">
      <c r="B65" t="s">
        <v>188</v>
      </c>
    </row>
    <row r="67" spans="2:2">
      <c r="B67" s="3" t="s">
        <v>108</v>
      </c>
    </row>
    <row r="68" spans="2:2">
      <c r="B68" t="s">
        <v>189</v>
      </c>
    </row>
    <row r="70" spans="2:2">
      <c r="B70" s="3" t="s">
        <v>190</v>
      </c>
    </row>
    <row r="71" spans="2:2">
      <c r="B71" t="s">
        <v>191</v>
      </c>
    </row>
    <row r="72" spans="2:2">
      <c r="B72" t="s">
        <v>192</v>
      </c>
    </row>
    <row r="73" spans="2:2">
      <c r="B73" t="s">
        <v>193</v>
      </c>
    </row>
    <row r="74" spans="2:2">
      <c r="B74" t="s">
        <v>144</v>
      </c>
    </row>
    <row r="75" spans="2:2">
      <c r="B75" t="s">
        <v>194</v>
      </c>
    </row>
    <row r="77" spans="2:2">
      <c r="B77" s="3" t="s">
        <v>110</v>
      </c>
    </row>
    <row r="78" spans="2:2">
      <c r="B78" t="s">
        <v>195</v>
      </c>
    </row>
    <row r="79" spans="2:2">
      <c r="B79" s="52" t="s">
        <v>196</v>
      </c>
    </row>
    <row r="80" spans="2:2">
      <c r="B80" t="s">
        <v>197</v>
      </c>
    </row>
    <row r="81" spans="2:2">
      <c r="B81" t="s">
        <v>198</v>
      </c>
    </row>
  </sheetData>
  <mergeCells count="2">
    <mergeCell ref="D29:I34"/>
    <mergeCell ref="D23:I28"/>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16CF9E-E144-48D8-959F-618B8D85D284}">
  <dimension ref="B2:B11"/>
  <sheetViews>
    <sheetView workbookViewId="0">
      <selection activeCell="J14" sqref="J14"/>
    </sheetView>
  </sheetViews>
  <sheetFormatPr defaultRowHeight="15"/>
  <sheetData>
    <row r="2" spans="2:2">
      <c r="B2" t="s">
        <v>199</v>
      </c>
    </row>
    <row r="3" spans="2:2">
      <c r="B3" t="s">
        <v>200</v>
      </c>
    </row>
    <row r="4" spans="2:2">
      <c r="B4" t="s">
        <v>201</v>
      </c>
    </row>
    <row r="5" spans="2:2">
      <c r="B5" t="s">
        <v>202</v>
      </c>
    </row>
    <row r="6" spans="2:2">
      <c r="B6" t="s">
        <v>203</v>
      </c>
    </row>
    <row r="7" spans="2:2">
      <c r="B7" t="s">
        <v>204</v>
      </c>
    </row>
    <row r="8" spans="2:2">
      <c r="B8" t="s">
        <v>205</v>
      </c>
    </row>
    <row r="9" spans="2:2">
      <c r="B9" t="s">
        <v>206</v>
      </c>
    </row>
    <row r="10" spans="2:2">
      <c r="B10" t="s">
        <v>207</v>
      </c>
    </row>
    <row r="11" spans="2:2">
      <c r="B11" t="s">
        <v>208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ADF2F4-A124-44BC-8A72-4CE3F16F5D04}">
  <dimension ref="B2:D39"/>
  <sheetViews>
    <sheetView workbookViewId="0">
      <selection activeCell="G10" sqref="G10"/>
    </sheetView>
  </sheetViews>
  <sheetFormatPr defaultRowHeight="15"/>
  <cols>
    <col min="2" max="2" width="18.28515625" bestFit="1" customWidth="1"/>
    <col min="3" max="3" width="29.42578125" customWidth="1"/>
    <col min="4" max="4" width="27.28515625" customWidth="1"/>
  </cols>
  <sheetData>
    <row r="2" spans="2:4">
      <c r="B2" s="32" t="s">
        <v>209</v>
      </c>
      <c r="C2" s="32" t="s">
        <v>210</v>
      </c>
      <c r="D2" s="32" t="s">
        <v>211</v>
      </c>
    </row>
    <row r="3" spans="2:4" ht="106.5" customHeight="1">
      <c r="B3" s="67" t="s">
        <v>212</v>
      </c>
      <c r="C3" s="65" t="s">
        <v>213</v>
      </c>
      <c r="D3" s="28" t="s">
        <v>214</v>
      </c>
    </row>
    <row r="4" spans="2:4" ht="106.5">
      <c r="B4" s="68"/>
      <c r="C4" s="66"/>
      <c r="D4" s="29" t="s">
        <v>215</v>
      </c>
    </row>
    <row r="5" spans="2:4" ht="60.75">
      <c r="B5" s="68"/>
      <c r="C5" s="66"/>
      <c r="D5" s="30" t="s">
        <v>216</v>
      </c>
    </row>
    <row r="6" spans="2:4" ht="75">
      <c r="B6" s="68"/>
      <c r="C6" s="66"/>
      <c r="D6" s="30" t="s">
        <v>217</v>
      </c>
    </row>
    <row r="7" spans="2:4" ht="106.5">
      <c r="B7" s="67" t="s">
        <v>218</v>
      </c>
      <c r="C7" s="65" t="s">
        <v>219</v>
      </c>
      <c r="D7" s="28" t="s">
        <v>220</v>
      </c>
    </row>
    <row r="8" spans="2:4" ht="90">
      <c r="B8" s="68"/>
      <c r="C8" s="66"/>
      <c r="D8" s="30" t="s">
        <v>221</v>
      </c>
    </row>
    <row r="9" spans="2:4" ht="75">
      <c r="B9" s="67" t="s">
        <v>222</v>
      </c>
      <c r="C9" s="65" t="s">
        <v>223</v>
      </c>
      <c r="D9" s="28" t="s">
        <v>224</v>
      </c>
    </row>
    <row r="10" spans="2:4" ht="60.75">
      <c r="B10" s="70"/>
      <c r="C10" s="69"/>
      <c r="D10" s="31" t="s">
        <v>225</v>
      </c>
    </row>
    <row r="11" spans="2:4" ht="76.5" customHeight="1">
      <c r="B11" s="67" t="s">
        <v>226</v>
      </c>
      <c r="C11" s="65" t="s">
        <v>227</v>
      </c>
      <c r="D11" s="28" t="s">
        <v>228</v>
      </c>
    </row>
    <row r="12" spans="2:4" ht="30.75">
      <c r="B12" s="68"/>
      <c r="C12" s="66"/>
      <c r="D12" s="31" t="s">
        <v>229</v>
      </c>
    </row>
    <row r="13" spans="2:4" ht="45.75">
      <c r="B13" s="67" t="s">
        <v>230</v>
      </c>
      <c r="C13" s="65" t="s">
        <v>231</v>
      </c>
      <c r="D13" s="28" t="s">
        <v>232</v>
      </c>
    </row>
    <row r="14" spans="2:4" ht="30.75">
      <c r="B14" s="68"/>
      <c r="C14" s="66"/>
      <c r="D14" s="31" t="s">
        <v>229</v>
      </c>
    </row>
    <row r="15" spans="2:4" ht="45.75">
      <c r="B15" s="68"/>
      <c r="C15" s="66"/>
      <c r="D15" s="30" t="s">
        <v>233</v>
      </c>
    </row>
    <row r="16" spans="2:4" ht="60">
      <c r="B16" s="68"/>
      <c r="C16" s="66"/>
      <c r="D16" s="30" t="s">
        <v>234</v>
      </c>
    </row>
    <row r="17" spans="2:4" ht="45">
      <c r="B17" s="67" t="s">
        <v>235</v>
      </c>
      <c r="C17" s="65" t="s">
        <v>236</v>
      </c>
      <c r="D17" s="28" t="s">
        <v>237</v>
      </c>
    </row>
    <row r="18" spans="2:4" ht="45">
      <c r="B18" s="68"/>
      <c r="C18" s="66"/>
      <c r="D18" s="30" t="s">
        <v>238</v>
      </c>
    </row>
    <row r="19" spans="2:4" ht="60.75" customHeight="1">
      <c r="B19" s="67" t="s">
        <v>239</v>
      </c>
      <c r="C19" s="65" t="s">
        <v>240</v>
      </c>
      <c r="D19" s="28" t="s">
        <v>241</v>
      </c>
    </row>
    <row r="20" spans="2:4" ht="30.75">
      <c r="B20" s="68"/>
      <c r="C20" s="66"/>
      <c r="D20" s="31" t="s">
        <v>229</v>
      </c>
    </row>
    <row r="21" spans="2:4" ht="45.75">
      <c r="B21" s="67" t="s">
        <v>242</v>
      </c>
      <c r="C21" s="65" t="s">
        <v>243</v>
      </c>
      <c r="D21" s="28" t="s">
        <v>244</v>
      </c>
    </row>
    <row r="22" spans="2:4" ht="30.75">
      <c r="B22" s="68"/>
      <c r="C22" s="66"/>
      <c r="D22" s="31" t="s">
        <v>229</v>
      </c>
    </row>
    <row r="23" spans="2:4" ht="62.25" customHeight="1">
      <c r="B23" s="67" t="s">
        <v>245</v>
      </c>
      <c r="C23" s="65" t="s">
        <v>246</v>
      </c>
      <c r="D23" s="28" t="s">
        <v>247</v>
      </c>
    </row>
    <row r="24" spans="2:4" ht="62.25" customHeight="1">
      <c r="B24" s="68"/>
      <c r="C24" s="66"/>
      <c r="D24" s="30" t="s">
        <v>248</v>
      </c>
    </row>
    <row r="25" spans="2:4" ht="30.75">
      <c r="B25" s="70"/>
      <c r="C25" s="69"/>
      <c r="D25" s="30" t="s">
        <v>229</v>
      </c>
    </row>
    <row r="26" spans="2:4" ht="45.75">
      <c r="B26" s="67" t="s">
        <v>249</v>
      </c>
      <c r="C26" s="65" t="s">
        <v>250</v>
      </c>
      <c r="D26" s="28" t="s">
        <v>247</v>
      </c>
    </row>
    <row r="27" spans="2:4" ht="60.75">
      <c r="B27" s="68"/>
      <c r="C27" s="66"/>
      <c r="D27" s="30" t="s">
        <v>248</v>
      </c>
    </row>
    <row r="28" spans="2:4" ht="30.75">
      <c r="B28" s="68"/>
      <c r="C28" s="66"/>
      <c r="D28" s="30" t="s">
        <v>229</v>
      </c>
    </row>
    <row r="29" spans="2:4" ht="45.75">
      <c r="B29" s="71" t="s">
        <v>251</v>
      </c>
      <c r="C29" s="65" t="s">
        <v>252</v>
      </c>
      <c r="D29" s="28" t="s">
        <v>247</v>
      </c>
    </row>
    <row r="30" spans="2:4" ht="60.75">
      <c r="B30" s="72"/>
      <c r="C30" s="66"/>
      <c r="D30" s="30" t="s">
        <v>248</v>
      </c>
    </row>
    <row r="31" spans="2:4" ht="30.75">
      <c r="B31" s="72"/>
      <c r="C31" s="66"/>
      <c r="D31" s="30" t="s">
        <v>229</v>
      </c>
    </row>
    <row r="32" spans="2:4" ht="60.75">
      <c r="B32" s="72"/>
      <c r="C32" s="76"/>
      <c r="D32" s="30" t="s">
        <v>253</v>
      </c>
    </row>
    <row r="33" spans="2:4" ht="76.5" customHeight="1">
      <c r="B33" s="71" t="s">
        <v>254</v>
      </c>
      <c r="C33" s="65" t="s">
        <v>255</v>
      </c>
      <c r="D33" s="28" t="s">
        <v>256</v>
      </c>
    </row>
    <row r="34" spans="2:4" ht="30.75">
      <c r="B34" s="72"/>
      <c r="C34" s="76"/>
      <c r="D34" s="30" t="s">
        <v>257</v>
      </c>
    </row>
    <row r="35" spans="2:4" ht="30.75">
      <c r="B35" s="72"/>
      <c r="C35" s="76"/>
      <c r="D35" s="30" t="s">
        <v>258</v>
      </c>
    </row>
    <row r="36" spans="2:4" ht="60.75">
      <c r="B36" s="72"/>
      <c r="C36" s="76"/>
      <c r="D36" s="30" t="s">
        <v>259</v>
      </c>
    </row>
    <row r="37" spans="2:4" ht="137.25">
      <c r="B37" s="72"/>
      <c r="C37" s="76"/>
      <c r="D37" s="30" t="s">
        <v>144</v>
      </c>
    </row>
    <row r="38" spans="2:4" ht="45.75">
      <c r="B38" s="73"/>
      <c r="C38" s="69"/>
      <c r="D38" s="31" t="s">
        <v>194</v>
      </c>
    </row>
    <row r="39" spans="2:4">
      <c r="D39" s="53"/>
    </row>
  </sheetData>
  <mergeCells count="24">
    <mergeCell ref="C33:C38"/>
    <mergeCell ref="B33:B38"/>
    <mergeCell ref="C29:C32"/>
    <mergeCell ref="B29:B32"/>
    <mergeCell ref="C23:C25"/>
    <mergeCell ref="B23:B25"/>
    <mergeCell ref="C26:C28"/>
    <mergeCell ref="B26:B28"/>
    <mergeCell ref="C21:C22"/>
    <mergeCell ref="B21:B22"/>
    <mergeCell ref="C19:C20"/>
    <mergeCell ref="B19:B20"/>
    <mergeCell ref="B3:B6"/>
    <mergeCell ref="C3:C6"/>
    <mergeCell ref="B7:B8"/>
    <mergeCell ref="C7:C8"/>
    <mergeCell ref="B11:B12"/>
    <mergeCell ref="C11:C12"/>
    <mergeCell ref="C9:C10"/>
    <mergeCell ref="B9:B10"/>
    <mergeCell ref="C13:C16"/>
    <mergeCell ref="B13:B16"/>
    <mergeCell ref="C17:C18"/>
    <mergeCell ref="B17:B18"/>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14FF74-0E8B-4E92-8BDD-103E839E1854}">
  <dimension ref="B3:J28"/>
  <sheetViews>
    <sheetView workbookViewId="0">
      <selection activeCell="F6" sqref="F6"/>
    </sheetView>
  </sheetViews>
  <sheetFormatPr defaultRowHeight="15"/>
  <cols>
    <col min="2" max="2" width="18.140625" bestFit="1" customWidth="1"/>
    <col min="3" max="3" width="73.28515625" bestFit="1" customWidth="1"/>
    <col min="9" max="9" width="33.140625" bestFit="1" customWidth="1"/>
    <col min="10" max="10" width="31.85546875" customWidth="1"/>
  </cols>
  <sheetData>
    <row r="3" spans="2:10" ht="23.25">
      <c r="B3" s="47" t="s">
        <v>27</v>
      </c>
      <c r="C3" s="47" t="s">
        <v>260</v>
      </c>
      <c r="D3" s="51" t="s">
        <v>261</v>
      </c>
      <c r="I3" s="51" t="s">
        <v>262</v>
      </c>
    </row>
    <row r="4" spans="2:10">
      <c r="B4" s="3" t="s">
        <v>263</v>
      </c>
      <c r="C4" t="s">
        <v>264</v>
      </c>
      <c r="D4" t="s">
        <v>265</v>
      </c>
      <c r="I4" s="78" t="s">
        <v>266</v>
      </c>
      <c r="J4" s="79" t="s">
        <v>210</v>
      </c>
    </row>
    <row r="5" spans="2:10" ht="121.5">
      <c r="B5" s="3" t="s">
        <v>267</v>
      </c>
      <c r="C5" t="s">
        <v>268</v>
      </c>
      <c r="D5" t="s">
        <v>57</v>
      </c>
      <c r="I5" s="75" t="s">
        <v>265</v>
      </c>
      <c r="J5" s="77" t="s">
        <v>269</v>
      </c>
    </row>
    <row r="6" spans="2:10" ht="91.5">
      <c r="B6" s="3" t="s">
        <v>270</v>
      </c>
      <c r="C6" t="s">
        <v>271</v>
      </c>
      <c r="D6" t="s">
        <v>72</v>
      </c>
      <c r="I6" s="75" t="s">
        <v>72</v>
      </c>
      <c r="J6" s="77" t="s">
        <v>272</v>
      </c>
    </row>
    <row r="7" spans="2:10" ht="137.25">
      <c r="B7" s="3" t="s">
        <v>273</v>
      </c>
      <c r="C7" t="s">
        <v>274</v>
      </c>
      <c r="D7" t="s">
        <v>275</v>
      </c>
      <c r="I7" s="75" t="s">
        <v>275</v>
      </c>
      <c r="J7" s="77" t="s">
        <v>276</v>
      </c>
    </row>
    <row r="8" spans="2:10" ht="76.5">
      <c r="B8" s="3" t="s">
        <v>277</v>
      </c>
      <c r="C8" s="53" t="s">
        <v>278</v>
      </c>
      <c r="I8" s="75" t="s">
        <v>57</v>
      </c>
      <c r="J8" s="77" t="s">
        <v>279</v>
      </c>
    </row>
    <row r="9" spans="2:10" ht="137.25">
      <c r="B9" s="3" t="s">
        <v>280</v>
      </c>
      <c r="C9" t="s">
        <v>281</v>
      </c>
      <c r="I9" s="75" t="s">
        <v>58</v>
      </c>
      <c r="J9" s="77" t="s">
        <v>282</v>
      </c>
    </row>
    <row r="10" spans="2:10">
      <c r="B10" s="3" t="s">
        <v>283</v>
      </c>
      <c r="C10" t="s">
        <v>284</v>
      </c>
    </row>
    <row r="11" spans="2:10">
      <c r="B11" s="3" t="s">
        <v>285</v>
      </c>
      <c r="C11" t="s">
        <v>286</v>
      </c>
      <c r="D11" t="s">
        <v>58</v>
      </c>
    </row>
    <row r="12" spans="2:10">
      <c r="B12" s="3" t="s">
        <v>287</v>
      </c>
      <c r="C12" t="s">
        <v>288</v>
      </c>
      <c r="D12" t="s">
        <v>58</v>
      </c>
    </row>
    <row r="13" spans="2:10">
      <c r="B13" s="3" t="s">
        <v>289</v>
      </c>
      <c r="C13" t="s">
        <v>290</v>
      </c>
      <c r="D13" t="s">
        <v>265</v>
      </c>
    </row>
    <row r="14" spans="2:10">
      <c r="B14" s="3" t="s">
        <v>291</v>
      </c>
      <c r="C14" t="s">
        <v>292</v>
      </c>
      <c r="D14" t="s">
        <v>72</v>
      </c>
    </row>
    <row r="15" spans="2:10">
      <c r="B15" s="3" t="s">
        <v>293</v>
      </c>
      <c r="C15" t="s">
        <v>294</v>
      </c>
      <c r="D15" t="s">
        <v>275</v>
      </c>
    </row>
    <row r="16" spans="2:10" ht="30.75">
      <c r="B16" s="3" t="s">
        <v>295</v>
      </c>
      <c r="C16" s="53" t="s">
        <v>296</v>
      </c>
      <c r="D16" t="s">
        <v>57</v>
      </c>
    </row>
    <row r="17" spans="2:4">
      <c r="B17" s="3" t="s">
        <v>297</v>
      </c>
      <c r="C17" t="s">
        <v>298</v>
      </c>
      <c r="D17" t="s">
        <v>275</v>
      </c>
    </row>
    <row r="18" spans="2:4">
      <c r="B18" s="3" t="s">
        <v>299</v>
      </c>
      <c r="C18" t="s">
        <v>300</v>
      </c>
      <c r="D18" t="s">
        <v>57</v>
      </c>
    </row>
    <row r="19" spans="2:4">
      <c r="B19" s="3" t="s">
        <v>301</v>
      </c>
      <c r="C19" t="s">
        <v>302</v>
      </c>
      <c r="D19" t="s">
        <v>58</v>
      </c>
    </row>
    <row r="20" spans="2:4" ht="30.75">
      <c r="B20" s="80" t="s">
        <v>303</v>
      </c>
      <c r="C20" s="81" t="s">
        <v>304</v>
      </c>
      <c r="D20" s="2" t="s">
        <v>72</v>
      </c>
    </row>
    <row r="21" spans="2:4">
      <c r="B21" s="3" t="s">
        <v>305</v>
      </c>
      <c r="C21" t="s">
        <v>306</v>
      </c>
      <c r="D21" t="s">
        <v>265</v>
      </c>
    </row>
    <row r="22" spans="2:4">
      <c r="B22" s="3" t="s">
        <v>307</v>
      </c>
      <c r="C22" t="s">
        <v>308</v>
      </c>
    </row>
    <row r="23" spans="2:4">
      <c r="B23" s="3"/>
    </row>
    <row r="24" spans="2:4">
      <c r="B24" s="3"/>
    </row>
    <row r="25" spans="2:4">
      <c r="B25" s="3"/>
    </row>
    <row r="26" spans="2:4">
      <c r="B26" s="3"/>
    </row>
    <row r="27" spans="2:4">
      <c r="B27" s="3"/>
    </row>
    <row r="28" spans="2:4">
      <c r="B28" s="3"/>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CDE875-88F5-4F85-ACCD-AF4C3075C97E}">
  <dimension ref="B3:D30"/>
  <sheetViews>
    <sheetView tabSelected="1" workbookViewId="0">
      <selection activeCell="D9" sqref="D9"/>
    </sheetView>
  </sheetViews>
  <sheetFormatPr defaultRowHeight="15"/>
  <cols>
    <col min="2" max="2" width="24.140625" customWidth="1"/>
    <col min="3" max="3" width="45.42578125" customWidth="1"/>
    <col min="4" max="4" width="34.28515625" customWidth="1"/>
  </cols>
  <sheetData>
    <row r="3" spans="2:4" ht="23.25">
      <c r="B3" s="47" t="s">
        <v>27</v>
      </c>
      <c r="C3" s="47" t="s">
        <v>260</v>
      </c>
      <c r="D3" s="47" t="s">
        <v>309</v>
      </c>
    </row>
    <row r="4" spans="2:4" ht="91.5">
      <c r="B4" s="74" t="s">
        <v>310</v>
      </c>
      <c r="C4" s="54" t="s">
        <v>311</v>
      </c>
      <c r="D4" s="54"/>
    </row>
    <row r="5" spans="2:4" ht="91.5">
      <c r="B5" s="74" t="s">
        <v>312</v>
      </c>
      <c r="C5" s="54" t="s">
        <v>313</v>
      </c>
      <c r="D5" s="54" t="s">
        <v>314</v>
      </c>
    </row>
    <row r="6" spans="2:4" ht="76.5">
      <c r="B6" s="74" t="s">
        <v>315</v>
      </c>
      <c r="C6" s="54" t="s">
        <v>316</v>
      </c>
      <c r="D6" s="54" t="s">
        <v>317</v>
      </c>
    </row>
    <row r="7" spans="2:4" ht="76.5">
      <c r="B7" s="74" t="s">
        <v>318</v>
      </c>
      <c r="C7" s="54" t="s">
        <v>319</v>
      </c>
      <c r="D7" s="54" t="s">
        <v>320</v>
      </c>
    </row>
    <row r="8" spans="2:4">
      <c r="B8" s="74"/>
      <c r="C8" s="74"/>
      <c r="D8" s="54"/>
    </row>
    <row r="9" spans="2:4">
      <c r="B9" s="74"/>
      <c r="C9" s="74"/>
      <c r="D9" s="54"/>
    </row>
    <row r="10" spans="2:4">
      <c r="B10" s="74"/>
      <c r="C10" s="74"/>
      <c r="D10" s="54"/>
    </row>
    <row r="11" spans="2:4">
      <c r="B11" s="74"/>
      <c r="C11" s="74"/>
      <c r="D11" s="54"/>
    </row>
    <row r="12" spans="2:4">
      <c r="B12" s="74"/>
      <c r="C12" s="74"/>
      <c r="D12" s="54"/>
    </row>
    <row r="13" spans="2:4">
      <c r="B13" s="74"/>
      <c r="C13" s="74"/>
      <c r="D13" s="54"/>
    </row>
    <row r="14" spans="2:4">
      <c r="B14" s="74"/>
      <c r="C14" s="74"/>
      <c r="D14" s="54"/>
    </row>
    <row r="15" spans="2:4">
      <c r="B15" s="74"/>
      <c r="C15" s="74"/>
      <c r="D15" s="54"/>
    </row>
    <row r="16" spans="2:4">
      <c r="B16" s="74"/>
      <c r="C16" s="74"/>
      <c r="D16" s="54"/>
    </row>
    <row r="17" spans="2:4">
      <c r="B17" s="74"/>
      <c r="C17" s="74"/>
      <c r="D17" s="54"/>
    </row>
    <row r="18" spans="2:4">
      <c r="B18" s="74"/>
      <c r="C18" s="74"/>
      <c r="D18" s="54"/>
    </row>
    <row r="19" spans="2:4">
      <c r="B19" s="74"/>
      <c r="C19" s="74"/>
      <c r="D19" s="54"/>
    </row>
    <row r="20" spans="2:4">
      <c r="B20" s="74"/>
      <c r="C20" s="74"/>
      <c r="D20" s="54"/>
    </row>
    <row r="21" spans="2:4">
      <c r="B21" s="74"/>
      <c r="C21" s="74"/>
      <c r="D21" s="54"/>
    </row>
    <row r="22" spans="2:4">
      <c r="B22" s="74"/>
      <c r="C22" s="74"/>
      <c r="D22" s="54"/>
    </row>
    <row r="23" spans="2:4">
      <c r="B23" s="74"/>
      <c r="C23" s="74"/>
      <c r="D23" s="54"/>
    </row>
    <row r="24" spans="2:4">
      <c r="B24" s="74"/>
      <c r="C24" s="74"/>
      <c r="D24" s="54"/>
    </row>
    <row r="25" spans="2:4">
      <c r="C25" s="74"/>
      <c r="D25" s="54"/>
    </row>
    <row r="26" spans="2:4">
      <c r="C26" s="74"/>
      <c r="D26" s="54"/>
    </row>
    <row r="27" spans="2:4">
      <c r="C27" s="74"/>
      <c r="D27" s="54"/>
    </row>
    <row r="28" spans="2:4">
      <c r="D28" s="54"/>
    </row>
    <row r="29" spans="2:4">
      <c r="D29" s="54"/>
    </row>
    <row r="30" spans="2:4">
      <c r="D30" s="5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LMGrn</dc:creator>
  <cp:keywords/>
  <dc:description/>
  <cp:lastModifiedBy/>
  <cp:revision/>
  <dcterms:created xsi:type="dcterms:W3CDTF">2023-03-22T23:58:22Z</dcterms:created>
  <dcterms:modified xsi:type="dcterms:W3CDTF">2024-01-06T16:05:00Z</dcterms:modified>
  <cp:category/>
  <cp:contentStatus/>
</cp:coreProperties>
</file>