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13_ncr:1_{53BB1DCC-95A0-442C-A428-8C62AA11E512}" xr6:coauthVersionLast="47" xr6:coauthVersionMax="47" xr10:uidLastSave="{00000000-0000-0000-0000-000000000000}"/>
  <bookViews>
    <workbookView xWindow="-120" yWindow="-120" windowWidth="29040" windowHeight="15840" activeTab="1" xr2:uid="{00000000-000D-0000-FFFF-FFFF00000000}"/>
  </bookViews>
  <sheets>
    <sheet name="Values" sheetId="1" r:id="rId1"/>
    <sheet name="Ships and Crew Details" sheetId="3" r:id="rId2"/>
    <sheet name="Game Setup" sheetId="7" r:id="rId3"/>
    <sheet name="Game Rules and Turn Example" sheetId="4" r:id="rId4"/>
    <sheet name="Ideas" sheetId="6" r:id="rId5"/>
    <sheet name="Card Details" sheetId="5" r:id="rId6"/>
    <sheet name="Comparison" sheetId="2"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7" i="7" l="1"/>
  <c r="P16" i="7"/>
  <c r="H29" i="3"/>
  <c r="G29" i="3"/>
  <c r="F29" i="3"/>
  <c r="E29" i="3"/>
  <c r="D29" i="3"/>
  <c r="C29" i="3"/>
  <c r="V4" i="3"/>
  <c r="V3" i="3"/>
  <c r="T6" i="3"/>
  <c r="T5" i="3"/>
  <c r="T4" i="3"/>
  <c r="T3" i="3"/>
  <c r="R8" i="3"/>
  <c r="R7" i="3"/>
  <c r="R6" i="3"/>
  <c r="R5" i="3"/>
  <c r="R4" i="3"/>
  <c r="R3" i="3"/>
  <c r="P11" i="3"/>
  <c r="P10" i="3"/>
  <c r="P9" i="3"/>
  <c r="P8" i="3"/>
  <c r="P7" i="3"/>
  <c r="P6" i="3"/>
  <c r="P5" i="3"/>
  <c r="P4" i="3"/>
  <c r="P3" i="3"/>
  <c r="N4" i="3"/>
  <c r="N5" i="3"/>
  <c r="N6" i="3"/>
  <c r="N7" i="3"/>
  <c r="N8" i="3"/>
  <c r="N9" i="3"/>
  <c r="N10" i="3"/>
  <c r="N11" i="3"/>
  <c r="N12" i="3"/>
  <c r="N13" i="3"/>
  <c r="N14" i="3"/>
  <c r="N3" i="3"/>
  <c r="B21" i="1"/>
  <c r="C21" i="1"/>
  <c r="D21" i="1"/>
  <c r="E21" i="1"/>
  <c r="F21" i="1"/>
  <c r="G14" i="2"/>
  <c r="H14" i="2" s="1"/>
  <c r="G13" i="2"/>
  <c r="H13" i="2" s="1"/>
  <c r="G12" i="2"/>
  <c r="H12" i="2" s="1"/>
  <c r="G11" i="2"/>
  <c r="H11" i="2" s="1"/>
  <c r="G10" i="2"/>
  <c r="H10" i="2" s="1"/>
  <c r="B18" i="1"/>
  <c r="G20" i="1"/>
  <c r="F20" i="1"/>
  <c r="E20" i="1"/>
  <c r="D20" i="1"/>
  <c r="C20" i="1"/>
  <c r="B20" i="1"/>
  <c r="G19" i="1"/>
  <c r="F19" i="1"/>
  <c r="E19" i="1"/>
  <c r="D19" i="1"/>
  <c r="C19" i="1"/>
  <c r="B19" i="1"/>
  <c r="F18" i="1"/>
  <c r="G18" i="1"/>
  <c r="G21" i="1" s="1"/>
  <c r="E18" i="1"/>
  <c r="D18" i="1"/>
  <c r="C18" i="1"/>
  <c r="B11" i="2"/>
  <c r="C11" i="2" s="1"/>
  <c r="B12" i="2"/>
  <c r="C12" i="2" s="1"/>
  <c r="B13" i="2"/>
  <c r="C13" i="2" s="1"/>
  <c r="B14" i="2"/>
  <c r="C14" i="2" s="1"/>
  <c r="B10" i="2"/>
  <c r="C10" i="2" s="1"/>
  <c r="B5" i="2" s="1"/>
  <c r="P14" i="1"/>
  <c r="G41" i="1" s="1"/>
  <c r="O14" i="1"/>
  <c r="F41" i="1" s="1"/>
  <c r="N14" i="1"/>
  <c r="E41" i="1" s="1"/>
  <c r="M14" i="1"/>
  <c r="D41" i="1" s="1"/>
  <c r="L14" i="1"/>
  <c r="L41" i="1" s="1"/>
  <c r="P13" i="1"/>
  <c r="G39" i="1" s="1"/>
  <c r="O13" i="1"/>
  <c r="F39" i="1" s="1"/>
  <c r="N13" i="1"/>
  <c r="E39" i="1" s="1"/>
  <c r="M13" i="1"/>
  <c r="D39" i="1" s="1"/>
  <c r="L13" i="1"/>
  <c r="C39" i="1" s="1"/>
  <c r="P12" i="1"/>
  <c r="G37" i="1" s="1"/>
  <c r="O12" i="1"/>
  <c r="F37" i="1" s="1"/>
  <c r="N12" i="1"/>
  <c r="E37" i="1" s="1"/>
  <c r="M12" i="1"/>
  <c r="D37" i="1" s="1"/>
  <c r="L12" i="1"/>
  <c r="C37" i="1" s="1"/>
  <c r="P11" i="1"/>
  <c r="G35" i="1" s="1"/>
  <c r="O11" i="1"/>
  <c r="O35" i="1" s="1"/>
  <c r="N11" i="1"/>
  <c r="E35" i="1" s="1"/>
  <c r="M11" i="1"/>
  <c r="M35" i="1" s="1"/>
  <c r="L11" i="1"/>
  <c r="C35" i="1" s="1"/>
  <c r="P10" i="1"/>
  <c r="G33" i="1" s="1"/>
  <c r="O10" i="1"/>
  <c r="F33" i="1" s="1"/>
  <c r="N10" i="1"/>
  <c r="N33" i="1" s="1"/>
  <c r="M10" i="1"/>
  <c r="D33" i="1" s="1"/>
  <c r="L10" i="1"/>
  <c r="C33" i="1" s="1"/>
  <c r="K10" i="1"/>
  <c r="B33" i="1" s="1"/>
  <c r="K11" i="1"/>
  <c r="B35" i="1" s="1"/>
  <c r="K12" i="1"/>
  <c r="B37" i="1" s="1"/>
  <c r="K13" i="1"/>
  <c r="B39" i="1" s="1"/>
  <c r="K14" i="1"/>
  <c r="B41" i="1" s="1"/>
  <c r="I4" i="1"/>
  <c r="J4" i="1"/>
  <c r="I5" i="1"/>
  <c r="J5" i="1"/>
  <c r="I6" i="1"/>
  <c r="J6" i="1"/>
  <c r="I7" i="1"/>
  <c r="J7" i="1"/>
  <c r="L3" i="1"/>
  <c r="O25" i="1" s="1"/>
  <c r="L4" i="1"/>
  <c r="L26" i="1" s="1"/>
  <c r="L5" i="1"/>
  <c r="L27" i="1" s="1"/>
  <c r="L6" i="1"/>
  <c r="N28" i="1" s="1"/>
  <c r="L7" i="1"/>
  <c r="L29" i="1" s="1"/>
  <c r="I3" i="1"/>
  <c r="J3" i="1"/>
  <c r="H3" i="1"/>
  <c r="H4" i="1"/>
  <c r="H5" i="1"/>
  <c r="H6" i="1"/>
  <c r="H7" i="1"/>
  <c r="B15" i="1"/>
  <c r="C15" i="1"/>
  <c r="D15" i="1"/>
  <c r="E15" i="1"/>
  <c r="F15" i="1"/>
  <c r="G15" i="1"/>
  <c r="G18" i="2" l="1"/>
  <c r="H18" i="2" s="1"/>
  <c r="G19" i="2"/>
  <c r="H19" i="2" s="1"/>
  <c r="G17" i="2"/>
  <c r="H17" i="2" s="1"/>
  <c r="G5" i="2"/>
  <c r="B19" i="2"/>
  <c r="C19" i="2" s="1"/>
  <c r="B17" i="2"/>
  <c r="C17" i="2" s="1"/>
  <c r="B18" i="2"/>
  <c r="C18" i="2" s="1"/>
  <c r="K4" i="1"/>
  <c r="G26" i="1" s="1"/>
  <c r="K3" i="1"/>
  <c r="C25" i="1" s="1"/>
  <c r="K5" i="1"/>
  <c r="F27" i="1" s="1"/>
  <c r="N29" i="1"/>
  <c r="N42" i="1" s="1"/>
  <c r="L25" i="1"/>
  <c r="L34" i="1" s="1"/>
  <c r="N27" i="1"/>
  <c r="N38" i="1" s="1"/>
  <c r="P29" i="1"/>
  <c r="P42" i="1" s="1"/>
  <c r="K7" i="1"/>
  <c r="K25" i="1"/>
  <c r="K34" i="1" s="1"/>
  <c r="N26" i="1"/>
  <c r="N36" i="1" s="1"/>
  <c r="P28" i="1"/>
  <c r="P40" i="1" s="1"/>
  <c r="L28" i="1"/>
  <c r="L40" i="1" s="1"/>
  <c r="K26" i="1"/>
  <c r="K36" i="1" s="1"/>
  <c r="N25" i="1"/>
  <c r="N34" i="1" s="1"/>
  <c r="P27" i="1"/>
  <c r="P38" i="1" s="1"/>
  <c r="K27" i="1"/>
  <c r="K38" i="1" s="1"/>
  <c r="M29" i="1"/>
  <c r="M42" i="1" s="1"/>
  <c r="P26" i="1"/>
  <c r="P36" i="1" s="1"/>
  <c r="K28" i="1"/>
  <c r="K40" i="1" s="1"/>
  <c r="M28" i="1"/>
  <c r="M40" i="1" s="1"/>
  <c r="P25" i="1"/>
  <c r="P34" i="1" s="1"/>
  <c r="K29" i="1"/>
  <c r="K42" i="1" s="1"/>
  <c r="M27" i="1"/>
  <c r="M38" i="1" s="1"/>
  <c r="O29" i="1"/>
  <c r="O42" i="1" s="1"/>
  <c r="M26" i="1"/>
  <c r="M36" i="1" s="1"/>
  <c r="O28" i="1"/>
  <c r="O40" i="1" s="1"/>
  <c r="M25" i="1"/>
  <c r="M34" i="1" s="1"/>
  <c r="O27" i="1"/>
  <c r="O38" i="1" s="1"/>
  <c r="O26" i="1"/>
  <c r="O36" i="1" s="1"/>
  <c r="K6" i="1"/>
  <c r="N35" i="1"/>
  <c r="F35" i="1"/>
  <c r="C41" i="1"/>
  <c r="D35" i="1"/>
  <c r="L33" i="1"/>
  <c r="O37" i="1"/>
  <c r="O41" i="1"/>
  <c r="N37" i="1"/>
  <c r="N41" i="1"/>
  <c r="E33" i="1"/>
  <c r="M37" i="1"/>
  <c r="M41" i="1"/>
  <c r="L37" i="1"/>
  <c r="K37" i="1"/>
  <c r="K41" i="1"/>
  <c r="P35" i="1"/>
  <c r="P39" i="1"/>
  <c r="O39" i="1"/>
  <c r="N39" i="1"/>
  <c r="M39" i="1"/>
  <c r="L35" i="1"/>
  <c r="L39" i="1"/>
  <c r="K35" i="1"/>
  <c r="K39" i="1"/>
  <c r="P33" i="1"/>
  <c r="P37" i="1"/>
  <c r="P41" i="1"/>
  <c r="K33" i="1"/>
  <c r="O33" i="1"/>
  <c r="M33" i="1"/>
  <c r="O34" i="1"/>
  <c r="L36" i="1"/>
  <c r="N40" i="1"/>
  <c r="L42" i="1"/>
  <c r="L38" i="1"/>
  <c r="M15" i="1"/>
  <c r="N15" i="1"/>
  <c r="K15" i="1"/>
  <c r="O15" i="1"/>
  <c r="L15" i="1"/>
  <c r="P15" i="1"/>
  <c r="G6" i="2" l="1"/>
  <c r="B6" i="2"/>
  <c r="N43" i="1"/>
  <c r="E25" i="1"/>
  <c r="B25" i="1"/>
  <c r="B34" i="1" s="1"/>
  <c r="D27" i="1"/>
  <c r="G25" i="1"/>
  <c r="E27" i="1"/>
  <c r="F25" i="1"/>
  <c r="C27" i="1"/>
  <c r="B27" i="1"/>
  <c r="G27" i="1"/>
  <c r="F26" i="1"/>
  <c r="D26" i="1"/>
  <c r="D25" i="1"/>
  <c r="E26" i="1"/>
  <c r="B26" i="1"/>
  <c r="C26" i="1"/>
  <c r="D29" i="1"/>
  <c r="G29" i="1"/>
  <c r="B29" i="1"/>
  <c r="F29" i="1"/>
  <c r="E29" i="1"/>
  <c r="C29" i="1"/>
  <c r="G28" i="1"/>
  <c r="F28" i="1"/>
  <c r="E28" i="1"/>
  <c r="D28" i="1"/>
  <c r="C28" i="1"/>
  <c r="B28" i="1"/>
  <c r="K30" i="1"/>
  <c r="C40" i="1" l="1"/>
  <c r="C36" i="1"/>
  <c r="D36" i="1"/>
  <c r="F36" i="1"/>
  <c r="G40" i="1"/>
  <c r="G36" i="1"/>
  <c r="D42" i="1"/>
  <c r="F34" i="1"/>
  <c r="B42" i="1"/>
  <c r="D38" i="1"/>
  <c r="G38" i="1"/>
  <c r="E38" i="1"/>
  <c r="B36" i="1"/>
  <c r="E40" i="1"/>
  <c r="E34" i="1"/>
  <c r="D34" i="1"/>
  <c r="G42" i="1"/>
  <c r="E36" i="1"/>
  <c r="B38" i="1"/>
  <c r="G34" i="1"/>
  <c r="E42" i="1"/>
  <c r="C38" i="1"/>
  <c r="C34" i="1"/>
  <c r="F38" i="1"/>
  <c r="C42" i="1"/>
  <c r="F40" i="1"/>
  <c r="D40" i="1"/>
  <c r="B40" i="1"/>
  <c r="F42" i="1"/>
  <c r="N30" i="1"/>
  <c r="M30" i="1"/>
  <c r="O30" i="1"/>
  <c r="P30" i="1"/>
  <c r="L30" i="1"/>
  <c r="B30" i="1"/>
  <c r="C30" i="1"/>
  <c r="F30" i="1"/>
  <c r="D30" i="1"/>
  <c r="E30" i="1"/>
  <c r="G30" i="1"/>
  <c r="G43" i="1" l="1"/>
  <c r="G4" i="2" s="1"/>
  <c r="B43" i="1"/>
  <c r="B4" i="2" s="1"/>
  <c r="D43" i="1"/>
  <c r="F43" i="1"/>
  <c r="P43" i="1"/>
  <c r="E43" i="1"/>
  <c r="M43" i="1"/>
  <c r="C43" i="1"/>
  <c r="L43" i="1"/>
  <c r="K43" i="1"/>
  <c r="O43" i="1"/>
</calcChain>
</file>

<file path=xl/sharedStrings.xml><?xml version="1.0" encoding="utf-8"?>
<sst xmlns="http://schemas.openxmlformats.org/spreadsheetml/2006/main" count="402" uniqueCount="194">
  <si>
    <t>Ship Parameters</t>
  </si>
  <si>
    <t>Role Control Values</t>
  </si>
  <si>
    <t>Ships</t>
  </si>
  <si>
    <t>Points</t>
  </si>
  <si>
    <t>Service</t>
  </si>
  <si>
    <t>Lieutenant</t>
  </si>
  <si>
    <t>Captain</t>
  </si>
  <si>
    <t>Service Value</t>
  </si>
  <si>
    <t>Lt Value</t>
  </si>
  <si>
    <t>Cpt Value</t>
  </si>
  <si>
    <t>Adjusted</t>
  </si>
  <si>
    <t>Generic (500)</t>
  </si>
  <si>
    <t>Generic</t>
  </si>
  <si>
    <t>Capital</t>
  </si>
  <si>
    <t>Cruiser</t>
  </si>
  <si>
    <t>Destroyer</t>
  </si>
  <si>
    <t>Frigate</t>
  </si>
  <si>
    <t>Fighter</t>
  </si>
  <si>
    <t>Battlefield Fleet</t>
  </si>
  <si>
    <t>Fleet Ship values</t>
  </si>
  <si>
    <t>Option</t>
  </si>
  <si>
    <t>A</t>
  </si>
  <si>
    <t>B</t>
  </si>
  <si>
    <t>C</t>
  </si>
  <si>
    <t>D</t>
  </si>
  <si>
    <t>E</t>
  </si>
  <si>
    <t>F</t>
  </si>
  <si>
    <t>Name</t>
  </si>
  <si>
    <t>Capital Ship</t>
  </si>
  <si>
    <t>Cruiser Ship</t>
  </si>
  <si>
    <t>Destroyer Ship</t>
  </si>
  <si>
    <t>Frigate Ship</t>
  </si>
  <si>
    <t>Fighter Ship</t>
  </si>
  <si>
    <t>Total</t>
  </si>
  <si>
    <t xml:space="preserve">Total </t>
  </si>
  <si>
    <t>Battlefield Crew Sizes</t>
  </si>
  <si>
    <t>What is the adjusted score value per battlefield fleet</t>
  </si>
  <si>
    <t>Player has to have at least one ship that can hold a captain (edited)</t>
  </si>
  <si>
    <t>Each game mode will have a max amount of points which the player has to fill as part of their deck so no overflow/underflow</t>
  </si>
  <si>
    <t>Trying to make the adjust values balanced, for example 1 capital vs 1 destroyer and 5 fighters = -1000</t>
  </si>
  <si>
    <t>Adjusted Fleet Role Values</t>
  </si>
  <si>
    <r>
      <rPr>
        <sz val="11"/>
        <color rgb="FFFF0000"/>
        <rFont val="Calibri"/>
        <family val="2"/>
        <scheme val="minor"/>
      </rPr>
      <t>Generic</t>
    </r>
    <r>
      <rPr>
        <sz val="11"/>
        <color theme="1"/>
        <rFont val="Calibri"/>
        <family val="2"/>
        <scheme val="minor"/>
      </rPr>
      <t xml:space="preserve"> Fleet Role Values</t>
    </r>
  </si>
  <si>
    <t>Capital Crew</t>
  </si>
  <si>
    <t>Cruiser Crew</t>
  </si>
  <si>
    <t>Destroyer Crew</t>
  </si>
  <si>
    <t>Frigate Crew</t>
  </si>
  <si>
    <t>Fighter Crew</t>
  </si>
  <si>
    <t>Combined Adjusted Fleet Values</t>
  </si>
  <si>
    <r>
      <t xml:space="preserve">Combined </t>
    </r>
    <r>
      <rPr>
        <sz val="11"/>
        <color rgb="FFFF0000"/>
        <rFont val="Calibri"/>
        <family val="2"/>
        <scheme val="minor"/>
      </rPr>
      <t>Generic</t>
    </r>
    <r>
      <rPr>
        <sz val="11"/>
        <color theme="1"/>
        <rFont val="Calibri"/>
        <family val="2"/>
        <scheme val="minor"/>
      </rPr>
      <t xml:space="preserve"> Fleet Values</t>
    </r>
  </si>
  <si>
    <t>Possible Crew placed and able to tap</t>
  </si>
  <si>
    <t>Hull</t>
  </si>
  <si>
    <t>Shield</t>
  </si>
  <si>
    <t>Damage per gun</t>
  </si>
  <si>
    <t>Guns</t>
  </si>
  <si>
    <t>Escape Pods</t>
  </si>
  <si>
    <t>Turn</t>
  </si>
  <si>
    <t>Crew Departments</t>
  </si>
  <si>
    <t>Research</t>
  </si>
  <si>
    <t>Handling</t>
  </si>
  <si>
    <t xml:space="preserve">Medical </t>
  </si>
  <si>
    <t xml:space="preserve">Engineering </t>
  </si>
  <si>
    <t xml:space="preserve">Assualt </t>
  </si>
  <si>
    <t>Points towards cards that draw from the deck and doing event cards</t>
  </si>
  <si>
    <t>Points towards cards that affect the players ship movement</t>
  </si>
  <si>
    <t>Points towards cards based around player crew</t>
  </si>
  <si>
    <t>Points towards cards that improve players ship or hack enemy ship</t>
  </si>
  <si>
    <t>Points towards cards based around enemy crew</t>
  </si>
  <si>
    <t>Assault</t>
  </si>
  <si>
    <t>Player 1</t>
  </si>
  <si>
    <t>Junkyard</t>
  </si>
  <si>
    <t>Strategy Deck</t>
  </si>
  <si>
    <t>Stasis</t>
  </si>
  <si>
    <t>Crew Deck</t>
  </si>
  <si>
    <t>Player 2</t>
  </si>
  <si>
    <t>Game Rules</t>
  </si>
  <si>
    <t>Pre Game Rules:</t>
  </si>
  <si>
    <t>When picking ships at start of turn player must have at least 1 ship that can have a Captain and players picked ships must equal the ship total game points</t>
  </si>
  <si>
    <t>For example with 2000 ship total game points, player could pick 1 Cruiser (1500 points) and 1 Frigate (500 points), but cannot pick just 1 cruiser as just having 1 cruiser would be under 2000 points</t>
  </si>
  <si>
    <t>Players can't see what ships the other player has picked until both have locked them in</t>
  </si>
  <si>
    <t>Once players have picked their ships, they then start off by drawing two cards from their crew/leaders deck and 4 from their strategy deck</t>
  </si>
  <si>
    <t>A player gets 1 free mulligan but if they choose to mulligan anymore times than that they reduce the amount of cards drawn from strategy deck by 1 each time. Down to a minimum of 1 card from their strategy deck and 2 from their leader deck</t>
  </si>
  <si>
    <t>A crew /leader deck can only contain cards of Type Captain, Leuitenant and Crew</t>
  </si>
  <si>
    <t>The strategy deck has every other card</t>
  </si>
  <si>
    <t>You Strategy and card decks can only contain 4 duplicates of any card</t>
  </si>
  <si>
    <t>First Turn Rules:</t>
  </si>
  <si>
    <t>Pick a random Player to go first, since they started they don't draw a card from either the crew or strategy decks at the start of turn.</t>
  </si>
  <si>
    <t>After the first player, Players can draw either 1 card from the strategy deck, or they can choose the see the top 3 cards of the crew deck and then get to pick 1. The rest get sent to the bottom of the crew deck.</t>
  </si>
  <si>
    <t>In Game Rules</t>
  </si>
  <si>
    <t>Max player hand size is 8 (unless card in play says otherwise)</t>
  </si>
  <si>
    <t>A player can only place Crew cards to their ship with an available crew slot unless stated otherwise</t>
  </si>
  <si>
    <t>A crew member first placed on to a ship can't be used in a gun slot, however they can be used to tap for anything else</t>
  </si>
  <si>
    <t>A player can only play 1 crew member and 1 Captain/Leuitenant per their turn</t>
  </si>
  <si>
    <t>Each players turn consist of the following phases</t>
  </si>
  <si>
    <t>Untap Phase</t>
  </si>
  <si>
    <t>This is where the player untaps all their cards unless stated otherwise</t>
  </si>
  <si>
    <t>All player ships shield damaged, restore 100 shield</t>
  </si>
  <si>
    <t>Draw Phase</t>
  </si>
  <si>
    <t>This is where the player chooses to draw from their Strategy or Crew Deck</t>
  </si>
  <si>
    <t>Players can draw either 1 card from the strategy deck, or they can choose the see the top 3 cards of the crew deck and then get to pick 1. The rest get sent to the bottom of the crew deck.</t>
  </si>
  <si>
    <t>Strategy Phase</t>
  </si>
  <si>
    <t>This is where the player can play their cards, tap to gain department resourse or tap cards to use gun slots</t>
  </si>
  <si>
    <t>End Phase</t>
  </si>
  <si>
    <t>At this phase if the player has cards greater than their max hand size then they must discard back down to that size</t>
  </si>
  <si>
    <t>Any department resource not used does NOT get transferred to later turns</t>
  </si>
  <si>
    <t>In Game Rules Continued</t>
  </si>
  <si>
    <t>During the phases players can activate certain types of cards on other players turns</t>
  </si>
  <si>
    <t>A ship can only hold x amount of crew members where x is equal to the ships crew slots</t>
  </si>
  <si>
    <t>A ship can only hold x amount of Captains where x is equal to ships Captains slots</t>
  </si>
  <si>
    <t>A ship can only hold x amount of Leuitenant where x is equal to ships Leuitenant slots</t>
  </si>
  <si>
    <t>If player wants to draw from crew/leader deck and there are no cards left in players crew/leader deck then shuffle the crew/leader cards from stasis back to that deck spot and draw</t>
  </si>
  <si>
    <t>If there are less than 3 cards in the crew/eader deck then they draw the rest of the deck, shuffle the stasis pile back to the deck position and draw up to the 3 cards. Then continue process of picking 1 card and putting rest to the stasis pile</t>
  </si>
  <si>
    <t>If there are no cards left in the strategy deck during the draw phase that player loses and is out of the game</t>
  </si>
  <si>
    <t>A player can only have 1 admiral card in play on their side of the battlefield</t>
  </si>
  <si>
    <t>When a strategy card has been played and doesn’t stay on the field, then that card gets sent to the junkyard</t>
  </si>
  <si>
    <t>Cards in the Junkyard can't be played unless stated otherwise</t>
  </si>
  <si>
    <t>Crew cards in the stasis pile can't be played unless stated otherwise</t>
  </si>
  <si>
    <t>Crew Cards</t>
  </si>
  <si>
    <t>A Crew Card can have various tap abilities, the standard abilities they get are as follows unless stated otherwise:</t>
  </si>
  <si>
    <t>Crew can tap to provide department resource</t>
  </si>
  <si>
    <t>Crew can tap to use a gun slot on assigned ship</t>
  </si>
  <si>
    <t>Crew can tap to move from one ship to another ship the player owns</t>
  </si>
  <si>
    <t>When a crew card is destroyed send it to the stasis pile</t>
  </si>
  <si>
    <t>A rank 1 crew card can be played for free</t>
  </si>
  <si>
    <t>Crew cards higher than Rank 1 will require at least a sacrifice of a crew card currently in play that you own with a Rank lower than the crew card trying to play</t>
  </si>
  <si>
    <t>Captain and Leuitenant cards cost department resource to play</t>
  </si>
  <si>
    <t>Gun Slots/Attacking Player Ships</t>
  </si>
  <si>
    <t>A crew type card has a 1 to 1 relationship when being tapped to a gun slot. Meaning you can't tap more than 1 crew card type to the same gun slot on the same turn.</t>
  </si>
  <si>
    <t>Some cards might allow a crew card to tap more than one gun slot</t>
  </si>
  <si>
    <t>When crew type card is being used to a gun slot, it will deal damage to the players ship shield, if the players ship shield is at 0 or deactivated then it will deal damage to the players ship hull</t>
  </si>
  <si>
    <t>Taking Damage</t>
  </si>
  <si>
    <t>When a ship takes hull damage, sacrifice 1 crew member from ship. Only do this once per strategy phase</t>
  </si>
  <si>
    <t>Ship Destroyed</t>
  </si>
  <si>
    <t>Once a players ship hull reaches 0 it is destroyed</t>
  </si>
  <si>
    <t>Once a players ship is destroyed remove the ship card from play</t>
  </si>
  <si>
    <t>All ship upgrades attached to destroyed ship are sent to the junkyard</t>
  </si>
  <si>
    <t>Each ship will have had assigned amount of escape pods. The player owning the destroyed ship may pick to move that amount of crew with their attachments from the destroyed ship to another ship they own as long as there is space left on the ship</t>
  </si>
  <si>
    <t>The rest of the crew and crew attachment cards are sent to stasis and the junkyard</t>
  </si>
  <si>
    <t>Once all of a players ship is destroyed they lose and are out of the game</t>
  </si>
  <si>
    <t>When only 1 player remains in the game they win</t>
  </si>
  <si>
    <t>Controlled deck is the battlefield conditions which affects the battlefield</t>
  </si>
  <si>
    <t>On the board everyone know you go to sector you get a chance card which for example would increase the amount of service a turn etc</t>
  </si>
  <si>
    <t>But at that sector you have to draw from the control deck</t>
  </si>
  <si>
    <t>There will be a "galaxy map" where each move to a system is a player turn. These turns also count in card battles.</t>
  </si>
  <si>
    <t>For example the turn order is Player 1, Player 2 and then player 3</t>
  </si>
  <si>
    <t>Player 1 decides to use there movement to movement into a system space on galaxy.</t>
  </si>
  <si>
    <t xml:space="preserve">Player 2 starts there turn afterwards and moves in same system on galaxy map to initiate card battle. Both of these players would run the initialise phase of card battle aka draw starting hand. Player 2 would start a turn </t>
  </si>
  <si>
    <t>But now its player 3 turn on galaxy map where they can pick to move into that same system space or move somewhere else. If they join then thay can start battling</t>
  </si>
  <si>
    <t>Afterwards it would thyen go to player 1 to their card battle screen turn</t>
  </si>
  <si>
    <t>Note if a player has a ship not in a system in battle it is not part of the battle meaning they can use that ship to move on the "galaxy map"</t>
  </si>
  <si>
    <t>Card Types</t>
  </si>
  <si>
    <t>Description</t>
  </si>
  <si>
    <t>Mechanics</t>
  </si>
  <si>
    <t>Crew</t>
  </si>
  <si>
    <t>Crew cards are the only way to be able to play various other cards and some other crew cards. This is defined by the cards cost. Some crew cards have other abilities and can be used to attack enemy ships.</t>
  </si>
  <si>
    <t>A crew card can only be played to fill A ships service slot. Only one crew card can be played per turn.</t>
  </si>
  <si>
    <t>On tap a crew type card can be used to either provide a given department point used to play other cards or activate card abilities. Amount and Department point/s are defined on the card</t>
  </si>
  <si>
    <t xml:space="preserve">Any crew card can be tapped and assigned to their ships gun slot and shoot an enemy target ship </t>
  </si>
  <si>
    <t>Crew cards will have a given Rank, Rank 1 can be played for free to a ship. Ranks higher than 1 will require a cost to be played</t>
  </si>
  <si>
    <t>Captain/Leuitenant</t>
  </si>
  <si>
    <t xml:space="preserve">Captain and Leuitenant cards will have their own unique benefits and abilities to their assigned ship. </t>
  </si>
  <si>
    <t>A Captain and Leuitenant card can only be played to fill a Captain or Leuitenant slot. Only one Captain or Leuitenant card can be played per turn.</t>
  </si>
  <si>
    <t>A captain and leuitenant triggered and payed abilities can only be used for their assigned ship or for ships that can't have a captain or leuitenant</t>
  </si>
  <si>
    <t>Admiral</t>
  </si>
  <si>
    <t>A admiral card is used to provide special abilities and affects to the whole battlefield</t>
  </si>
  <si>
    <t>There can only be one admiral card in play at any one time on your side of the battlefield as long as you can pay their cost</t>
  </si>
  <si>
    <t>Admiral cards can only be played on your turn</t>
  </si>
  <si>
    <t>Event</t>
  </si>
  <si>
    <t>Research project cards are ways for the player to potentially change the tide of battle with either basic card drawing to removing a ships upgrade.</t>
  </si>
  <si>
    <t>You can play as many Research Project cards as long you can pay their cost</t>
  </si>
  <si>
    <t>Research Project cards can only be played on your turn</t>
  </si>
  <si>
    <t>Ship Upgrade</t>
  </si>
  <si>
    <t>Ship Upgrade cards are used to attach to a target players ship to improve or deteriorate it</t>
  </si>
  <si>
    <t>You can play as manyShip Upgrade cards as long you can pay their cost</t>
  </si>
  <si>
    <t>Ship Upgrade cards can only be played on your turn</t>
  </si>
  <si>
    <t>You can't move a ship upgrade from one ship to another once attached</t>
  </si>
  <si>
    <t>Ship upgrades can be destroyed or temporarily removed from the attached ship by other cards</t>
  </si>
  <si>
    <t>Tactic</t>
  </si>
  <si>
    <t>Tactic cards are used to be played as reactions at any point in the game</t>
  </si>
  <si>
    <t>You can play a many Tactic cards as long as you can pay their cost</t>
  </si>
  <si>
    <t>Tactic cards can be played on either yours or opponents turn</t>
  </si>
  <si>
    <t>On Going Event</t>
  </si>
  <si>
    <t>On Going Event cards are used to apply a effect that happens each turn (either each player turn, each targeted players turn)</t>
  </si>
  <si>
    <t>You can play a many On Going Event cards as long as you can pay their cost</t>
  </si>
  <si>
    <t>On Going Event cards can only be played on your turn</t>
  </si>
  <si>
    <t>Crew Attachment</t>
  </si>
  <si>
    <t>Attach to crew member to add extract abilities</t>
  </si>
  <si>
    <t>You can play a many Crew Attachment cards as long as you can pay their cost</t>
  </si>
  <si>
    <t>Crew Attachment cards can only be played on your turn</t>
  </si>
  <si>
    <t>Player A</t>
  </si>
  <si>
    <t>Player B</t>
  </si>
  <si>
    <t>Fleet Option</t>
  </si>
  <si>
    <t>Ship Points</t>
  </si>
  <si>
    <t>Crew Points</t>
  </si>
  <si>
    <t>No.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</si>
</sst>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font>
    <font>
      <sz val="11"/>
      <color theme="0"/>
      <name val="Calibri"/>
      <family val="2"/>
      <scheme val="minor"/>
    </font>
    <font>
      <sz val="11"/>
      <color rgb="FF444444"/>
      <name val="Calibri"/>
      <family val="2"/>
      <charset val="1"/>
    </font>
  </fonts>
  <fills count="9">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00B050"/>
        <bgColor indexed="64"/>
      </patternFill>
    </fill>
    <fill>
      <patternFill patternType="solid">
        <fgColor theme="1"/>
        <bgColor theme="1"/>
      </patternFill>
    </fill>
    <fill>
      <patternFill patternType="solid">
        <fgColor theme="0" tint="-0.14999847407452621"/>
        <bgColor theme="0" tint="-0.14999847407452621"/>
      </patternFill>
    </fill>
    <fill>
      <patternFill patternType="solid">
        <fgColor rgb="FFFF0000"/>
        <bgColor indexed="64"/>
      </patternFill>
    </fill>
    <fill>
      <patternFill patternType="solid">
        <fgColor rgb="FF0070C0"/>
        <bgColor indexed="64"/>
      </patternFill>
    </fill>
  </fills>
  <borders count="23">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0"/>
      </left>
      <right style="thin">
        <color theme="0"/>
      </right>
      <top style="thin">
        <color theme="4" tint="0.39997558519241921"/>
      </top>
      <bottom/>
      <diagonal/>
    </border>
    <border>
      <left/>
      <right/>
      <top style="thin">
        <color theme="4" tint="0.39997558519241921"/>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style="thin">
        <color theme="1"/>
      </top>
      <bottom style="thin">
        <color theme="4" tint="0.39997558519241921"/>
      </bottom>
      <diagonal/>
    </border>
    <border>
      <left/>
      <right style="thin">
        <color theme="1"/>
      </right>
      <top style="thin">
        <color theme="4" tint="0.39997558519241921"/>
      </top>
      <bottom style="thin">
        <color theme="4" tint="0.39997558519241921"/>
      </bottom>
      <diagonal/>
    </border>
    <border>
      <left/>
      <right style="thin">
        <color theme="1"/>
      </right>
      <top style="thin">
        <color theme="1"/>
      </top>
      <bottom style="thin">
        <color theme="4" tint="0.3999755851924192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theme="1"/>
      </top>
      <bottom style="thin">
        <color theme="4" tint="0.39997558519241921"/>
      </bottom>
      <diagonal/>
    </border>
    <border>
      <left style="thin">
        <color theme="1"/>
      </left>
      <right style="thin">
        <color theme="1"/>
      </right>
      <top style="medium">
        <color theme="1"/>
      </top>
      <bottom style="medium">
        <color theme="1"/>
      </bottom>
      <diagonal/>
    </border>
    <border>
      <left style="thin">
        <color theme="1"/>
      </left>
      <right style="thin">
        <color theme="1"/>
      </right>
      <top style="thin">
        <color theme="1"/>
      </top>
      <bottom style="thin">
        <color theme="1"/>
      </bottom>
      <diagonal/>
    </border>
  </borders>
  <cellStyleXfs count="1">
    <xf numFmtId="0" fontId="0" fillId="0" borderId="0"/>
  </cellStyleXfs>
  <cellXfs count="54">
    <xf numFmtId="0" fontId="0" fillId="0" borderId="0" xfId="0"/>
    <xf numFmtId="0" fontId="0" fillId="0" borderId="0" xfId="0" applyAlignment="1">
      <alignment horizontal="center"/>
    </xf>
    <xf numFmtId="0" fontId="0" fillId="2" borderId="0" xfId="0" applyFill="1"/>
    <xf numFmtId="0" fontId="3" fillId="0" borderId="0" xfId="0" applyFont="1"/>
    <xf numFmtId="0" fontId="0" fillId="3" borderId="0" xfId="0" applyFill="1"/>
    <xf numFmtId="0" fontId="0" fillId="3" borderId="0" xfId="0" applyFill="1" applyAlignment="1">
      <alignment horizontal="center"/>
    </xf>
    <xf numFmtId="0" fontId="0" fillId="4" borderId="0" xfId="0" applyFill="1"/>
    <xf numFmtId="0" fontId="3" fillId="0" borderId="0" xfId="0" applyFont="1" applyAlignment="1">
      <alignment horizontal="center"/>
    </xf>
    <xf numFmtId="0" fontId="0" fillId="0" borderId="0" xfId="0" applyAlignment="1">
      <alignment horizontal="left"/>
    </xf>
    <xf numFmtId="0" fontId="1" fillId="0" borderId="2" xfId="0" applyFont="1" applyBorder="1"/>
    <xf numFmtId="0" fontId="0" fillId="0" borderId="2" xfId="0" applyBorder="1"/>
    <xf numFmtId="0" fontId="0" fillId="0" borderId="2"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Alignment="1">
      <alignment horizontal="center"/>
    </xf>
    <xf numFmtId="0" fontId="0" fillId="0" borderId="1" xfId="0" applyBorder="1"/>
    <xf numFmtId="0" fontId="0" fillId="0" borderId="1" xfId="0" applyBorder="1" applyAlignment="1">
      <alignment horizontal="center"/>
    </xf>
    <xf numFmtId="0" fontId="4" fillId="0" borderId="0" xfId="0" applyFont="1"/>
    <xf numFmtId="0" fontId="4" fillId="0" borderId="0" xfId="0" applyFont="1" applyAlignment="1">
      <alignment horizontal="center"/>
    </xf>
    <xf numFmtId="0" fontId="1" fillId="5" borderId="5" xfId="0" applyFont="1" applyFill="1" applyBorder="1" applyAlignment="1">
      <alignment horizontal="center"/>
    </xf>
    <xf numFmtId="0" fontId="0" fillId="6" borderId="6" xfId="0" applyFill="1" applyBorder="1" applyAlignment="1">
      <alignment horizontal="center" wrapText="1"/>
    </xf>
    <xf numFmtId="0" fontId="1" fillId="5" borderId="7" xfId="0" applyFont="1" applyFill="1" applyBorder="1"/>
    <xf numFmtId="0" fontId="0" fillId="6" borderId="9" xfId="0" applyFill="1" applyBorder="1"/>
    <xf numFmtId="0" fontId="0" fillId="0" borderId="9" xfId="0" applyBorder="1"/>
    <xf numFmtId="0" fontId="1" fillId="5" borderId="10" xfId="0" applyFont="1" applyFill="1" applyBorder="1"/>
    <xf numFmtId="0" fontId="0" fillId="6" borderId="10" xfId="0" applyFill="1" applyBorder="1" applyAlignment="1">
      <alignment horizontal="center"/>
    </xf>
    <xf numFmtId="0" fontId="0" fillId="0" borderId="11" xfId="0" applyBorder="1" applyAlignment="1">
      <alignment horizontal="center"/>
    </xf>
    <xf numFmtId="0" fontId="0" fillId="6" borderId="11" xfId="0" applyFill="1" applyBorder="1" applyAlignment="1">
      <alignment horizontal="center"/>
    </xf>
    <xf numFmtId="0" fontId="0" fillId="0" borderId="14" xfId="0" applyBorder="1" applyAlignment="1">
      <alignment wrapText="1"/>
    </xf>
    <xf numFmtId="0" fontId="5" fillId="0" borderId="16" xfId="0" applyFont="1" applyBorder="1" applyAlignment="1">
      <alignment wrapText="1"/>
    </xf>
    <xf numFmtId="0" fontId="0" fillId="0" borderId="16" xfId="0" applyBorder="1" applyAlignment="1">
      <alignment wrapText="1"/>
    </xf>
    <xf numFmtId="0" fontId="0" fillId="0" borderId="19" xfId="0" applyBorder="1" applyAlignment="1">
      <alignment wrapText="1"/>
    </xf>
    <xf numFmtId="0" fontId="1" fillId="5" borderId="8" xfId="0" applyFont="1" applyFill="1" applyBorder="1"/>
    <xf numFmtId="0" fontId="1" fillId="5" borderId="1" xfId="0" applyFont="1" applyFill="1" applyBorder="1"/>
    <xf numFmtId="0" fontId="0" fillId="6" borderId="20" xfId="0" applyFill="1" applyBorder="1" applyAlignment="1">
      <alignment horizontal="center"/>
    </xf>
    <xf numFmtId="0" fontId="0" fillId="0" borderId="20" xfId="0" applyBorder="1" applyAlignment="1">
      <alignment horizontal="center"/>
    </xf>
    <xf numFmtId="0" fontId="1" fillId="5" borderId="21" xfId="0" applyFont="1" applyFill="1" applyBorder="1" applyAlignment="1">
      <alignment horizontal="left"/>
    </xf>
    <xf numFmtId="0" fontId="1" fillId="5" borderId="21" xfId="0" applyFont="1" applyFill="1" applyBorder="1" applyAlignment="1">
      <alignment horizontal="center"/>
    </xf>
    <xf numFmtId="0" fontId="0" fillId="6" borderId="22" xfId="0" applyFill="1" applyBorder="1"/>
    <xf numFmtId="0" fontId="0" fillId="6" borderId="22" xfId="0" applyFill="1" applyBorder="1" applyAlignment="1">
      <alignment horizontal="center"/>
    </xf>
    <xf numFmtId="0" fontId="0" fillId="0" borderId="22" xfId="0" applyBorder="1"/>
    <xf numFmtId="0" fontId="0" fillId="0" borderId="22" xfId="0" applyBorder="1" applyAlignment="1">
      <alignment horizontal="center"/>
    </xf>
    <xf numFmtId="0" fontId="0" fillId="7" borderId="0" xfId="0" applyFill="1"/>
    <xf numFmtId="0" fontId="0" fillId="8" borderId="0" xfId="0" applyFill="1"/>
    <xf numFmtId="0" fontId="0" fillId="4" borderId="9" xfId="0" applyFill="1" applyBorder="1"/>
    <xf numFmtId="0" fontId="6" fillId="3" borderId="0" xfId="0" applyFont="1" applyFill="1"/>
    <xf numFmtId="0" fontId="7" fillId="0" borderId="0" xfId="0" quotePrefix="1" applyFont="1"/>
    <xf numFmtId="0" fontId="0" fillId="0" borderId="0" xfId="0" applyAlignment="1">
      <alignment horizontal="center"/>
    </xf>
    <xf numFmtId="0" fontId="0" fillId="0" borderId="13" xfId="0" applyBorder="1" applyAlignment="1">
      <alignment horizontal="center" vertical="center" wrapText="1"/>
    </xf>
    <xf numFmtId="0" fontId="0" fillId="0" borderId="18" xfId="0" applyBorder="1" applyAlignment="1">
      <alignment horizontal="center" vertical="center" wrapText="1"/>
    </xf>
    <xf numFmtId="0" fontId="0" fillId="0" borderId="12" xfId="0" applyBorder="1" applyAlignment="1">
      <alignment horizontal="center" vertical="center"/>
    </xf>
    <xf numFmtId="0" fontId="0" fillId="0" borderId="17" xfId="0" applyBorder="1" applyAlignment="1">
      <alignment horizontal="center" vertical="center"/>
    </xf>
    <xf numFmtId="0" fontId="0" fillId="0" borderId="0" xfId="0" applyAlignment="1">
      <alignment horizontal="center" vertical="center" wrapText="1"/>
    </xf>
    <xf numFmtId="0" fontId="0" fillId="0" borderId="15" xfId="0" applyBorder="1" applyAlignment="1">
      <alignment horizontal="center" vertical="center"/>
    </xf>
  </cellXfs>
  <cellStyles count="1">
    <cellStyle name="Normal" xfId="0" builtinId="0"/>
  </cellStyles>
  <dxfs count="140">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border diagonalUp="0" diagonalDown="0" outline="0"/>
    </dxf>
    <dxf>
      <font>
        <b/>
        <i val="0"/>
        <strike val="0"/>
        <condense val="0"/>
        <extend val="0"/>
        <outline val="0"/>
        <shadow val="0"/>
        <u val="none"/>
        <vertAlign val="baseline"/>
        <sz val="11"/>
        <color theme="0"/>
        <name val="Calibri"/>
        <scheme val="minor"/>
      </font>
      <fill>
        <patternFill patternType="none">
          <fgColor theme="8"/>
          <bgColor indexed="65"/>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style="thin">
          <color theme="4" tint="0.39997558519241921"/>
        </bottom>
      </border>
    </dxf>
    <dxf>
      <border outline="0">
        <left style="thin">
          <color theme="4" tint="0.39997558519241921"/>
        </left>
        <top style="thin">
          <color theme="4" tint="0.39997558519241921"/>
        </top>
        <bottom style="thin">
          <color theme="4" tint="0.39997558519241921"/>
        </bottom>
      </border>
    </dxf>
    <dxf>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style="thin">
          <color theme="4" tint="0.39997558519241921"/>
        </bottom>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8" tint="0.59999389629810485"/>
          <bgColor theme="8" tint="0.59999389629810485"/>
        </patternFill>
      </fill>
    </dxf>
    <dxf>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theme="8" tint="0.59999389629810485"/>
          <bgColor indexed="65"/>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border diagonalUp="0" diagonalDown="0" outline="0"/>
    </dxf>
    <dxf>
      <font>
        <b/>
        <i val="0"/>
        <strike val="0"/>
        <condense val="0"/>
        <extend val="0"/>
        <outline val="0"/>
        <shadow val="0"/>
        <u val="none"/>
        <vertAlign val="baseline"/>
        <sz val="11"/>
        <color theme="0"/>
        <name val="Calibri"/>
        <scheme val="minor"/>
      </font>
      <fill>
        <patternFill patternType="none">
          <fgColor theme="4"/>
          <bgColor indexed="65"/>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none">
          <fgColor theme="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bgColor theme="0"/>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ableStyleMedium2" defaultPivotStyle="PivotStyleMedium9">
    <tableStyle name="TableStyleMedium2 2" pivot="0" count="7" xr9:uid="{00000000-0011-0000-FFFF-FFFF00000000}">
      <tableStyleElement type="wholeTable" dxfId="139"/>
      <tableStyleElement type="headerRow" dxfId="138"/>
      <tableStyleElement type="totalRow" dxfId="137"/>
      <tableStyleElement type="firstColumn" dxfId="136"/>
      <tableStyleElement type="lastColumn" dxfId="135"/>
      <tableStyleElement type="firstColumnStripe" dxfId="134"/>
      <tableStyleElement type="secondColumnStripe" dxfId="1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BattlefieldFlt" displayName="TblBattlefieldFlt" ref="A9:G15" totalsRowCount="1" headerRowDxfId="132" dataDxfId="131" totalsRowDxfId="130">
  <autoFilter ref="A9:G14" xr:uid="{00000000-0009-0000-0100-000001000000}"/>
  <tableColumns count="7">
    <tableColumn id="1" xr3:uid="{00000000-0010-0000-0000-000001000000}" name="Option" totalsRowLabel="Total" dataDxfId="129"/>
    <tableColumn id="2" xr3:uid="{00000000-0010-0000-0000-000002000000}" name="A" totalsRowFunction="sum" dataDxfId="128" totalsRowDxfId="127"/>
    <tableColumn id="3" xr3:uid="{00000000-0010-0000-0000-000003000000}" name="B" totalsRowFunction="sum" dataDxfId="126" totalsRowDxfId="125"/>
    <tableColumn id="4" xr3:uid="{00000000-0010-0000-0000-000004000000}" name="C" totalsRowFunction="sum" dataDxfId="124" totalsRowDxfId="123"/>
    <tableColumn id="5" xr3:uid="{00000000-0010-0000-0000-000005000000}" name="D" totalsRowFunction="sum" dataDxfId="122" totalsRowDxfId="121"/>
    <tableColumn id="6" xr3:uid="{00000000-0010-0000-0000-000006000000}" name="E" totalsRowFunction="sum" dataDxfId="120" totalsRowDxfId="119"/>
    <tableColumn id="7" xr3:uid="{00000000-0010-0000-0000-000007000000}" name="F" totalsRowFunction="sum" dataDxfId="118" totalsRowDxfId="117"/>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blFltCrewSizes" displayName="TblFltCrewSizes" ref="A17:G21" totalsRowCount="1" headerRowDxfId="15" dataDxfId="14">
  <autoFilter ref="A17:G20" xr:uid="{00000000-0009-0000-0100-00000E000000}"/>
  <tableColumns count="7">
    <tableColumn id="1" xr3:uid="{00000000-0010-0000-0900-000001000000}" name="Option" totalsRowLabel="Total" dataDxfId="13" totalsRowDxfId="12"/>
    <tableColumn id="2" xr3:uid="{00000000-0010-0000-0900-000002000000}" name="A" totalsRowFunction="custom" dataDxfId="11" totalsRowDxfId="10">
      <totalsRowFormula>SUBTOTAL(109,TblFltCrewSizes[A])</totalsRowFormula>
    </tableColumn>
    <tableColumn id="3" xr3:uid="{00000000-0010-0000-0900-000003000000}" name="B" totalsRowFunction="custom" dataDxfId="9" totalsRowDxfId="8">
      <totalsRowFormula>SUBTOTAL(109,TblFltCrewSizes[B])</totalsRowFormula>
    </tableColumn>
    <tableColumn id="4" xr3:uid="{00000000-0010-0000-0900-000004000000}" name="C" totalsRowFunction="custom" dataDxfId="7" totalsRowDxfId="6">
      <totalsRowFormula>SUBTOTAL(109,TblFltCrewSizes[C])</totalsRowFormula>
    </tableColumn>
    <tableColumn id="5" xr3:uid="{00000000-0010-0000-0900-000005000000}" name="D" totalsRowFunction="custom" dataDxfId="5" totalsRowDxfId="4">
      <totalsRowFormula>SUBTOTAL(109,TblFltCrewSizes[D])</totalsRowFormula>
    </tableColumn>
    <tableColumn id="6" xr3:uid="{00000000-0010-0000-0900-000006000000}" name="E" totalsRowFunction="custom" dataDxfId="3" totalsRowDxfId="2">
      <totalsRowFormula>SUBTOTAL(109,TblFltCrewSizes[E])</totalsRowFormula>
    </tableColumn>
    <tableColumn id="7" xr3:uid="{00000000-0010-0000-0900-000007000000}" name="F" totalsRowFunction="sum" dataDxfId="1" totalsRowDxfId="0"/>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FleetShipValues" displayName="TblFleetShipValues" ref="J9:Q15" totalsRowCount="1" headerRowDxfId="116" dataDxfId="115" totalsRowDxfId="114">
  <autoFilter ref="J9:Q14" xr:uid="{00000000-0009-0000-0100-000002000000}"/>
  <tableColumns count="8">
    <tableColumn id="1" xr3:uid="{00000000-0010-0000-0100-000001000000}" name="Option" totalsRowLabel="Total " dataDxfId="113" totalsRowDxfId="112"/>
    <tableColumn id="2" xr3:uid="{00000000-0010-0000-0100-000002000000}" name="A" totalsRowFunction="sum" dataDxfId="111" totalsRowDxfId="110">
      <calculatedColumnFormula>(INDEX(TblBattlefieldFlt[[A]:[F]],MATCH(TblFleetShipValues[[#This Row],[Option]],TblBattlefieldFlt[Option],0),MATCH(TblFleetShipValues[[#Headers],[A]],TblBattlefieldFlt[[#Headers],[A]:[F]],0)))*(INDEX(TblShipPoints[Points],MATCH(TblFleetShipValues[[#This Row],[Option]],TblShipPoints[Ships],0)))</calculatedColumnFormula>
    </tableColumn>
    <tableColumn id="3" xr3:uid="{00000000-0010-0000-0100-000003000000}" name="B" totalsRowFunction="sum" dataDxfId="109" totalsRowDxfId="108">
      <calculatedColumnFormula>C10*#REF!</calculatedColumnFormula>
    </tableColumn>
    <tableColumn id="4" xr3:uid="{00000000-0010-0000-0100-000004000000}" name="C" totalsRowFunction="sum" dataDxfId="107" totalsRowDxfId="106">
      <calculatedColumnFormula>D10*#REF!</calculatedColumnFormula>
    </tableColumn>
    <tableColumn id="5" xr3:uid="{00000000-0010-0000-0100-000005000000}" name="D" totalsRowFunction="sum" dataDxfId="105" totalsRowDxfId="104">
      <calculatedColumnFormula>E10*#REF!</calculatedColumnFormula>
    </tableColumn>
    <tableColumn id="6" xr3:uid="{00000000-0010-0000-0100-000006000000}" name="E" totalsRowFunction="sum" dataDxfId="103" totalsRowDxfId="102">
      <calculatedColumnFormula>F10*#REF!</calculatedColumnFormula>
    </tableColumn>
    <tableColumn id="7" xr3:uid="{00000000-0010-0000-0100-000007000000}" name="F" totalsRowFunction="sum" dataDxfId="101" totalsRowDxfId="100">
      <calculatedColumnFormula>G10*#REF!</calculatedColumnFormula>
    </tableColumn>
    <tableColumn id="8" xr3:uid="{00000000-0010-0000-0100-000008000000}" name="Name" dataDxfId="99" totalsRowDxfId="98"/>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RoleControlValues" displayName="TblRoleControlValues" ref="N2:Q3" totalsRowShown="0" headerRowDxfId="97" dataDxfId="96">
  <autoFilter ref="N2:Q3" xr:uid="{00000000-0009-0000-0100-000005000000}"/>
  <tableColumns count="4">
    <tableColumn id="1" xr3:uid="{00000000-0010-0000-0200-000001000000}" name="Generic" dataDxfId="95"/>
    <tableColumn id="2" xr3:uid="{00000000-0010-0000-0200-000002000000}" name="Service" dataDxfId="94"/>
    <tableColumn id="3" xr3:uid="{00000000-0010-0000-0200-000003000000}" name="Lieutenant" dataDxfId="93"/>
    <tableColumn id="4" xr3:uid="{00000000-0010-0000-0200-000004000000}" name="Captain" dataDxfId="9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AdjFleetRolesValues" displayName="TblAdjFleetRolesValues" ref="A24:H30" totalsRowCount="1" headerRowDxfId="91" dataDxfId="90" totalsRowDxfId="89">
  <autoFilter ref="A24:H29" xr:uid="{00000000-0009-0000-0100-000006000000}"/>
  <tableColumns count="8">
    <tableColumn id="1" xr3:uid="{00000000-0010-0000-0300-000001000000}" name="Option" totalsRowLabel="Total" dataDxfId="88" totalsRowDxfId="87"/>
    <tableColumn id="2" xr3:uid="{00000000-0010-0000-0300-000002000000}" name="A" totalsRowFunction="sum" dataDxfId="86" totalsRowDxfId="85">
      <calculatedColumnFormula>(INDEX(TblBattlefieldFlt[[A]:[F]],MATCH($A25,TblBattlefieldFlt[Option],0),MATCH(B$24,TblBattlefieldFlt[[#Headers],[A]:[F]],0)))*(INDEX(TblShipCrew[Adjusted],MATCH($A25,TblShipCrew[Ships],0)))</calculatedColumnFormula>
    </tableColumn>
    <tableColumn id="3" xr3:uid="{00000000-0010-0000-0300-000003000000}" name="B" totalsRowFunction="sum" dataDxfId="84" totalsRowDxfId="83">
      <calculatedColumnFormula>(INDEX(TblBattlefieldFlt[[A]:[F]],MATCH($A25,TblBattlefieldFlt[Option],0),MATCH(C$24,TblBattlefieldFlt[[#Headers],[A]:[F]],0)))*(INDEX(TblShipCrew[Adjusted],MATCH($A25,TblShipCrew[Ships],0)))</calculatedColumnFormula>
    </tableColumn>
    <tableColumn id="4" xr3:uid="{00000000-0010-0000-0300-000004000000}" name="C" totalsRowFunction="sum" dataDxfId="82" totalsRowDxfId="81">
      <calculatedColumnFormula>(INDEX(TblBattlefieldFlt[[A]:[F]],MATCH($A25,TblBattlefieldFlt[Option],0),MATCH(D$24,TblBattlefieldFlt[[#Headers],[A]:[F]],0)))*(INDEX(TblShipCrew[Adjusted],MATCH($A25,TblShipCrew[Ships],0)))</calculatedColumnFormula>
    </tableColumn>
    <tableColumn id="5" xr3:uid="{00000000-0010-0000-0300-000005000000}" name="D" totalsRowFunction="sum" dataDxfId="80" totalsRowDxfId="79">
      <calculatedColumnFormula>(INDEX(TblBattlefieldFlt[[A]:[F]],MATCH($A25,TblBattlefieldFlt[Option],0),MATCH(E$24,TblBattlefieldFlt[[#Headers],[A]:[F]],0)))*(INDEX(TblShipCrew[Adjusted],MATCH($A25,TblShipCrew[Ships],0)))</calculatedColumnFormula>
    </tableColumn>
    <tableColumn id="6" xr3:uid="{00000000-0010-0000-0300-000006000000}" name="E" totalsRowFunction="sum" dataDxfId="78" totalsRowDxfId="77">
      <calculatedColumnFormula>(INDEX(TblBattlefieldFlt[[A]:[F]],MATCH($A25,TblBattlefieldFlt[Option],0),MATCH(F$24,TblBattlefieldFlt[[#Headers],[A]:[F]],0)))*(INDEX(TblShipCrew[Adjusted],MATCH($A25,TblShipCrew[Ships],0)))</calculatedColumnFormula>
    </tableColumn>
    <tableColumn id="7" xr3:uid="{00000000-0010-0000-0300-000007000000}" name="F" totalsRowFunction="sum" dataDxfId="76" totalsRowDxfId="75">
      <calculatedColumnFormula>(INDEX(TblBattlefieldFlt[[A]:[F]],MATCH($A25,TblBattlefieldFlt[Option],0),MATCH(G$24,TblBattlefieldFlt[[#Headers],[A]:[F]],0)))*(INDEX(TblShipCrew[Adjusted],MATCH($A25,TblShipCrew[Ships],0)))</calculatedColumnFormula>
    </tableColumn>
    <tableColumn id="8" xr3:uid="{00000000-0010-0000-0300-000008000000}" name="Name" dataDxfId="74" totalsRowDxfId="73"/>
  </tableColumns>
  <tableStyleInfo name="TableStyleMedium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blCombinedAdjFltValues" displayName="TblCombinedAdjFltValues" ref="A32:G43" totalsRowCount="1" headerRowDxfId="72">
  <autoFilter ref="A32:G42" xr:uid="{00000000-0009-0000-0100-000008000000}"/>
  <tableColumns count="7">
    <tableColumn id="1" xr3:uid="{00000000-0010-0000-0400-000001000000}" name="Option" totalsRowLabel="Total"/>
    <tableColumn id="2" xr3:uid="{00000000-0010-0000-0400-000002000000}" name="A" totalsRowFunction="sum" dataDxfId="71" totalsRowDxfId="70">
      <calculatedColumnFormula>K10</calculatedColumnFormula>
    </tableColumn>
    <tableColumn id="3" xr3:uid="{00000000-0010-0000-0400-000003000000}" name="B" totalsRowFunction="sum" dataDxfId="69" totalsRowDxfId="68"/>
    <tableColumn id="4" xr3:uid="{00000000-0010-0000-0400-000004000000}" name="C" totalsRowFunction="sum" dataDxfId="67" totalsRowDxfId="66"/>
    <tableColumn id="5" xr3:uid="{00000000-0010-0000-0400-000005000000}" name="D" totalsRowFunction="sum" totalsRowDxfId="65"/>
    <tableColumn id="6" xr3:uid="{00000000-0010-0000-0400-000006000000}" name="E" totalsRowFunction="sum" totalsRowDxfId="64"/>
    <tableColumn id="7" xr3:uid="{00000000-0010-0000-0400-000007000000}" name="F" totalsRowFunction="sum" totalsRowDxfId="63"/>
  </tableColumns>
  <tableStyleInfo name="TableStyleMedium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blGenFleetRolesValues" displayName="TblGenFleetRolesValues" ref="J24:Q30" totalsRowCount="1" headerRowDxfId="62" dataDxfId="61">
  <autoFilter ref="J24:Q29" xr:uid="{00000000-0009-0000-0100-000009000000}"/>
  <tableColumns count="8">
    <tableColumn id="1" xr3:uid="{00000000-0010-0000-0500-000001000000}" name="Option" totalsRowLabel="Total" dataDxfId="60"/>
    <tableColumn id="2" xr3:uid="{00000000-0010-0000-0500-000002000000}" name="A" totalsRowFunction="sum" dataDxfId="59" totalsRowDxfId="58">
      <calculatedColumnFormula>(INDEX(TblBattlefieldFlt[[A]:[F]],MATCH($J25,TblBattlefieldFlt[Option],0),MATCH(K$24,TblBattlefieldFlt[[#Headers],[A]:[F]],0)))*(INDEX(TblShipCrew[Generic (500)],MATCH($J25,TblShipCrew[Ships],0)))</calculatedColumnFormula>
    </tableColumn>
    <tableColumn id="3" xr3:uid="{00000000-0010-0000-0500-000003000000}" name="B" totalsRowFunction="sum" dataDxfId="57" totalsRowDxfId="56">
      <calculatedColumnFormula>(INDEX(TblBattlefieldFlt[[A]:[F]],MATCH($J25,TblBattlefieldFlt[Option],0),MATCH(L$24,TblBattlefieldFlt[[#Headers],[A]:[F]],0)))*(INDEX(TblShipCrew[Generic (500)],MATCH($J25,TblShipCrew[Ships],0)))</calculatedColumnFormula>
    </tableColumn>
    <tableColumn id="4" xr3:uid="{00000000-0010-0000-0500-000004000000}" name="C" totalsRowFunction="sum" dataDxfId="55" totalsRowDxfId="54">
      <calculatedColumnFormula>(INDEX(TblBattlefieldFlt[[A]:[F]],MATCH($J25,TblBattlefieldFlt[Option],0),MATCH(M$24,TblBattlefieldFlt[[#Headers],[A]:[F]],0)))*(INDEX(TblShipCrew[Generic (500)],MATCH($J25,TblShipCrew[Ships],0)))</calculatedColumnFormula>
    </tableColumn>
    <tableColumn id="5" xr3:uid="{00000000-0010-0000-0500-000005000000}" name="D" totalsRowFunction="sum" dataDxfId="53" totalsRowDxfId="52">
      <calculatedColumnFormula>(INDEX(TblBattlefieldFlt[[A]:[F]],MATCH($J25,TblBattlefieldFlt[Option],0),MATCH(N$24,TblBattlefieldFlt[[#Headers],[A]:[F]],0)))*(INDEX(TblShipCrew[Generic (500)],MATCH($J25,TblShipCrew[Ships],0)))</calculatedColumnFormula>
    </tableColumn>
    <tableColumn id="6" xr3:uid="{00000000-0010-0000-0500-000006000000}" name="E" totalsRowFunction="sum" dataDxfId="51" totalsRowDxfId="50">
      <calculatedColumnFormula>(INDEX(TblBattlefieldFlt[[A]:[F]],MATCH($J25,TblBattlefieldFlt[Option],0),MATCH(O$24,TblBattlefieldFlt[[#Headers],[A]:[F]],0)))*(INDEX(TblShipCrew[Generic (500)],MATCH($J25,TblShipCrew[Ships],0)))</calculatedColumnFormula>
    </tableColumn>
    <tableColumn id="7" xr3:uid="{00000000-0010-0000-0500-000007000000}" name="F" totalsRowFunction="sum" dataDxfId="49" totalsRowDxfId="48">
      <calculatedColumnFormula>(INDEX(TblBattlefieldFlt[[A]:[F]],MATCH($J25,TblBattlefieldFlt[Option],0),MATCH(P$24,TblBattlefieldFlt[[#Headers],[A]:[F]],0)))*(INDEX(TblShipCrew[Generic (500)],MATCH($J25,TblShipCrew[Ships],0)))</calculatedColumnFormula>
    </tableColumn>
    <tableColumn id="8" xr3:uid="{00000000-0010-0000-0500-000008000000}" name="Name" dataDxfId="47" totalsRowDxfId="46"/>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6000000}" name="TblCombinedGenFltValues" displayName="TblCombinedGenFltValues" ref="J32:P43" totalsRowCount="1" headerRowDxfId="45">
  <autoFilter ref="J32:P42" xr:uid="{00000000-0009-0000-0100-00000A000000}"/>
  <tableColumns count="7">
    <tableColumn id="1" xr3:uid="{00000000-0010-0000-0600-000001000000}" name="Option" totalsRowLabel="Total" totalsRowDxfId="44"/>
    <tableColumn id="2" xr3:uid="{00000000-0010-0000-0600-000002000000}" name="A" totalsRowFunction="sum" dataDxfId="43" totalsRowDxfId="42">
      <calculatedColumnFormula>T10</calculatedColumnFormula>
    </tableColumn>
    <tableColumn id="3" xr3:uid="{00000000-0010-0000-0600-000003000000}" name="B" totalsRowFunction="sum" dataDxfId="41" totalsRowDxfId="40"/>
    <tableColumn id="4" xr3:uid="{00000000-0010-0000-0600-000004000000}" name="C" totalsRowFunction="sum" dataDxfId="39" totalsRowDxfId="38"/>
    <tableColumn id="5" xr3:uid="{00000000-0010-0000-0600-000005000000}" name="D" totalsRowFunction="sum" totalsRowDxfId="37"/>
    <tableColumn id="6" xr3:uid="{00000000-0010-0000-0600-000006000000}" name="E" totalsRowFunction="sum" totalsRowDxfId="36"/>
    <tableColumn id="7" xr3:uid="{00000000-0010-0000-0600-000007000000}" name="F" totalsRowFunction="sum" totalsRowDxfId="35"/>
  </tableColumns>
  <tableStyleInfo name="TableStyleMedium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blShipCrew" displayName="TblShipCrew" ref="D2:L7" totalsRowShown="0" headerRowDxfId="34" dataDxfId="32" headerRowBorderDxfId="33" tableBorderDxfId="31">
  <autoFilter ref="D2:L7" xr:uid="{00000000-0009-0000-0100-00000D000000}"/>
  <tableColumns count="9">
    <tableColumn id="1" xr3:uid="{00000000-0010-0000-0700-000001000000}" name="Ships" dataDxfId="30"/>
    <tableColumn id="2" xr3:uid="{00000000-0010-0000-0700-000002000000}" name="Service" dataDxfId="29"/>
    <tableColumn id="3" xr3:uid="{00000000-0010-0000-0700-000003000000}" name="Lieutenant" dataDxfId="28"/>
    <tableColumn id="4" xr3:uid="{00000000-0010-0000-0700-000004000000}" name="Captain" dataDxfId="27"/>
    <tableColumn id="5" xr3:uid="{00000000-0010-0000-0700-000005000000}" name="Service Value" dataDxfId="26">
      <calculatedColumnFormula>TblShipCrew[[#This Row],[Service]]*TblRoleControlValues[Service]</calculatedColumnFormula>
    </tableColumn>
    <tableColumn id="6" xr3:uid="{00000000-0010-0000-0700-000006000000}" name="Lt Value" dataDxfId="25">
      <calculatedColumnFormula>TblShipCrew[[#This Row],[Lieutenant]]*TblRoleControlValues[Lieutenant]</calculatedColumnFormula>
    </tableColumn>
    <tableColumn id="7" xr3:uid="{00000000-0010-0000-0700-000007000000}" name="Cpt Value" dataDxfId="24">
      <calculatedColumnFormula>TblShipCrew[[#This Row],[Captain]]*TblRoleControlValues[Captain]</calculatedColumnFormula>
    </tableColumn>
    <tableColumn id="8" xr3:uid="{00000000-0010-0000-0700-000008000000}" name="Adjusted" dataDxfId="23">
      <calculatedColumnFormula>SUM(TblShipCrew[[#This Row],[Service Value]:[Cpt Value]])</calculatedColumnFormula>
    </tableColumn>
    <tableColumn id="9" xr3:uid="{00000000-0010-0000-0700-000009000000}" name="Generic (500)" dataDxfId="22">
      <calculatedColumnFormula>SUM(TblShipCrew[[#This Row],[Service]:[Captain]])*TblRoleControlValues[Generic]</calculatedColumnFormula>
    </tableColumn>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8000000}" name="TblShipPoints" displayName="TblShipPoints" ref="A2:B7" totalsRowShown="0" headerRowDxfId="21" dataDxfId="19" headerRowBorderDxfId="20" tableBorderDxfId="18">
  <autoFilter ref="A2:B7" xr:uid="{00000000-0009-0000-0100-00000C000000}"/>
  <tableColumns count="2">
    <tableColumn id="1" xr3:uid="{00000000-0010-0000-0800-000001000000}" name="Ships" dataDxfId="17"/>
    <tableColumn id="2" xr3:uid="{00000000-0010-0000-0800-000002000000}" name="Points" dataDxfId="16"/>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1"/>
  <sheetViews>
    <sheetView workbookViewId="0">
      <selection activeCell="H10" sqref="H10"/>
    </sheetView>
  </sheetViews>
  <sheetFormatPr defaultRowHeight="15" x14ac:dyDescent="0.25"/>
  <cols>
    <col min="1" max="1" width="14.85546875" bestFit="1" customWidth="1"/>
    <col min="2" max="7" width="15.42578125" customWidth="1"/>
    <col min="8" max="8" width="14.85546875" bestFit="1" customWidth="1"/>
    <col min="9" max="9" width="15.140625" bestFit="1" customWidth="1"/>
    <col min="10" max="10" width="14.85546875" bestFit="1" customWidth="1"/>
    <col min="11" max="16" width="15.42578125" customWidth="1"/>
    <col min="17" max="17" width="14.85546875" bestFit="1" customWidth="1"/>
    <col min="18" max="18" width="7.5703125" customWidth="1"/>
    <col min="19" max="19" width="27" customWidth="1"/>
    <col min="20" max="20" width="22.85546875" customWidth="1"/>
    <col min="21" max="21" width="19.42578125" customWidth="1"/>
    <col min="22" max="22" width="22.85546875" customWidth="1"/>
    <col min="23" max="23" width="18" customWidth="1"/>
    <col min="24" max="24" width="10" bestFit="1" customWidth="1"/>
  </cols>
  <sheetData>
    <row r="1" spans="1:17" x14ac:dyDescent="0.25">
      <c r="A1" s="47" t="s">
        <v>0</v>
      </c>
      <c r="B1" s="47"/>
      <c r="C1" s="47"/>
      <c r="D1" s="47"/>
      <c r="E1" s="47"/>
      <c r="F1" s="47"/>
      <c r="G1" s="47"/>
      <c r="H1" s="47"/>
      <c r="N1" s="47" t="s">
        <v>1</v>
      </c>
      <c r="O1" s="47"/>
      <c r="P1" s="47"/>
    </row>
    <row r="2" spans="1:17" x14ac:dyDescent="0.25">
      <c r="A2" s="9" t="s">
        <v>2</v>
      </c>
      <c r="B2" s="9" t="s">
        <v>3</v>
      </c>
      <c r="D2" s="9" t="s">
        <v>2</v>
      </c>
      <c r="E2" s="9" t="s">
        <v>4</v>
      </c>
      <c r="F2" s="9" t="s">
        <v>5</v>
      </c>
      <c r="G2" s="9" t="s">
        <v>6</v>
      </c>
      <c r="H2" t="s">
        <v>7</v>
      </c>
      <c r="I2" t="s">
        <v>8</v>
      </c>
      <c r="J2" t="s">
        <v>9</v>
      </c>
      <c r="K2" s="9" t="s">
        <v>10</v>
      </c>
      <c r="L2" t="s">
        <v>11</v>
      </c>
      <c r="N2" s="1" t="s">
        <v>12</v>
      </c>
      <c r="O2" s="1" t="s">
        <v>4</v>
      </c>
      <c r="P2" s="1" t="s">
        <v>5</v>
      </c>
      <c r="Q2" s="1" t="s">
        <v>6</v>
      </c>
    </row>
    <row r="3" spans="1:17" x14ac:dyDescent="0.25">
      <c r="A3" s="15" t="s">
        <v>13</v>
      </c>
      <c r="B3" s="16">
        <v>5000</v>
      </c>
      <c r="C3" s="1"/>
      <c r="D3" s="10" t="s">
        <v>13</v>
      </c>
      <c r="E3" s="11">
        <v>11</v>
      </c>
      <c r="F3" s="11">
        <v>3</v>
      </c>
      <c r="G3" s="11">
        <v>1</v>
      </c>
      <c r="H3" s="1">
        <f>TblShipCrew[[#This Row],[Service]]*TblRoleControlValues[Service]</f>
        <v>1100</v>
      </c>
      <c r="I3" s="1">
        <f>TblShipCrew[[#This Row],[Lieutenant]]*TblRoleControlValues[Lieutenant]</f>
        <v>600</v>
      </c>
      <c r="J3" s="1">
        <f>TblShipCrew[[#This Row],[Captain]]*TblRoleControlValues[Captain]</f>
        <v>300</v>
      </c>
      <c r="K3" s="1">
        <f>SUM(TblShipCrew[[#This Row],[Service Value]:[Cpt Value]])</f>
        <v>2000</v>
      </c>
      <c r="L3" s="1">
        <f>SUM(TblShipCrew[[#This Row],[Service]:[Captain]])*TblRoleControlValues[Generic]</f>
        <v>7500</v>
      </c>
      <c r="N3" s="1">
        <v>500</v>
      </c>
      <c r="O3" s="1">
        <v>100</v>
      </c>
      <c r="P3" s="1">
        <v>200</v>
      </c>
      <c r="Q3" s="1">
        <v>300</v>
      </c>
    </row>
    <row r="4" spans="1:17" x14ac:dyDescent="0.25">
      <c r="A4" s="10" t="s">
        <v>14</v>
      </c>
      <c r="B4" s="11">
        <v>3500</v>
      </c>
      <c r="C4" s="1"/>
      <c r="D4" s="10" t="s">
        <v>14</v>
      </c>
      <c r="E4" s="11">
        <v>8</v>
      </c>
      <c r="F4" s="11">
        <v>2</v>
      </c>
      <c r="G4" s="11">
        <v>1</v>
      </c>
      <c r="H4" s="1">
        <f>TblShipCrew[[#This Row],[Service]]*TblRoleControlValues[Service]</f>
        <v>800</v>
      </c>
      <c r="I4" s="1">
        <f>TblShipCrew[[#This Row],[Lieutenant]]*TblRoleControlValues[Lieutenant]</f>
        <v>400</v>
      </c>
      <c r="J4" s="1">
        <f>TblShipCrew[[#This Row],[Captain]]*TblRoleControlValues[Captain]</f>
        <v>300</v>
      </c>
      <c r="K4" s="1">
        <f>SUM(TblShipCrew[[#This Row],[Service Value]:[Cpt Value]])</f>
        <v>1500</v>
      </c>
      <c r="L4" s="1">
        <f>SUM(TblShipCrew[[#This Row],[Service]:[Captain]])*TblRoleControlValues[Generic]</f>
        <v>5500</v>
      </c>
    </row>
    <row r="5" spans="1:17" x14ac:dyDescent="0.25">
      <c r="A5" s="10" t="s">
        <v>15</v>
      </c>
      <c r="B5" s="11">
        <v>2500</v>
      </c>
      <c r="C5" s="1"/>
      <c r="D5" s="10" t="s">
        <v>15</v>
      </c>
      <c r="E5" s="11">
        <v>5</v>
      </c>
      <c r="F5" s="11">
        <v>1</v>
      </c>
      <c r="G5" s="11">
        <v>1</v>
      </c>
      <c r="H5" s="1">
        <f>TblShipCrew[[#This Row],[Service]]*TblRoleControlValues[Service]</f>
        <v>500</v>
      </c>
      <c r="I5" s="1">
        <f>TblShipCrew[[#This Row],[Lieutenant]]*TblRoleControlValues[Lieutenant]</f>
        <v>200</v>
      </c>
      <c r="J5" s="1">
        <f>TblShipCrew[[#This Row],[Captain]]*TblRoleControlValues[Captain]</f>
        <v>300</v>
      </c>
      <c r="K5" s="1">
        <f>SUM(TblShipCrew[[#This Row],[Service Value]:[Cpt Value]])</f>
        <v>1000</v>
      </c>
      <c r="L5" s="1">
        <f>SUM(TblShipCrew[[#This Row],[Service]:[Captain]])*TblRoleControlValues[Generic]</f>
        <v>3500</v>
      </c>
    </row>
    <row r="6" spans="1:17" x14ac:dyDescent="0.25">
      <c r="A6" s="10" t="s">
        <v>16</v>
      </c>
      <c r="B6" s="11">
        <v>1500</v>
      </c>
      <c r="C6" s="1"/>
      <c r="D6" s="10" t="s">
        <v>16</v>
      </c>
      <c r="E6" s="11">
        <v>3</v>
      </c>
      <c r="F6" s="11">
        <v>1</v>
      </c>
      <c r="G6" s="11">
        <v>0</v>
      </c>
      <c r="H6" s="1">
        <f>TblShipCrew[[#This Row],[Service]]*TblRoleControlValues[Service]</f>
        <v>300</v>
      </c>
      <c r="I6" s="1">
        <f>TblShipCrew[[#This Row],[Lieutenant]]*TblRoleControlValues[Lieutenant]</f>
        <v>200</v>
      </c>
      <c r="J6" s="1">
        <f>TblShipCrew[[#This Row],[Captain]]*TblRoleControlValues[Captain]</f>
        <v>0</v>
      </c>
      <c r="K6" s="1">
        <f>SUM(TblShipCrew[[#This Row],[Service Value]:[Cpt Value]])</f>
        <v>500</v>
      </c>
      <c r="L6" s="1">
        <f>SUM(TblShipCrew[[#This Row],[Service]:[Captain]])*TblRoleControlValues[Generic]</f>
        <v>2000</v>
      </c>
    </row>
    <row r="7" spans="1:17" x14ac:dyDescent="0.25">
      <c r="A7" t="s">
        <v>17</v>
      </c>
      <c r="B7" s="1">
        <v>500</v>
      </c>
      <c r="C7" s="1"/>
      <c r="D7" t="s">
        <v>17</v>
      </c>
      <c r="E7" s="1">
        <v>1</v>
      </c>
      <c r="F7" s="1">
        <v>0</v>
      </c>
      <c r="G7" s="1">
        <v>0</v>
      </c>
      <c r="H7" s="1">
        <f>TblShipCrew[[#This Row],[Service]]*TblRoleControlValues[Service]</f>
        <v>100</v>
      </c>
      <c r="I7" s="1">
        <f>TblShipCrew[[#This Row],[Lieutenant]]*TblRoleControlValues[Lieutenant]</f>
        <v>0</v>
      </c>
      <c r="J7" s="1">
        <f>TblShipCrew[[#This Row],[Captain]]*TblRoleControlValues[Captain]</f>
        <v>0</v>
      </c>
      <c r="K7" s="1">
        <f>SUM(TblShipCrew[[#This Row],[Service Value]:[Cpt Value]])</f>
        <v>100</v>
      </c>
      <c r="L7" s="1">
        <f>SUM(TblShipCrew[[#This Row],[Service]:[Captain]])*TblRoleControlValues[Generic]</f>
        <v>500</v>
      </c>
    </row>
    <row r="8" spans="1:17" x14ac:dyDescent="0.25">
      <c r="A8" s="47" t="s">
        <v>18</v>
      </c>
      <c r="B8" s="47"/>
      <c r="C8" s="47"/>
      <c r="D8" s="47"/>
      <c r="E8" s="47"/>
      <c r="F8" s="47"/>
      <c r="G8" s="47"/>
      <c r="J8" s="47" t="s">
        <v>19</v>
      </c>
      <c r="K8" s="47"/>
      <c r="L8" s="47"/>
      <c r="M8" s="47"/>
      <c r="N8" s="47"/>
      <c r="O8" s="47"/>
      <c r="P8" s="47"/>
      <c r="Q8" s="47"/>
    </row>
    <row r="9" spans="1:17" x14ac:dyDescent="0.25">
      <c r="A9" s="8" t="s">
        <v>20</v>
      </c>
      <c r="B9" s="1" t="s">
        <v>21</v>
      </c>
      <c r="C9" s="1" t="s">
        <v>22</v>
      </c>
      <c r="D9" s="1" t="s">
        <v>23</v>
      </c>
      <c r="E9" s="1" t="s">
        <v>24</v>
      </c>
      <c r="F9" s="1" t="s">
        <v>25</v>
      </c>
      <c r="G9" s="1" t="s">
        <v>26</v>
      </c>
      <c r="H9" s="1"/>
      <c r="J9" s="8" t="s">
        <v>20</v>
      </c>
      <c r="K9" s="14" t="s">
        <v>21</v>
      </c>
      <c r="L9" s="14" t="s">
        <v>22</v>
      </c>
      <c r="M9" s="14" t="s">
        <v>23</v>
      </c>
      <c r="N9" s="14" t="s">
        <v>24</v>
      </c>
      <c r="O9" s="14" t="s">
        <v>25</v>
      </c>
      <c r="P9" s="14" t="s">
        <v>26</v>
      </c>
      <c r="Q9" s="14" t="s">
        <v>27</v>
      </c>
    </row>
    <row r="10" spans="1:17" x14ac:dyDescent="0.25">
      <c r="A10" t="s">
        <v>13</v>
      </c>
      <c r="B10" s="1">
        <v>1</v>
      </c>
      <c r="C10" s="1"/>
      <c r="D10" s="1"/>
      <c r="E10" s="1"/>
      <c r="F10" s="1"/>
      <c r="G10" s="1"/>
      <c r="H10" s="1"/>
      <c r="J10" t="s">
        <v>13</v>
      </c>
      <c r="K10" s="1">
        <f>(INDEX(TblBattlefieldFlt[[A]:[F]],MATCH(TblFleetShipValues[[#This Row],[Option]],TblBattlefieldFlt[Option],0),MATCH(TblFleetShipValues[[#Headers],[A]],TblBattlefieldFlt[[#Headers],[A]:[F]],0)))*(INDEX(TblShipPoints[Points],MATCH(TblFleetShipValues[[#This Row],[Option]],TblShipPoints[Ships],0)))</f>
        <v>5000</v>
      </c>
      <c r="L10" s="1">
        <f>(INDEX(TblBattlefieldFlt[[A]:[F]],MATCH(TblFleetShipValues[[#This Row],[Option]],TblBattlefieldFlt[Option],0),MATCH(TblFleetShipValues[[#Headers],[B]],TblBattlefieldFlt[[#Headers],[A]:[F]],0)))*(INDEX(TblShipPoints[Points],MATCH(TblFleetShipValues[[#This Row],[Option]],TblShipPoints[Ships],0)))</f>
        <v>0</v>
      </c>
      <c r="M10" s="1">
        <f>(INDEX(TblBattlefieldFlt[[A]:[F]],MATCH(TblFleetShipValues[[#This Row],[Option]],TblBattlefieldFlt[Option],0),MATCH(TblFleetShipValues[[#Headers],[C]],TblBattlefieldFlt[[#Headers],[A]:[F]],0)))*(INDEX(TblShipPoints[Points],MATCH(TblFleetShipValues[[#This Row],[Option]],TblShipPoints[Ships],0)))</f>
        <v>0</v>
      </c>
      <c r="N10" s="1">
        <f>(INDEX(TblBattlefieldFlt[[A]:[F]],MATCH(TblFleetShipValues[[#This Row],[Option]],TblBattlefieldFlt[Option],0),MATCH(TblFleetShipValues[[#Headers],[D]],TblBattlefieldFlt[[#Headers],[A]:[F]],0)))*(INDEX(TblShipPoints[Points],MATCH(TblFleetShipValues[[#This Row],[Option]],TblShipPoints[Ships],0)))</f>
        <v>0</v>
      </c>
      <c r="O10" s="1">
        <f>(INDEX(TblBattlefieldFlt[[A]:[F]],MATCH(TblFleetShipValues[[#This Row],[Option]],TblBattlefieldFlt[Option],0),MATCH(TblFleetShipValues[[#Headers],[E]],TblBattlefieldFlt[[#Headers],[A]:[F]],0)))*(INDEX(TblShipPoints[Points],MATCH(TblFleetShipValues[[#This Row],[Option]],TblShipPoints[Ships],0)))</f>
        <v>0</v>
      </c>
      <c r="P10" s="1">
        <f>(INDEX(TblBattlefieldFlt[[A]:[F]],MATCH(TblFleetShipValues[[#This Row],[Option]],TblBattlefieldFlt[Option],0),MATCH(TblFleetShipValues[[#Headers],[F]],TblBattlefieldFlt[[#Headers],[A]:[F]],0)))*(INDEX(TblShipPoints[Points],MATCH(TblFleetShipValues[[#This Row],[Option]],TblShipPoints[Ships],0)))</f>
        <v>0</v>
      </c>
      <c r="Q10" s="1" t="s">
        <v>28</v>
      </c>
    </row>
    <row r="11" spans="1:17" x14ac:dyDescent="0.25">
      <c r="A11" t="s">
        <v>14</v>
      </c>
      <c r="B11" s="1"/>
      <c r="C11" s="1">
        <v>1</v>
      </c>
      <c r="D11" s="1">
        <v>1</v>
      </c>
      <c r="E11" s="1"/>
      <c r="F11" s="1"/>
      <c r="G11" s="1"/>
      <c r="H11" s="1"/>
      <c r="J11" t="s">
        <v>14</v>
      </c>
      <c r="K11" s="1">
        <f>(INDEX(TblBattlefieldFlt[[A]:[F]],MATCH(TblFleetShipValues[[#This Row],[Option]],TblBattlefieldFlt[Option],0),MATCH(TblFleetShipValues[[#Headers],[A]],TblBattlefieldFlt[[#Headers],[A]:[F]],0)))*(INDEX(TblShipPoints[Points],MATCH(TblFleetShipValues[[#This Row],[Option]],TblShipPoints[Ships],0)))</f>
        <v>0</v>
      </c>
      <c r="L11" s="1">
        <f>(INDEX(TblBattlefieldFlt[[A]:[F]],MATCH(TblFleetShipValues[[#This Row],[Option]],TblBattlefieldFlt[Option],0),MATCH(TblFleetShipValues[[#Headers],[B]],TblBattlefieldFlt[[#Headers],[A]:[F]],0)))*(INDEX(TblShipPoints[Points],MATCH(TblFleetShipValues[[#This Row],[Option]],TblShipPoints[Ships],0)))</f>
        <v>3500</v>
      </c>
      <c r="M11" s="1">
        <f>(INDEX(TblBattlefieldFlt[[A]:[F]],MATCH(TblFleetShipValues[[#This Row],[Option]],TblBattlefieldFlt[Option],0),MATCH(TblFleetShipValues[[#Headers],[C]],TblBattlefieldFlt[[#Headers],[A]:[F]],0)))*(INDEX(TblShipPoints[Points],MATCH(TblFleetShipValues[[#This Row],[Option]],TblShipPoints[Ships],0)))</f>
        <v>3500</v>
      </c>
      <c r="N11" s="1">
        <f>(INDEX(TblBattlefieldFlt[[A]:[F]],MATCH(TblFleetShipValues[[#This Row],[Option]],TblBattlefieldFlt[Option],0),MATCH(TblFleetShipValues[[#Headers],[D]],TblBattlefieldFlt[[#Headers],[A]:[F]],0)))*(INDEX(TblShipPoints[Points],MATCH(TblFleetShipValues[[#This Row],[Option]],TblShipPoints[Ships],0)))</f>
        <v>0</v>
      </c>
      <c r="O11" s="1">
        <f>(INDEX(TblBattlefieldFlt[[A]:[F]],MATCH(TblFleetShipValues[[#This Row],[Option]],TblBattlefieldFlt[Option],0),MATCH(TblFleetShipValues[[#Headers],[E]],TblBattlefieldFlt[[#Headers],[A]:[F]],0)))*(INDEX(TblShipPoints[Points],MATCH(TblFleetShipValues[[#This Row],[Option]],TblShipPoints[Ships],0)))</f>
        <v>0</v>
      </c>
      <c r="P11" s="1">
        <f>(INDEX(TblBattlefieldFlt[[A]:[F]],MATCH(TblFleetShipValues[[#This Row],[Option]],TblBattlefieldFlt[Option],0),MATCH(TblFleetShipValues[[#Headers],[F]],TblBattlefieldFlt[[#Headers],[A]:[F]],0)))*(INDEX(TblShipPoints[Points],MATCH(TblFleetShipValues[[#This Row],[Option]],TblShipPoints[Ships],0)))</f>
        <v>0</v>
      </c>
      <c r="Q11" s="1" t="s">
        <v>29</v>
      </c>
    </row>
    <row r="12" spans="1:17" x14ac:dyDescent="0.25">
      <c r="A12" t="s">
        <v>15</v>
      </c>
      <c r="B12" s="1"/>
      <c r="C12" s="1"/>
      <c r="D12" s="1"/>
      <c r="E12" s="1">
        <v>2</v>
      </c>
      <c r="F12" s="1">
        <v>1</v>
      </c>
      <c r="G12" s="1">
        <v>1</v>
      </c>
      <c r="H12" s="1"/>
      <c r="J12" t="s">
        <v>15</v>
      </c>
      <c r="K12" s="1">
        <f>(INDEX(TblBattlefieldFlt[[A]:[F]],MATCH(TblFleetShipValues[[#This Row],[Option]],TblBattlefieldFlt[Option],0),MATCH(TblFleetShipValues[[#Headers],[A]],TblBattlefieldFlt[[#Headers],[A]:[F]],0)))*(INDEX(TblShipPoints[Points],MATCH(TblFleetShipValues[[#This Row],[Option]],TblShipPoints[Ships],0)))</f>
        <v>0</v>
      </c>
      <c r="L12" s="1">
        <f>(INDEX(TblBattlefieldFlt[[A]:[F]],MATCH(TblFleetShipValues[[#This Row],[Option]],TblBattlefieldFlt[Option],0),MATCH(TblFleetShipValues[[#Headers],[B]],TblBattlefieldFlt[[#Headers],[A]:[F]],0)))*(INDEX(TblShipPoints[Points],MATCH(TblFleetShipValues[[#This Row],[Option]],TblShipPoints[Ships],0)))</f>
        <v>0</v>
      </c>
      <c r="M12" s="1">
        <f>(INDEX(TblBattlefieldFlt[[A]:[F]],MATCH(TblFleetShipValues[[#This Row],[Option]],TblBattlefieldFlt[Option],0),MATCH(TblFleetShipValues[[#Headers],[C]],TblBattlefieldFlt[[#Headers],[A]:[F]],0)))*(INDEX(TblShipPoints[Points],MATCH(TblFleetShipValues[[#This Row],[Option]],TblShipPoints[Ships],0)))</f>
        <v>0</v>
      </c>
      <c r="N12" s="1">
        <f>(INDEX(TblBattlefieldFlt[[A]:[F]],MATCH(TblFleetShipValues[[#This Row],[Option]],TblBattlefieldFlt[Option],0),MATCH(TblFleetShipValues[[#Headers],[D]],TblBattlefieldFlt[[#Headers],[A]:[F]],0)))*(INDEX(TblShipPoints[Points],MATCH(TblFleetShipValues[[#This Row],[Option]],TblShipPoints[Ships],0)))</f>
        <v>5000</v>
      </c>
      <c r="O12" s="1">
        <f>(INDEX(TblBattlefieldFlt[[A]:[F]],MATCH(TblFleetShipValues[[#This Row],[Option]],TblBattlefieldFlt[Option],0),MATCH(TblFleetShipValues[[#Headers],[E]],TblBattlefieldFlt[[#Headers],[A]:[F]],0)))*(INDEX(TblShipPoints[Points],MATCH(TblFleetShipValues[[#This Row],[Option]],TblShipPoints[Ships],0)))</f>
        <v>2500</v>
      </c>
      <c r="P12" s="1">
        <f>(INDEX(TblBattlefieldFlt[[A]:[F]],MATCH(TblFleetShipValues[[#This Row],[Option]],TblBattlefieldFlt[Option],0),MATCH(TblFleetShipValues[[#Headers],[F]],TblBattlefieldFlt[[#Headers],[A]:[F]],0)))*(INDEX(TblShipPoints[Points],MATCH(TblFleetShipValues[[#This Row],[Option]],TblShipPoints[Ships],0)))</f>
        <v>2500</v>
      </c>
      <c r="Q12" s="1" t="s">
        <v>30</v>
      </c>
    </row>
    <row r="13" spans="1:17" x14ac:dyDescent="0.25">
      <c r="A13" t="s">
        <v>16</v>
      </c>
      <c r="B13" s="1"/>
      <c r="C13" s="1">
        <v>1</v>
      </c>
      <c r="D13" s="1"/>
      <c r="E13" s="1"/>
      <c r="F13" s="1">
        <v>1</v>
      </c>
      <c r="G13" s="1"/>
      <c r="H13" s="1"/>
      <c r="J13" t="s">
        <v>16</v>
      </c>
      <c r="K13" s="1">
        <f>(INDEX(TblBattlefieldFlt[[A]:[F]],MATCH(TblFleetShipValues[[#This Row],[Option]],TblBattlefieldFlt[Option],0),MATCH(TblFleetShipValues[[#Headers],[A]],TblBattlefieldFlt[[#Headers],[A]:[F]],0)))*(INDEX(TblShipPoints[Points],MATCH(TblFleetShipValues[[#This Row],[Option]],TblShipPoints[Ships],0)))</f>
        <v>0</v>
      </c>
      <c r="L13" s="1">
        <f>(INDEX(TblBattlefieldFlt[[A]:[F]],MATCH(TblFleetShipValues[[#This Row],[Option]],TblBattlefieldFlt[Option],0),MATCH(TblFleetShipValues[[#Headers],[B]],TblBattlefieldFlt[[#Headers],[A]:[F]],0)))*(INDEX(TblShipPoints[Points],MATCH(TblFleetShipValues[[#This Row],[Option]],TblShipPoints[Ships],0)))</f>
        <v>1500</v>
      </c>
      <c r="M13" s="1">
        <f>(INDEX(TblBattlefieldFlt[[A]:[F]],MATCH(TblFleetShipValues[[#This Row],[Option]],TblBattlefieldFlt[Option],0),MATCH(TblFleetShipValues[[#Headers],[C]],TblBattlefieldFlt[[#Headers],[A]:[F]],0)))*(INDEX(TblShipPoints[Points],MATCH(TblFleetShipValues[[#This Row],[Option]],TblShipPoints[Ships],0)))</f>
        <v>0</v>
      </c>
      <c r="N13" s="1">
        <f>(INDEX(TblBattlefieldFlt[[A]:[F]],MATCH(TblFleetShipValues[[#This Row],[Option]],TblBattlefieldFlt[Option],0),MATCH(TblFleetShipValues[[#Headers],[D]],TblBattlefieldFlt[[#Headers],[A]:[F]],0)))*(INDEX(TblShipPoints[Points],MATCH(TblFleetShipValues[[#This Row],[Option]],TblShipPoints[Ships],0)))</f>
        <v>0</v>
      </c>
      <c r="O13" s="1">
        <f>(INDEX(TblBattlefieldFlt[[A]:[F]],MATCH(TblFleetShipValues[[#This Row],[Option]],TblBattlefieldFlt[Option],0),MATCH(TblFleetShipValues[[#Headers],[E]],TblBattlefieldFlt[[#Headers],[A]:[F]],0)))*(INDEX(TblShipPoints[Points],MATCH(TblFleetShipValues[[#This Row],[Option]],TblShipPoints[Ships],0)))</f>
        <v>1500</v>
      </c>
      <c r="P13" s="1">
        <f>(INDEX(TblBattlefieldFlt[[A]:[F]],MATCH(TblFleetShipValues[[#This Row],[Option]],TblBattlefieldFlt[Option],0),MATCH(TblFleetShipValues[[#Headers],[F]],TblBattlefieldFlt[[#Headers],[A]:[F]],0)))*(INDEX(TblShipPoints[Points],MATCH(TblFleetShipValues[[#This Row],[Option]],TblShipPoints[Ships],0)))</f>
        <v>0</v>
      </c>
      <c r="Q13" s="1" t="s">
        <v>31</v>
      </c>
    </row>
    <row r="14" spans="1:17" x14ac:dyDescent="0.25">
      <c r="A14" t="s">
        <v>17</v>
      </c>
      <c r="B14" s="1"/>
      <c r="C14" s="1"/>
      <c r="D14" s="1">
        <v>5</v>
      </c>
      <c r="E14" s="1"/>
      <c r="F14" s="1">
        <v>5</v>
      </c>
      <c r="G14" s="1">
        <v>10</v>
      </c>
      <c r="H14" s="1"/>
      <c r="J14" t="s">
        <v>17</v>
      </c>
      <c r="K14" s="1">
        <f>(INDEX(TblBattlefieldFlt[[A]:[F]],MATCH(TblFleetShipValues[[#This Row],[Option]],TblBattlefieldFlt[Option],0),MATCH(TblFleetShipValues[[#Headers],[A]],TblBattlefieldFlt[[#Headers],[A]:[F]],0)))*(INDEX(TblShipPoints[Points],MATCH(TblFleetShipValues[[#This Row],[Option]],TblShipPoints[Ships],0)))</f>
        <v>0</v>
      </c>
      <c r="L14" s="1">
        <f>(INDEX(TblBattlefieldFlt[[A]:[F]],MATCH(TblFleetShipValues[[#This Row],[Option]],TblBattlefieldFlt[Option],0),MATCH(TblFleetShipValues[[#Headers],[B]],TblBattlefieldFlt[[#Headers],[A]:[F]],0)))*(INDEX(TblShipPoints[Points],MATCH(TblFleetShipValues[[#This Row],[Option]],TblShipPoints[Ships],0)))</f>
        <v>0</v>
      </c>
      <c r="M14" s="1">
        <f>(INDEX(TblBattlefieldFlt[[A]:[F]],MATCH(TblFleetShipValues[[#This Row],[Option]],TblBattlefieldFlt[Option],0),MATCH(TblFleetShipValues[[#Headers],[C]],TblBattlefieldFlt[[#Headers],[A]:[F]],0)))*(INDEX(TblShipPoints[Points],MATCH(TblFleetShipValues[[#This Row],[Option]],TblShipPoints[Ships],0)))</f>
        <v>2500</v>
      </c>
      <c r="N14" s="1">
        <f>(INDEX(TblBattlefieldFlt[[A]:[F]],MATCH(TblFleetShipValues[[#This Row],[Option]],TblBattlefieldFlt[Option],0),MATCH(TblFleetShipValues[[#Headers],[D]],TblBattlefieldFlt[[#Headers],[A]:[F]],0)))*(INDEX(TblShipPoints[Points],MATCH(TblFleetShipValues[[#This Row],[Option]],TblShipPoints[Ships],0)))</f>
        <v>0</v>
      </c>
      <c r="O14" s="1">
        <f>(INDEX(TblBattlefieldFlt[[A]:[F]],MATCH(TblFleetShipValues[[#This Row],[Option]],TblBattlefieldFlt[Option],0),MATCH(TblFleetShipValues[[#Headers],[E]],TblBattlefieldFlt[[#Headers],[A]:[F]],0)))*(INDEX(TblShipPoints[Points],MATCH(TblFleetShipValues[[#This Row],[Option]],TblShipPoints[Ships],0)))</f>
        <v>2500</v>
      </c>
      <c r="P14" s="1">
        <f>(INDEX(TblBattlefieldFlt[[A]:[F]],MATCH(TblFleetShipValues[[#This Row],[Option]],TblBattlefieldFlt[Option],0),MATCH(TblFleetShipValues[[#Headers],[F]],TblBattlefieldFlt[[#Headers],[A]:[F]],0)))*(INDEX(TblShipPoints[Points],MATCH(TblFleetShipValues[[#This Row],[Option]],TblShipPoints[Ships],0)))</f>
        <v>5000</v>
      </c>
      <c r="Q14" s="1" t="s">
        <v>32</v>
      </c>
    </row>
    <row r="15" spans="1:17" x14ac:dyDescent="0.25">
      <c r="A15" t="s">
        <v>33</v>
      </c>
      <c r="B15" s="1">
        <f>SUBTOTAL(109,TblBattlefieldFlt[A])</f>
        <v>1</v>
      </c>
      <c r="C15" s="1">
        <f>SUBTOTAL(109,TblBattlefieldFlt[B])</f>
        <v>2</v>
      </c>
      <c r="D15" s="1">
        <f>SUBTOTAL(109,TblBattlefieldFlt[C])</f>
        <v>6</v>
      </c>
      <c r="E15" s="1">
        <f>SUBTOTAL(109,TblBattlefieldFlt[D])</f>
        <v>2</v>
      </c>
      <c r="F15" s="1">
        <f>SUBTOTAL(109,TblBattlefieldFlt[E])</f>
        <v>7</v>
      </c>
      <c r="G15" s="1">
        <f>SUBTOTAL(109,TblBattlefieldFlt[F])</f>
        <v>11</v>
      </c>
      <c r="J15" t="s">
        <v>34</v>
      </c>
      <c r="K15" s="1">
        <f>SUBTOTAL(109,TblFleetShipValues[A])</f>
        <v>5000</v>
      </c>
      <c r="L15" s="1">
        <f>SUBTOTAL(109,TblFleetShipValues[B])</f>
        <v>5000</v>
      </c>
      <c r="M15" s="1">
        <f>SUBTOTAL(109,TblFleetShipValues[C])</f>
        <v>6000</v>
      </c>
      <c r="N15" s="1">
        <f>SUBTOTAL(109,TblFleetShipValues[D])</f>
        <v>5000</v>
      </c>
      <c r="O15" s="1">
        <f>SUBTOTAL(109,TblFleetShipValues[E])</f>
        <v>6500</v>
      </c>
      <c r="P15" s="1">
        <f>SUBTOTAL(109,TblFleetShipValues[F])</f>
        <v>7500</v>
      </c>
      <c r="Q15" s="1"/>
    </row>
    <row r="16" spans="1:17" x14ac:dyDescent="0.25">
      <c r="A16" s="47" t="s">
        <v>35</v>
      </c>
      <c r="B16" s="47"/>
      <c r="C16" s="47"/>
      <c r="D16" s="47"/>
      <c r="E16" s="47"/>
      <c r="F16" s="47"/>
      <c r="G16" s="47"/>
      <c r="K16" s="1"/>
      <c r="L16" s="1"/>
      <c r="M16" s="1"/>
      <c r="N16" s="1"/>
      <c r="O16" s="1"/>
      <c r="P16" s="1"/>
      <c r="Q16" s="1"/>
    </row>
    <row r="17" spans="1:18" x14ac:dyDescent="0.25">
      <c r="A17" t="s">
        <v>20</v>
      </c>
      <c r="B17" s="12" t="s">
        <v>21</v>
      </c>
      <c r="C17" s="13" t="s">
        <v>22</v>
      </c>
      <c r="D17" s="14" t="s">
        <v>23</v>
      </c>
      <c r="E17" s="14" t="s">
        <v>24</v>
      </c>
      <c r="F17" s="14" t="s">
        <v>25</v>
      </c>
      <c r="G17" s="14" t="s">
        <v>26</v>
      </c>
      <c r="I17" s="6" t="s">
        <v>36</v>
      </c>
      <c r="K17" s="1"/>
      <c r="L17" s="1"/>
      <c r="M17" s="1"/>
      <c r="N17" s="1"/>
      <c r="O17" s="1"/>
      <c r="P17" s="1"/>
      <c r="Q17" s="1"/>
    </row>
    <row r="18" spans="1:18" x14ac:dyDescent="0.25">
      <c r="A18" t="s">
        <v>4</v>
      </c>
      <c r="B18" s="1">
        <f>SUMPRODUCT(TblBattlefieldFlt[A],TblShipCrew[Service])</f>
        <v>11</v>
      </c>
      <c r="C18" s="1">
        <f>SUMPRODUCT(TblBattlefieldFlt[B],TblShipCrew[Service])</f>
        <v>11</v>
      </c>
      <c r="D18" s="1">
        <f>SUMPRODUCT(TblBattlefieldFlt[C],TblShipCrew[Service])</f>
        <v>13</v>
      </c>
      <c r="E18" s="1">
        <f>SUMPRODUCT(TblBattlefieldFlt[D],TblShipCrew[Service])</f>
        <v>10</v>
      </c>
      <c r="F18" s="1">
        <f>SUMPRODUCT(TblBattlefieldFlt[E],TblShipCrew[Service])</f>
        <v>13</v>
      </c>
      <c r="G18" s="1">
        <f>SUMPRODUCT(TblBattlefieldFlt[F],TblShipCrew[Service])</f>
        <v>15</v>
      </c>
      <c r="I18" s="6" t="s">
        <v>37</v>
      </c>
      <c r="K18" s="1"/>
      <c r="L18" s="1"/>
      <c r="M18" s="1"/>
      <c r="N18" s="1"/>
      <c r="O18" s="1"/>
      <c r="P18" s="1"/>
      <c r="Q18" s="1"/>
    </row>
    <row r="19" spans="1:18" x14ac:dyDescent="0.25">
      <c r="A19" t="s">
        <v>5</v>
      </c>
      <c r="B19" s="1">
        <f>SUMPRODUCT(TblBattlefieldFlt[A],TblShipCrew[Lieutenant])</f>
        <v>3</v>
      </c>
      <c r="C19" s="1">
        <f>SUMPRODUCT(TblBattlefieldFlt[B],TblShipCrew[Lieutenant])</f>
        <v>3</v>
      </c>
      <c r="D19" s="1">
        <f>SUMPRODUCT(TblBattlefieldFlt[C],TblShipCrew[Lieutenant])</f>
        <v>2</v>
      </c>
      <c r="E19" s="1">
        <f>SUMPRODUCT(TblBattlefieldFlt[D],TblShipCrew[Lieutenant])</f>
        <v>2</v>
      </c>
      <c r="F19" s="1">
        <f>SUMPRODUCT(TblBattlefieldFlt[E],TblShipCrew[Lieutenant])</f>
        <v>2</v>
      </c>
      <c r="G19" s="1">
        <f>SUMPRODUCT(TblBattlefieldFlt[F],TblShipCrew[Lieutenant])</f>
        <v>1</v>
      </c>
      <c r="I19" s="2" t="s">
        <v>38</v>
      </c>
      <c r="K19" s="1"/>
      <c r="L19" s="1"/>
      <c r="M19" s="1"/>
      <c r="N19" s="1"/>
      <c r="O19" s="1"/>
      <c r="P19" s="1"/>
      <c r="Q19" s="1"/>
    </row>
    <row r="20" spans="1:18" x14ac:dyDescent="0.25">
      <c r="A20" t="s">
        <v>6</v>
      </c>
      <c r="B20" s="1">
        <f>SUMPRODUCT(TblBattlefieldFlt[A],TblShipCrew[Captain])</f>
        <v>1</v>
      </c>
      <c r="C20" s="1">
        <f>SUMPRODUCT(TblBattlefieldFlt[B],TblShipCrew[Captain])</f>
        <v>1</v>
      </c>
      <c r="D20" s="1">
        <f>SUMPRODUCT(TblBattlefieldFlt[C],TblShipCrew[Captain])</f>
        <v>1</v>
      </c>
      <c r="E20" s="1">
        <f>SUMPRODUCT(TblBattlefieldFlt[D],TblShipCrew[Captain])</f>
        <v>2</v>
      </c>
      <c r="F20" s="1">
        <f>SUMPRODUCT(TblBattlefieldFlt[E],TblShipCrew[Captain])</f>
        <v>1</v>
      </c>
      <c r="G20" s="1">
        <f>SUMPRODUCT(TblBattlefieldFlt[F],TblShipCrew[Captain])</f>
        <v>1</v>
      </c>
      <c r="I20" s="2" t="s">
        <v>39</v>
      </c>
      <c r="K20" s="1"/>
      <c r="L20" s="1"/>
      <c r="M20" s="1"/>
      <c r="N20" s="1"/>
      <c r="O20" s="1"/>
      <c r="P20" s="1"/>
      <c r="Q20" s="1"/>
    </row>
    <row r="21" spans="1:18" x14ac:dyDescent="0.25">
      <c r="A21" t="s">
        <v>33</v>
      </c>
      <c r="B21" s="1">
        <f>SUBTOTAL(109,TblFltCrewSizes[A])</f>
        <v>15</v>
      </c>
      <c r="C21" s="1">
        <f>SUBTOTAL(109,TblFltCrewSizes[B])</f>
        <v>15</v>
      </c>
      <c r="D21" s="1">
        <f>SUBTOTAL(109,TblFltCrewSizes[C])</f>
        <v>16</v>
      </c>
      <c r="E21" s="1">
        <f>SUBTOTAL(109,TblFltCrewSizes[D])</f>
        <v>14</v>
      </c>
      <c r="F21" s="1">
        <f>SUBTOTAL(109,TblFltCrewSizes[E])</f>
        <v>16</v>
      </c>
      <c r="G21" s="1">
        <f>SUBTOTAL(109,TblFltCrewSizes[F])</f>
        <v>17</v>
      </c>
      <c r="I21" s="2"/>
      <c r="K21" s="1"/>
      <c r="L21" s="1"/>
      <c r="M21" s="1"/>
      <c r="N21" s="1"/>
      <c r="O21" s="1"/>
      <c r="P21" s="1"/>
      <c r="Q21" s="1"/>
    </row>
    <row r="22" spans="1:18" x14ac:dyDescent="0.25">
      <c r="A22" s="4"/>
      <c r="B22" s="5"/>
      <c r="C22" s="5"/>
      <c r="D22" s="5"/>
      <c r="E22" s="5"/>
      <c r="F22" s="5"/>
      <c r="G22" s="5"/>
      <c r="H22" s="4"/>
      <c r="I22" s="4"/>
      <c r="J22" s="4"/>
      <c r="K22" s="4"/>
      <c r="L22" s="4"/>
      <c r="M22" s="4"/>
      <c r="N22" s="4"/>
      <c r="O22" s="4"/>
      <c r="P22" s="4"/>
      <c r="Q22" s="4"/>
      <c r="R22" s="4"/>
    </row>
    <row r="23" spans="1:18" x14ac:dyDescent="0.25">
      <c r="A23" s="47" t="s">
        <v>40</v>
      </c>
      <c r="B23" s="47"/>
      <c r="C23" s="47"/>
      <c r="D23" s="47"/>
      <c r="E23" s="47"/>
      <c r="F23" s="47"/>
      <c r="G23" s="47"/>
      <c r="H23" s="47"/>
      <c r="I23" s="4"/>
      <c r="J23" s="47" t="s">
        <v>41</v>
      </c>
      <c r="K23" s="47"/>
      <c r="L23" s="47"/>
      <c r="M23" s="47"/>
      <c r="N23" s="47"/>
      <c r="O23" s="47"/>
      <c r="P23" s="47"/>
      <c r="Q23" s="47"/>
    </row>
    <row r="24" spans="1:18" x14ac:dyDescent="0.25">
      <c r="A24" s="8" t="s">
        <v>20</v>
      </c>
      <c r="B24" s="14" t="s">
        <v>21</v>
      </c>
      <c r="C24" s="14" t="s">
        <v>22</v>
      </c>
      <c r="D24" s="14" t="s">
        <v>23</v>
      </c>
      <c r="E24" s="14" t="s">
        <v>24</v>
      </c>
      <c r="F24" s="14" t="s">
        <v>25</v>
      </c>
      <c r="G24" s="14" t="s">
        <v>26</v>
      </c>
      <c r="H24" s="14" t="s">
        <v>27</v>
      </c>
      <c r="I24" s="4"/>
      <c r="J24" s="8" t="s">
        <v>20</v>
      </c>
      <c r="K24" s="14" t="s">
        <v>21</v>
      </c>
      <c r="L24" s="14" t="s">
        <v>22</v>
      </c>
      <c r="M24" s="14" t="s">
        <v>23</v>
      </c>
      <c r="N24" s="14" t="s">
        <v>24</v>
      </c>
      <c r="O24" s="14" t="s">
        <v>25</v>
      </c>
      <c r="P24" s="14" t="s">
        <v>26</v>
      </c>
      <c r="Q24" s="14" t="s">
        <v>27</v>
      </c>
    </row>
    <row r="25" spans="1:18" x14ac:dyDescent="0.25">
      <c r="A25" t="s">
        <v>13</v>
      </c>
      <c r="B25" s="1">
        <f>(INDEX(TblBattlefieldFlt[[A]:[F]],MATCH($A25,TblBattlefieldFlt[Option],0),MATCH(B$24,TblBattlefieldFlt[[#Headers],[A]:[F]],0)))*(INDEX(TblShipCrew[Adjusted],MATCH($A25,TblShipCrew[Ships],0)))</f>
        <v>2000</v>
      </c>
      <c r="C25" s="1">
        <f>(INDEX(TblBattlefieldFlt[[A]:[F]],MATCH($A25,TblBattlefieldFlt[Option],0),MATCH(C$24,TblBattlefieldFlt[[#Headers],[A]:[F]],0)))*(INDEX(TblShipCrew[Adjusted],MATCH($A25,TblShipCrew[Ships],0)))</f>
        <v>0</v>
      </c>
      <c r="D25" s="1">
        <f>(INDEX(TblBattlefieldFlt[[A]:[F]],MATCH($A25,TblBattlefieldFlt[Option],0),MATCH(D$24,TblBattlefieldFlt[[#Headers],[A]:[F]],0)))*(INDEX(TblShipCrew[Adjusted],MATCH($A25,TblShipCrew[Ships],0)))</f>
        <v>0</v>
      </c>
      <c r="E25" s="1">
        <f>(INDEX(TblBattlefieldFlt[[A]:[F]],MATCH($A25,TblBattlefieldFlt[Option],0),MATCH(E$24,TblBattlefieldFlt[[#Headers],[A]:[F]],0)))*(INDEX(TblShipCrew[Adjusted],MATCH($A25,TblShipCrew[Ships],0)))</f>
        <v>0</v>
      </c>
      <c r="F25" s="1">
        <f>(INDEX(TblBattlefieldFlt[[A]:[F]],MATCH($A25,TblBattlefieldFlt[Option],0),MATCH(F$24,TblBattlefieldFlt[[#Headers],[A]:[F]],0)))*(INDEX(TblShipCrew[Adjusted],MATCH($A25,TblShipCrew[Ships],0)))</f>
        <v>0</v>
      </c>
      <c r="G25" s="1">
        <f>(INDEX(TblBattlefieldFlt[[A]:[F]],MATCH($A25,TblBattlefieldFlt[Option],0),MATCH(G$24,TblBattlefieldFlt[[#Headers],[A]:[F]],0)))*(INDEX(TblShipCrew[Adjusted],MATCH($A25,TblShipCrew[Ships],0)))</f>
        <v>0</v>
      </c>
      <c r="H25" s="1" t="s">
        <v>42</v>
      </c>
      <c r="I25" s="4"/>
      <c r="J25" t="s">
        <v>13</v>
      </c>
      <c r="K25" s="1">
        <f>(INDEX(TblBattlefieldFlt[[A]:[F]],MATCH($J25,TblBattlefieldFlt[Option],0),MATCH(K$24,TblBattlefieldFlt[[#Headers],[A]:[F]],0)))*(INDEX(TblShipCrew[Generic (500)],MATCH($J25,TblShipCrew[Ships],0)))</f>
        <v>7500</v>
      </c>
      <c r="L25" s="1">
        <f>(INDEX(TblBattlefieldFlt[[A]:[F]],MATCH($J25,TblBattlefieldFlt[Option],0),MATCH(L$24,TblBattlefieldFlt[[#Headers],[A]:[F]],0)))*(INDEX(TblShipCrew[Generic (500)],MATCH($J25,TblShipCrew[Ships],0)))</f>
        <v>0</v>
      </c>
      <c r="M25" s="1">
        <f>(INDEX(TblBattlefieldFlt[[A]:[F]],MATCH($J25,TblBattlefieldFlt[Option],0),MATCH(M$24,TblBattlefieldFlt[[#Headers],[A]:[F]],0)))*(INDEX(TblShipCrew[Generic (500)],MATCH($J25,TblShipCrew[Ships],0)))</f>
        <v>0</v>
      </c>
      <c r="N25" s="1">
        <f>(INDEX(TblBattlefieldFlt[[A]:[F]],MATCH($J25,TblBattlefieldFlt[Option],0),MATCH(N$24,TblBattlefieldFlt[[#Headers],[A]:[F]],0)))*(INDEX(TblShipCrew[Generic (500)],MATCH($J25,TblShipCrew[Ships],0)))</f>
        <v>0</v>
      </c>
      <c r="O25" s="1">
        <f>(INDEX(TblBattlefieldFlt[[A]:[F]],MATCH($J25,TblBattlefieldFlt[Option],0),MATCH(O$24,TblBattlefieldFlt[[#Headers],[A]:[F]],0)))*(INDEX(TblShipCrew[Generic (500)],MATCH($J25,TblShipCrew[Ships],0)))</f>
        <v>0</v>
      </c>
      <c r="P25" s="1">
        <f>(INDEX(TblBattlefieldFlt[[A]:[F]],MATCH($J25,TblBattlefieldFlt[Option],0),MATCH(P$24,TblBattlefieldFlt[[#Headers],[A]:[F]],0)))*(INDEX(TblShipCrew[Generic (500)],MATCH($J25,TblShipCrew[Ships],0)))</f>
        <v>0</v>
      </c>
      <c r="Q25" s="1" t="s">
        <v>42</v>
      </c>
    </row>
    <row r="26" spans="1:18" x14ac:dyDescent="0.25">
      <c r="A26" t="s">
        <v>14</v>
      </c>
      <c r="B26" s="1">
        <f>(INDEX(TblBattlefieldFlt[[A]:[F]],MATCH($A26,TblBattlefieldFlt[Option],0),MATCH(B$24,TblBattlefieldFlt[[#Headers],[A]:[F]],0)))*(INDEX(TblShipCrew[Adjusted],MATCH($A26,TblShipCrew[Ships],0)))</f>
        <v>0</v>
      </c>
      <c r="C26" s="1">
        <f>(INDEX(TblBattlefieldFlt[[A]:[F]],MATCH($A26,TblBattlefieldFlt[Option],0),MATCH(C$24,TblBattlefieldFlt[[#Headers],[A]:[F]],0)))*(INDEX(TblShipCrew[Adjusted],MATCH($A26,TblShipCrew[Ships],0)))</f>
        <v>1500</v>
      </c>
      <c r="D26" s="1">
        <f>(INDEX(TblBattlefieldFlt[[A]:[F]],MATCH($A26,TblBattlefieldFlt[Option],0),MATCH(D$24,TblBattlefieldFlt[[#Headers],[A]:[F]],0)))*(INDEX(TblShipCrew[Adjusted],MATCH($A26,TblShipCrew[Ships],0)))</f>
        <v>1500</v>
      </c>
      <c r="E26" s="1">
        <f>(INDEX(TblBattlefieldFlt[[A]:[F]],MATCH($A26,TblBattlefieldFlt[Option],0),MATCH(E$24,TblBattlefieldFlt[[#Headers],[A]:[F]],0)))*(INDEX(TblShipCrew[Adjusted],MATCH($A26,TblShipCrew[Ships],0)))</f>
        <v>0</v>
      </c>
      <c r="F26" s="1">
        <f>(INDEX(TblBattlefieldFlt[[A]:[F]],MATCH($A26,TblBattlefieldFlt[Option],0),MATCH(F$24,TblBattlefieldFlt[[#Headers],[A]:[F]],0)))*(INDEX(TblShipCrew[Adjusted],MATCH($A26,TblShipCrew[Ships],0)))</f>
        <v>0</v>
      </c>
      <c r="G26" s="1">
        <f>(INDEX(TblBattlefieldFlt[[A]:[F]],MATCH($A26,TblBattlefieldFlt[Option],0),MATCH(G$24,TblBattlefieldFlt[[#Headers],[A]:[F]],0)))*(INDEX(TblShipCrew[Adjusted],MATCH($A26,TblShipCrew[Ships],0)))</f>
        <v>0</v>
      </c>
      <c r="H26" s="1" t="s">
        <v>43</v>
      </c>
      <c r="I26" s="4"/>
      <c r="J26" t="s">
        <v>14</v>
      </c>
      <c r="K26" s="1">
        <f>(INDEX(TblBattlefieldFlt[[A]:[F]],MATCH($J26,TblBattlefieldFlt[Option],0),MATCH(K$24,TblBattlefieldFlt[[#Headers],[A]:[F]],0)))*(INDEX(TblShipCrew[Generic (500)],MATCH($J26,TblShipCrew[Ships],0)))</f>
        <v>0</v>
      </c>
      <c r="L26" s="1">
        <f>(INDEX(TblBattlefieldFlt[[A]:[F]],MATCH($J26,TblBattlefieldFlt[Option],0),MATCH(L$24,TblBattlefieldFlt[[#Headers],[A]:[F]],0)))*(INDEX(TblShipCrew[Generic (500)],MATCH($J26,TblShipCrew[Ships],0)))</f>
        <v>5500</v>
      </c>
      <c r="M26" s="1">
        <f>(INDEX(TblBattlefieldFlt[[A]:[F]],MATCH($J26,TblBattlefieldFlt[Option],0),MATCH(M$24,TblBattlefieldFlt[[#Headers],[A]:[F]],0)))*(INDEX(TblShipCrew[Generic (500)],MATCH($J26,TblShipCrew[Ships],0)))</f>
        <v>5500</v>
      </c>
      <c r="N26" s="1">
        <f>(INDEX(TblBattlefieldFlt[[A]:[F]],MATCH($J26,TblBattlefieldFlt[Option],0),MATCH(N$24,TblBattlefieldFlt[[#Headers],[A]:[F]],0)))*(INDEX(TblShipCrew[Generic (500)],MATCH($J26,TblShipCrew[Ships],0)))</f>
        <v>0</v>
      </c>
      <c r="O26" s="1">
        <f>(INDEX(TblBattlefieldFlt[[A]:[F]],MATCH($J26,TblBattlefieldFlt[Option],0),MATCH(O$24,TblBattlefieldFlt[[#Headers],[A]:[F]],0)))*(INDEX(TblShipCrew[Generic (500)],MATCH($J26,TblShipCrew[Ships],0)))</f>
        <v>0</v>
      </c>
      <c r="P26" s="1">
        <f>(INDEX(TblBattlefieldFlt[[A]:[F]],MATCH($J26,TblBattlefieldFlt[Option],0),MATCH(P$24,TblBattlefieldFlt[[#Headers],[A]:[F]],0)))*(INDEX(TblShipCrew[Generic (500)],MATCH($J26,TblShipCrew[Ships],0)))</f>
        <v>0</v>
      </c>
      <c r="Q26" s="1" t="s">
        <v>43</v>
      </c>
    </row>
    <row r="27" spans="1:18" x14ac:dyDescent="0.25">
      <c r="A27" t="s">
        <v>15</v>
      </c>
      <c r="B27" s="1">
        <f>(INDEX(TblBattlefieldFlt[[A]:[F]],MATCH($A27,TblBattlefieldFlt[Option],0),MATCH(B$24,TblBattlefieldFlt[[#Headers],[A]:[F]],0)))*(INDEX(TblShipCrew[Adjusted],MATCH($A27,TblShipCrew[Ships],0)))</f>
        <v>0</v>
      </c>
      <c r="C27" s="1">
        <f>(INDEX(TblBattlefieldFlt[[A]:[F]],MATCH($A27,TblBattlefieldFlt[Option],0),MATCH(C$24,TblBattlefieldFlt[[#Headers],[A]:[F]],0)))*(INDEX(TblShipCrew[Adjusted],MATCH($A27,TblShipCrew[Ships],0)))</f>
        <v>0</v>
      </c>
      <c r="D27" s="1">
        <f>(INDEX(TblBattlefieldFlt[[A]:[F]],MATCH($A27,TblBattlefieldFlt[Option],0),MATCH(D$24,TblBattlefieldFlt[[#Headers],[A]:[F]],0)))*(INDEX(TblShipCrew[Adjusted],MATCH($A27,TblShipCrew[Ships],0)))</f>
        <v>0</v>
      </c>
      <c r="E27" s="1">
        <f>(INDEX(TblBattlefieldFlt[[A]:[F]],MATCH($A27,TblBattlefieldFlt[Option],0),MATCH(E$24,TblBattlefieldFlt[[#Headers],[A]:[F]],0)))*(INDEX(TblShipCrew[Adjusted],MATCH($A27,TblShipCrew[Ships],0)))</f>
        <v>2000</v>
      </c>
      <c r="F27" s="1">
        <f>(INDEX(TblBattlefieldFlt[[A]:[F]],MATCH($A27,TblBattlefieldFlt[Option],0),MATCH(F$24,TblBattlefieldFlt[[#Headers],[A]:[F]],0)))*(INDEX(TblShipCrew[Adjusted],MATCH($A27,TblShipCrew[Ships],0)))</f>
        <v>1000</v>
      </c>
      <c r="G27" s="1">
        <f>(INDEX(TblBattlefieldFlt[[A]:[F]],MATCH($A27,TblBattlefieldFlt[Option],0),MATCH(G$24,TblBattlefieldFlt[[#Headers],[A]:[F]],0)))*(INDEX(TblShipCrew[Adjusted],MATCH($A27,TblShipCrew[Ships],0)))</f>
        <v>1000</v>
      </c>
      <c r="H27" s="1" t="s">
        <v>44</v>
      </c>
      <c r="I27" s="4"/>
      <c r="J27" t="s">
        <v>15</v>
      </c>
      <c r="K27" s="1">
        <f>(INDEX(TblBattlefieldFlt[[A]:[F]],MATCH($J27,TblBattlefieldFlt[Option],0),MATCH(K$24,TblBattlefieldFlt[[#Headers],[A]:[F]],0)))*(INDEX(TblShipCrew[Generic (500)],MATCH($J27,TblShipCrew[Ships],0)))</f>
        <v>0</v>
      </c>
      <c r="L27" s="1">
        <f>(INDEX(TblBattlefieldFlt[[A]:[F]],MATCH($J27,TblBattlefieldFlt[Option],0),MATCH(L$24,TblBattlefieldFlt[[#Headers],[A]:[F]],0)))*(INDEX(TblShipCrew[Generic (500)],MATCH($J27,TblShipCrew[Ships],0)))</f>
        <v>0</v>
      </c>
      <c r="M27" s="1">
        <f>(INDEX(TblBattlefieldFlt[[A]:[F]],MATCH($J27,TblBattlefieldFlt[Option],0),MATCH(M$24,TblBattlefieldFlt[[#Headers],[A]:[F]],0)))*(INDEX(TblShipCrew[Generic (500)],MATCH($J27,TblShipCrew[Ships],0)))</f>
        <v>0</v>
      </c>
      <c r="N27" s="1">
        <f>(INDEX(TblBattlefieldFlt[[A]:[F]],MATCH($J27,TblBattlefieldFlt[Option],0),MATCH(N$24,TblBattlefieldFlt[[#Headers],[A]:[F]],0)))*(INDEX(TblShipCrew[Generic (500)],MATCH($J27,TblShipCrew[Ships],0)))</f>
        <v>7000</v>
      </c>
      <c r="O27" s="1">
        <f>(INDEX(TblBattlefieldFlt[[A]:[F]],MATCH($J27,TblBattlefieldFlt[Option],0),MATCH(O$24,TblBattlefieldFlt[[#Headers],[A]:[F]],0)))*(INDEX(TblShipCrew[Generic (500)],MATCH($J27,TblShipCrew[Ships],0)))</f>
        <v>3500</v>
      </c>
      <c r="P27" s="1">
        <f>(INDEX(TblBattlefieldFlt[[A]:[F]],MATCH($J27,TblBattlefieldFlt[Option],0),MATCH(P$24,TblBattlefieldFlt[[#Headers],[A]:[F]],0)))*(INDEX(TblShipCrew[Generic (500)],MATCH($J27,TblShipCrew[Ships],0)))</f>
        <v>3500</v>
      </c>
      <c r="Q27" s="1" t="s">
        <v>44</v>
      </c>
    </row>
    <row r="28" spans="1:18" x14ac:dyDescent="0.25">
      <c r="A28" t="s">
        <v>16</v>
      </c>
      <c r="B28" s="1">
        <f>(INDEX(TblBattlefieldFlt[[A]:[F]],MATCH($A28,TblBattlefieldFlt[Option],0),MATCH(B$24,TblBattlefieldFlt[[#Headers],[A]:[F]],0)))*(INDEX(TblShipCrew[Adjusted],MATCH($A28,TblShipCrew[Ships],0)))</f>
        <v>0</v>
      </c>
      <c r="C28" s="1">
        <f>(INDEX(TblBattlefieldFlt[[A]:[F]],MATCH($A28,TblBattlefieldFlt[Option],0),MATCH(C$24,TblBattlefieldFlt[[#Headers],[A]:[F]],0)))*(INDEX(TblShipCrew[Adjusted],MATCH($A28,TblShipCrew[Ships],0)))</f>
        <v>500</v>
      </c>
      <c r="D28" s="1">
        <f>(INDEX(TblBattlefieldFlt[[A]:[F]],MATCH($A28,TblBattlefieldFlt[Option],0),MATCH(D$24,TblBattlefieldFlt[[#Headers],[A]:[F]],0)))*(INDEX(TblShipCrew[Adjusted],MATCH($A28,TblShipCrew[Ships],0)))</f>
        <v>0</v>
      </c>
      <c r="E28" s="1">
        <f>(INDEX(TblBattlefieldFlt[[A]:[F]],MATCH($A28,TblBattlefieldFlt[Option],0),MATCH(E$24,TblBattlefieldFlt[[#Headers],[A]:[F]],0)))*(INDEX(TblShipCrew[Adjusted],MATCH($A28,TblShipCrew[Ships],0)))</f>
        <v>0</v>
      </c>
      <c r="F28" s="1">
        <f>(INDEX(TblBattlefieldFlt[[A]:[F]],MATCH($A28,TblBattlefieldFlt[Option],0),MATCH(F$24,TblBattlefieldFlt[[#Headers],[A]:[F]],0)))*(INDEX(TblShipCrew[Adjusted],MATCH($A28,TblShipCrew[Ships],0)))</f>
        <v>500</v>
      </c>
      <c r="G28" s="1">
        <f>(INDEX(TblBattlefieldFlt[[A]:[F]],MATCH($A28,TblBattlefieldFlt[Option],0),MATCH(G$24,TblBattlefieldFlt[[#Headers],[A]:[F]],0)))*(INDEX(TblShipCrew[Adjusted],MATCH($A28,TblShipCrew[Ships],0)))</f>
        <v>0</v>
      </c>
      <c r="H28" s="1" t="s">
        <v>45</v>
      </c>
      <c r="I28" s="4"/>
      <c r="J28" t="s">
        <v>16</v>
      </c>
      <c r="K28" s="1">
        <f>(INDEX(TblBattlefieldFlt[[A]:[F]],MATCH($J28,TblBattlefieldFlt[Option],0),MATCH(K$24,TblBattlefieldFlt[[#Headers],[A]:[F]],0)))*(INDEX(TblShipCrew[Generic (500)],MATCH($J28,TblShipCrew[Ships],0)))</f>
        <v>0</v>
      </c>
      <c r="L28" s="1">
        <f>(INDEX(TblBattlefieldFlt[[A]:[F]],MATCH($J28,TblBattlefieldFlt[Option],0),MATCH(L$24,TblBattlefieldFlt[[#Headers],[A]:[F]],0)))*(INDEX(TblShipCrew[Generic (500)],MATCH($J28,TblShipCrew[Ships],0)))</f>
        <v>2000</v>
      </c>
      <c r="M28" s="1">
        <f>(INDEX(TblBattlefieldFlt[[A]:[F]],MATCH($J28,TblBattlefieldFlt[Option],0),MATCH(M$24,TblBattlefieldFlt[[#Headers],[A]:[F]],0)))*(INDEX(TblShipCrew[Generic (500)],MATCH($J28,TblShipCrew[Ships],0)))</f>
        <v>0</v>
      </c>
      <c r="N28" s="1">
        <f>(INDEX(TblBattlefieldFlt[[A]:[F]],MATCH($J28,TblBattlefieldFlt[Option],0),MATCH(N$24,TblBattlefieldFlt[[#Headers],[A]:[F]],0)))*(INDEX(TblShipCrew[Generic (500)],MATCH($J28,TblShipCrew[Ships],0)))</f>
        <v>0</v>
      </c>
      <c r="O28" s="1">
        <f>(INDEX(TblBattlefieldFlt[[A]:[F]],MATCH($J28,TblBattlefieldFlt[Option],0),MATCH(O$24,TblBattlefieldFlt[[#Headers],[A]:[F]],0)))*(INDEX(TblShipCrew[Generic (500)],MATCH($J28,TblShipCrew[Ships],0)))</f>
        <v>2000</v>
      </c>
      <c r="P28" s="1">
        <f>(INDEX(TblBattlefieldFlt[[A]:[F]],MATCH($J28,TblBattlefieldFlt[Option],0),MATCH(P$24,TblBattlefieldFlt[[#Headers],[A]:[F]],0)))*(INDEX(TblShipCrew[Generic (500)],MATCH($J28,TblShipCrew[Ships],0)))</f>
        <v>0</v>
      </c>
      <c r="Q28" s="1" t="s">
        <v>45</v>
      </c>
    </row>
    <row r="29" spans="1:18" x14ac:dyDescent="0.25">
      <c r="A29" t="s">
        <v>17</v>
      </c>
      <c r="B29" s="1">
        <f>(INDEX(TblBattlefieldFlt[[A]:[F]],MATCH($A29,TblBattlefieldFlt[Option],0),MATCH(B$24,TblBattlefieldFlt[[#Headers],[A]:[F]],0)))*(INDEX(TblShipCrew[Adjusted],MATCH($A29,TblShipCrew[Ships],0)))</f>
        <v>0</v>
      </c>
      <c r="C29" s="1">
        <f>(INDEX(TblBattlefieldFlt[[A]:[F]],MATCH($A29,TblBattlefieldFlt[Option],0),MATCH(C$24,TblBattlefieldFlt[[#Headers],[A]:[F]],0)))*(INDEX(TblShipCrew[Adjusted],MATCH($A29,TblShipCrew[Ships],0)))</f>
        <v>0</v>
      </c>
      <c r="D29" s="1">
        <f>(INDEX(TblBattlefieldFlt[[A]:[F]],MATCH($A29,TblBattlefieldFlt[Option],0),MATCH(D$24,TblBattlefieldFlt[[#Headers],[A]:[F]],0)))*(INDEX(TblShipCrew[Adjusted],MATCH($A29,TblShipCrew[Ships],0)))</f>
        <v>500</v>
      </c>
      <c r="E29" s="1">
        <f>(INDEX(TblBattlefieldFlt[[A]:[F]],MATCH($A29,TblBattlefieldFlt[Option],0),MATCH(E$24,TblBattlefieldFlt[[#Headers],[A]:[F]],0)))*(INDEX(TblShipCrew[Adjusted],MATCH($A29,TblShipCrew[Ships],0)))</f>
        <v>0</v>
      </c>
      <c r="F29" s="1">
        <f>(INDEX(TblBattlefieldFlt[[A]:[F]],MATCH($A29,TblBattlefieldFlt[Option],0),MATCH(F$24,TblBattlefieldFlt[[#Headers],[A]:[F]],0)))*(INDEX(TblShipCrew[Adjusted],MATCH($A29,TblShipCrew[Ships],0)))</f>
        <v>500</v>
      </c>
      <c r="G29" s="1">
        <f>(INDEX(TblBattlefieldFlt[[A]:[F]],MATCH($A29,TblBattlefieldFlt[Option],0),MATCH(G$24,TblBattlefieldFlt[[#Headers],[A]:[F]],0)))*(INDEX(TblShipCrew[Adjusted],MATCH($A29,TblShipCrew[Ships],0)))</f>
        <v>1000</v>
      </c>
      <c r="H29" s="1" t="s">
        <v>46</v>
      </c>
      <c r="I29" s="4"/>
      <c r="J29" t="s">
        <v>17</v>
      </c>
      <c r="K29" s="1">
        <f>(INDEX(TblBattlefieldFlt[[A]:[F]],MATCH($J29,TblBattlefieldFlt[Option],0),MATCH(K$24,TblBattlefieldFlt[[#Headers],[A]:[F]],0)))*(INDEX(TblShipCrew[Generic (500)],MATCH($J29,TblShipCrew[Ships],0)))</f>
        <v>0</v>
      </c>
      <c r="L29" s="1">
        <f>(INDEX(TblBattlefieldFlt[[A]:[F]],MATCH($J29,TblBattlefieldFlt[Option],0),MATCH(L$24,TblBattlefieldFlt[[#Headers],[A]:[F]],0)))*(INDEX(TblShipCrew[Generic (500)],MATCH($J29,TblShipCrew[Ships],0)))</f>
        <v>0</v>
      </c>
      <c r="M29" s="1">
        <f>(INDEX(TblBattlefieldFlt[[A]:[F]],MATCH($J29,TblBattlefieldFlt[Option],0),MATCH(M$24,TblBattlefieldFlt[[#Headers],[A]:[F]],0)))*(INDEX(TblShipCrew[Generic (500)],MATCH($J29,TblShipCrew[Ships],0)))</f>
        <v>2500</v>
      </c>
      <c r="N29" s="1">
        <f>(INDEX(TblBattlefieldFlt[[A]:[F]],MATCH($J29,TblBattlefieldFlt[Option],0),MATCH(N$24,TblBattlefieldFlt[[#Headers],[A]:[F]],0)))*(INDEX(TblShipCrew[Generic (500)],MATCH($J29,TblShipCrew[Ships],0)))</f>
        <v>0</v>
      </c>
      <c r="O29" s="1">
        <f>(INDEX(TblBattlefieldFlt[[A]:[F]],MATCH($J29,TblBattlefieldFlt[Option],0),MATCH(O$24,TblBattlefieldFlt[[#Headers],[A]:[F]],0)))*(INDEX(TblShipCrew[Generic (500)],MATCH($J29,TblShipCrew[Ships],0)))</f>
        <v>2500</v>
      </c>
      <c r="P29" s="1">
        <f>(INDEX(TblBattlefieldFlt[[A]:[F]],MATCH($J29,TblBattlefieldFlt[Option],0),MATCH(P$24,TblBattlefieldFlt[[#Headers],[A]:[F]],0)))*(INDEX(TblShipCrew[Generic (500)],MATCH($J29,TblShipCrew[Ships],0)))</f>
        <v>5000</v>
      </c>
      <c r="Q29" s="1" t="s">
        <v>46</v>
      </c>
    </row>
    <row r="30" spans="1:18" x14ac:dyDescent="0.25">
      <c r="A30" t="s">
        <v>33</v>
      </c>
      <c r="B30" s="1">
        <f>SUBTOTAL(109,TblAdjFleetRolesValues[A])</f>
        <v>2000</v>
      </c>
      <c r="C30" s="1">
        <f>SUBTOTAL(109,TblAdjFleetRolesValues[B])</f>
        <v>2000</v>
      </c>
      <c r="D30" s="1">
        <f>SUBTOTAL(109,TblAdjFleetRolesValues[C])</f>
        <v>2000</v>
      </c>
      <c r="E30" s="1">
        <f>SUBTOTAL(109,TblAdjFleetRolesValues[D])</f>
        <v>2000</v>
      </c>
      <c r="F30" s="1">
        <f>SUBTOTAL(109,TblAdjFleetRolesValues[E])</f>
        <v>2000</v>
      </c>
      <c r="G30" s="1">
        <f>SUBTOTAL(109,TblAdjFleetRolesValues[F])</f>
        <v>2000</v>
      </c>
      <c r="H30" s="1"/>
      <c r="I30" s="4"/>
      <c r="J30" t="s">
        <v>33</v>
      </c>
      <c r="K30" s="1">
        <f>SUBTOTAL(109,TblGenFleetRolesValues[A])</f>
        <v>7500</v>
      </c>
      <c r="L30" s="1">
        <f>SUBTOTAL(109,TblGenFleetRolesValues[B])</f>
        <v>7500</v>
      </c>
      <c r="M30" s="1">
        <f>SUBTOTAL(109,TblGenFleetRolesValues[C])</f>
        <v>8000</v>
      </c>
      <c r="N30" s="1">
        <f>SUBTOTAL(109,TblGenFleetRolesValues[D])</f>
        <v>7000</v>
      </c>
      <c r="O30" s="1">
        <f>SUBTOTAL(109,TblGenFleetRolesValues[E])</f>
        <v>8000</v>
      </c>
      <c r="P30" s="1">
        <f>SUBTOTAL(109,TblGenFleetRolesValues[F])</f>
        <v>8500</v>
      </c>
      <c r="Q30" s="1"/>
    </row>
    <row r="31" spans="1:18" x14ac:dyDescent="0.25">
      <c r="A31" s="47" t="s">
        <v>47</v>
      </c>
      <c r="B31" s="47"/>
      <c r="C31" s="47"/>
      <c r="D31" s="47"/>
      <c r="E31" s="47"/>
      <c r="F31" s="47"/>
      <c r="G31" s="47"/>
      <c r="I31" s="4"/>
      <c r="J31" s="47" t="s">
        <v>48</v>
      </c>
      <c r="K31" s="47"/>
      <c r="L31" s="47"/>
      <c r="M31" s="47"/>
      <c r="N31" s="47"/>
      <c r="O31" s="47"/>
      <c r="P31" s="47"/>
    </row>
    <row r="32" spans="1:18" x14ac:dyDescent="0.25">
      <c r="A32" t="s">
        <v>20</v>
      </c>
      <c r="B32" s="14" t="s">
        <v>21</v>
      </c>
      <c r="C32" s="14" t="s">
        <v>22</v>
      </c>
      <c r="D32" s="14" t="s">
        <v>23</v>
      </c>
      <c r="E32" s="14" t="s">
        <v>24</v>
      </c>
      <c r="F32" s="14" t="s">
        <v>25</v>
      </c>
      <c r="G32" s="14" t="s">
        <v>26</v>
      </c>
      <c r="I32" s="4"/>
      <c r="J32" t="s">
        <v>20</v>
      </c>
      <c r="K32" s="14" t="s">
        <v>21</v>
      </c>
      <c r="L32" s="14" t="s">
        <v>22</v>
      </c>
      <c r="M32" s="14" t="s">
        <v>23</v>
      </c>
      <c r="N32" s="14" t="s">
        <v>24</v>
      </c>
      <c r="O32" s="14" t="s">
        <v>25</v>
      </c>
      <c r="P32" s="14" t="s">
        <v>26</v>
      </c>
    </row>
    <row r="33" spans="1:16" x14ac:dyDescent="0.25">
      <c r="A33" t="s">
        <v>28</v>
      </c>
      <c r="B33" s="1">
        <f>INDEX(TblFleetShipValues[[A]:[F]],MATCH(TblCombinedAdjFltValues[[#This Row],[Option]],TblFleetShipValues[Name],0),MATCH(TblCombinedAdjFltValues[[#Headers],[A]],TblFleetShipValues[[#Headers],[A]:[F]],0))</f>
        <v>5000</v>
      </c>
      <c r="C33" s="1">
        <f>INDEX(TblFleetShipValues[[A]:[F]],MATCH(TblCombinedAdjFltValues[[#This Row],[Option]],TblFleetShipValues[Name],0),MATCH(TblCombinedAdjFltValues[[#Headers],[B]],TblFleetShipValues[[#Headers],[A]:[F]],0))</f>
        <v>0</v>
      </c>
      <c r="D33" s="1">
        <f>INDEX(TblFleetShipValues[[A]:[F]],MATCH(TblCombinedAdjFltValues[[#This Row],[Option]],TblFleetShipValues[Name],0),MATCH(TblCombinedAdjFltValues[[#Headers],[C]],TblFleetShipValues[[#Headers],[A]:[F]],0))</f>
        <v>0</v>
      </c>
      <c r="E33" s="1">
        <f>INDEX(TblFleetShipValues[[A]:[F]],MATCH(TblCombinedAdjFltValues[[#This Row],[Option]],TblFleetShipValues[Name],0),MATCH(TblCombinedAdjFltValues[[#Headers],[D]],TblFleetShipValues[[#Headers],[A]:[F]],0))</f>
        <v>0</v>
      </c>
      <c r="F33" s="1">
        <f>INDEX(TblFleetShipValues[[A]:[F]],MATCH(TblCombinedAdjFltValues[[#This Row],[Option]],TblFleetShipValues[Name],0),MATCH(TblCombinedAdjFltValues[[#Headers],[E]],TblFleetShipValues[[#Headers],[A]:[F]],0))</f>
        <v>0</v>
      </c>
      <c r="G33" s="1">
        <f>INDEX(TblFleetShipValues[[A]:[F]],MATCH(TblCombinedAdjFltValues[[#This Row],[Option]],TblFleetShipValues[Name],0),MATCH(TblCombinedAdjFltValues[[#Headers],[F]],TblFleetShipValues[[#Headers],[A]:[F]],0))</f>
        <v>0</v>
      </c>
      <c r="I33" s="4"/>
      <c r="J33" t="s">
        <v>28</v>
      </c>
      <c r="K33" s="1">
        <f>INDEX(TblFleetShipValues[[A]:[F]],MATCH(TblCombinedGenFltValues[[#This Row],[Option]],TblFleetShipValues[Name],0),MATCH(TblCombinedGenFltValues[[#Headers],[A]],TblFleetShipValues[[#Headers],[A]:[F]],0))</f>
        <v>5000</v>
      </c>
      <c r="L33" s="1">
        <f>INDEX(TblFleetShipValues[[A]:[F]],MATCH(TblCombinedGenFltValues[[#This Row],[Option]],TblFleetShipValues[Name],0),MATCH(TblCombinedGenFltValues[[#Headers],[B]],TblFleetShipValues[[#Headers],[A]:[F]],0))</f>
        <v>0</v>
      </c>
      <c r="M33" s="1">
        <f>INDEX(TblFleetShipValues[[A]:[F]],MATCH(TblCombinedGenFltValues[[#This Row],[Option]],TblFleetShipValues[Name],0),MATCH(TblCombinedGenFltValues[[#Headers],[C]],TblFleetShipValues[[#Headers],[A]:[F]],0))</f>
        <v>0</v>
      </c>
      <c r="N33" s="1">
        <f>INDEX(TblFleetShipValues[[A]:[F]],MATCH(TblCombinedGenFltValues[[#This Row],[Option]],TblFleetShipValues[Name],0),MATCH(TblCombinedGenFltValues[[#Headers],[D]],TblFleetShipValues[[#Headers],[A]:[F]],0))</f>
        <v>0</v>
      </c>
      <c r="O33" s="1">
        <f>INDEX(TblFleetShipValues[[A]:[F]],MATCH(TblCombinedGenFltValues[[#This Row],[Option]],TblFleetShipValues[Name],0),MATCH(TblCombinedGenFltValues[[#Headers],[E]],TblFleetShipValues[[#Headers],[A]:[F]],0))</f>
        <v>0</v>
      </c>
      <c r="P33" s="1">
        <f>INDEX(TblFleetShipValues[[A]:[F]],MATCH(TblCombinedGenFltValues[[#This Row],[Option]],TblFleetShipValues[Name],0),MATCH(TblCombinedGenFltValues[[#Headers],[F]],TblFleetShipValues[[#Headers],[A]:[F]],0))</f>
        <v>0</v>
      </c>
    </row>
    <row r="34" spans="1:16" x14ac:dyDescent="0.25">
      <c r="A34" t="s">
        <v>42</v>
      </c>
      <c r="B34" s="1">
        <f>INDEX(TblAdjFleetRolesValues[[A]:[F]],MATCH(TblCombinedAdjFltValues[[#This Row],[Option]],TblAdjFleetRolesValues[Name],0),MATCH(TblCombinedAdjFltValues[[#Headers],[A]],TblAdjFleetRolesValues[[#Headers],[A]:[F]],0))</f>
        <v>2000</v>
      </c>
      <c r="C34" s="1">
        <f>INDEX(TblAdjFleetRolesValues[[A]:[F]],MATCH(TblCombinedAdjFltValues[[#This Row],[Option]],TblAdjFleetRolesValues[Name],0),MATCH(TblCombinedAdjFltValues[[#Headers],[B]],TblAdjFleetRolesValues[[#Headers],[A]:[F]],0))</f>
        <v>0</v>
      </c>
      <c r="D34" s="1">
        <f>INDEX(TblAdjFleetRolesValues[[A]:[F]],MATCH(TblCombinedAdjFltValues[[#This Row],[Option]],TblAdjFleetRolesValues[Name],0),MATCH(TblCombinedAdjFltValues[[#Headers],[C]],TblAdjFleetRolesValues[[#Headers],[A]:[F]],0))</f>
        <v>0</v>
      </c>
      <c r="E34" s="1">
        <f>INDEX(TblAdjFleetRolesValues[[A]:[F]],MATCH(TblCombinedAdjFltValues[[#This Row],[Option]],TblAdjFleetRolesValues[Name],0),MATCH(TblCombinedAdjFltValues[[#Headers],[D]],TblAdjFleetRolesValues[[#Headers],[A]:[F]],0))</f>
        <v>0</v>
      </c>
      <c r="F34" s="1">
        <f>INDEX(TblAdjFleetRolesValues[[A]:[F]],MATCH(TblCombinedAdjFltValues[[#This Row],[Option]],TblAdjFleetRolesValues[Name],0),MATCH(TblCombinedAdjFltValues[[#Headers],[E]],TblAdjFleetRolesValues[[#Headers],[A]:[F]],0))</f>
        <v>0</v>
      </c>
      <c r="G34" s="1">
        <f>INDEX(TblAdjFleetRolesValues[[A]:[F]],MATCH(TblCombinedAdjFltValues[[#This Row],[Option]],TblAdjFleetRolesValues[Name],0),MATCH(TblCombinedAdjFltValues[[#Headers],[F]],TblAdjFleetRolesValues[[#Headers],[A]:[F]],0))</f>
        <v>0</v>
      </c>
      <c r="I34" s="4"/>
      <c r="J34" t="s">
        <v>42</v>
      </c>
      <c r="K34" s="1">
        <f>INDEX(TblGenFleetRolesValues[[A]:[F]],MATCH(TblCombinedGenFltValues[[#This Row],[Option]],TblGenFleetRolesValues[Name],0),MATCH(TblCombinedGenFltValues[[#Headers],[A]],TblGenFleetRolesValues[[#Headers],[A]:[F]],0))</f>
        <v>7500</v>
      </c>
      <c r="L34" s="1">
        <f>INDEX(TblGenFleetRolesValues[[A]:[F]],MATCH(TblCombinedGenFltValues[[#This Row],[Option]],TblGenFleetRolesValues[Name],0),MATCH(TblCombinedGenFltValues[[#Headers],[B]],TblGenFleetRolesValues[[#Headers],[A]:[F]],0))</f>
        <v>0</v>
      </c>
      <c r="M34" s="1">
        <f>INDEX(TblGenFleetRolesValues[[A]:[F]],MATCH(TblCombinedGenFltValues[[#This Row],[Option]],TblGenFleetRolesValues[Name],0),MATCH(TblCombinedGenFltValues[[#Headers],[C]],TblGenFleetRolesValues[[#Headers],[A]:[F]],0))</f>
        <v>0</v>
      </c>
      <c r="N34" s="1">
        <f>INDEX(TblGenFleetRolesValues[[A]:[F]],MATCH(TblCombinedGenFltValues[[#This Row],[Option]],TblGenFleetRolesValues[Name],0),MATCH(TblCombinedGenFltValues[[#Headers],[D]],TblGenFleetRolesValues[[#Headers],[A]:[F]],0))</f>
        <v>0</v>
      </c>
      <c r="O34" s="1">
        <f>INDEX(TblGenFleetRolesValues[[A]:[F]],MATCH(TblCombinedGenFltValues[[#This Row],[Option]],TblGenFleetRolesValues[Name],0),MATCH(TblCombinedGenFltValues[[#Headers],[E]],TblGenFleetRolesValues[[#Headers],[A]:[F]],0))</f>
        <v>0</v>
      </c>
      <c r="P34" s="1">
        <f>INDEX(TblGenFleetRolesValues[[A]:[F]],MATCH(TblCombinedGenFltValues[[#This Row],[Option]],TblGenFleetRolesValues[Name],0),MATCH(TblCombinedGenFltValues[[#Headers],[F]],TblGenFleetRolesValues[[#Headers],[A]:[F]],0))</f>
        <v>0</v>
      </c>
    </row>
    <row r="35" spans="1:16" x14ac:dyDescent="0.25">
      <c r="A35" t="s">
        <v>29</v>
      </c>
      <c r="B35" s="1">
        <f>INDEX(TblFleetShipValues[[A]:[F]],MATCH(TblCombinedAdjFltValues[[#This Row],[Option]],TblFleetShipValues[Name],0),MATCH(TblCombinedAdjFltValues[[#Headers],[A]],TblFleetShipValues[[#Headers],[A]:[F]],0))</f>
        <v>0</v>
      </c>
      <c r="C35" s="1">
        <f>INDEX(TblFleetShipValues[[A]:[F]],MATCH(TblCombinedAdjFltValues[[#This Row],[Option]],TblFleetShipValues[Name],0),MATCH(TblCombinedAdjFltValues[[#Headers],[B]],TblFleetShipValues[[#Headers],[A]:[F]],0))</f>
        <v>3500</v>
      </c>
      <c r="D35" s="1">
        <f>INDEX(TblFleetShipValues[[A]:[F]],MATCH(TblCombinedAdjFltValues[[#This Row],[Option]],TblFleetShipValues[Name],0),MATCH(TblCombinedAdjFltValues[[#Headers],[C]],TblFleetShipValues[[#Headers],[A]:[F]],0))</f>
        <v>3500</v>
      </c>
      <c r="E35" s="1">
        <f>INDEX(TblFleetShipValues[[A]:[F]],MATCH(TblCombinedAdjFltValues[[#This Row],[Option]],TblFleetShipValues[Name],0),MATCH(TblCombinedAdjFltValues[[#Headers],[D]],TblFleetShipValues[[#Headers],[A]:[F]],0))</f>
        <v>0</v>
      </c>
      <c r="F35" s="1">
        <f>INDEX(TblFleetShipValues[[A]:[F]],MATCH(TblCombinedAdjFltValues[[#This Row],[Option]],TblFleetShipValues[Name],0),MATCH(TblCombinedAdjFltValues[[#Headers],[E]],TblFleetShipValues[[#Headers],[A]:[F]],0))</f>
        <v>0</v>
      </c>
      <c r="G35" s="1">
        <f>INDEX(TblFleetShipValues[[A]:[F]],MATCH(TblCombinedAdjFltValues[[#This Row],[Option]],TblFleetShipValues[Name],0),MATCH(TblCombinedAdjFltValues[[#Headers],[F]],TblFleetShipValues[[#Headers],[A]:[F]],0))</f>
        <v>0</v>
      </c>
      <c r="I35" s="4"/>
      <c r="J35" t="s">
        <v>29</v>
      </c>
      <c r="K35" s="1">
        <f>INDEX(TblFleetShipValues[[A]:[F]],MATCH(TblCombinedGenFltValues[[#This Row],[Option]],TblFleetShipValues[Name],0),MATCH(TblCombinedGenFltValues[[#Headers],[A]],TblFleetShipValues[[#Headers],[A]:[F]],0))</f>
        <v>0</v>
      </c>
      <c r="L35" s="1">
        <f>INDEX(TblFleetShipValues[[A]:[F]],MATCH(TblCombinedGenFltValues[[#This Row],[Option]],TblFleetShipValues[Name],0),MATCH(TblCombinedGenFltValues[[#Headers],[B]],TblFleetShipValues[[#Headers],[A]:[F]],0))</f>
        <v>3500</v>
      </c>
      <c r="M35" s="1">
        <f>INDEX(TblFleetShipValues[[A]:[F]],MATCH(TblCombinedGenFltValues[[#This Row],[Option]],TblFleetShipValues[Name],0),MATCH(TblCombinedGenFltValues[[#Headers],[C]],TblFleetShipValues[[#Headers],[A]:[F]],0))</f>
        <v>3500</v>
      </c>
      <c r="N35" s="1">
        <f>INDEX(TblFleetShipValues[[A]:[F]],MATCH(TblCombinedGenFltValues[[#This Row],[Option]],TblFleetShipValues[Name],0),MATCH(TblCombinedGenFltValues[[#Headers],[D]],TblFleetShipValues[[#Headers],[A]:[F]],0))</f>
        <v>0</v>
      </c>
      <c r="O35" s="1">
        <f>INDEX(TblFleetShipValues[[A]:[F]],MATCH(TblCombinedGenFltValues[[#This Row],[Option]],TblFleetShipValues[Name],0),MATCH(TblCombinedGenFltValues[[#Headers],[E]],TblFleetShipValues[[#Headers],[A]:[F]],0))</f>
        <v>0</v>
      </c>
      <c r="P35" s="1">
        <f>INDEX(TblFleetShipValues[[A]:[F]],MATCH(TblCombinedGenFltValues[[#This Row],[Option]],TblFleetShipValues[Name],0),MATCH(TblCombinedGenFltValues[[#Headers],[F]],TblFleetShipValues[[#Headers],[A]:[F]],0))</f>
        <v>0</v>
      </c>
    </row>
    <row r="36" spans="1:16" x14ac:dyDescent="0.25">
      <c r="A36" t="s">
        <v>43</v>
      </c>
      <c r="B36" s="1">
        <f>INDEX(TblAdjFleetRolesValues[[A]:[F]],MATCH(TblCombinedAdjFltValues[[#This Row],[Option]],TblAdjFleetRolesValues[Name],0),MATCH(TblCombinedAdjFltValues[[#Headers],[A]],TblAdjFleetRolesValues[[#Headers],[A]:[F]],0))</f>
        <v>0</v>
      </c>
      <c r="C36" s="1">
        <f>INDEX(TblAdjFleetRolesValues[[A]:[F]],MATCH(TblCombinedAdjFltValues[[#This Row],[Option]],TblAdjFleetRolesValues[Name],0),MATCH(TblCombinedAdjFltValues[[#Headers],[B]],TblAdjFleetRolesValues[[#Headers],[A]:[F]],0))</f>
        <v>1500</v>
      </c>
      <c r="D36" s="1">
        <f>INDEX(TblAdjFleetRolesValues[[A]:[F]],MATCH(TblCombinedAdjFltValues[[#This Row],[Option]],TblAdjFleetRolesValues[Name],0),MATCH(TblCombinedAdjFltValues[[#Headers],[C]],TblAdjFleetRolesValues[[#Headers],[A]:[F]],0))</f>
        <v>1500</v>
      </c>
      <c r="E36" s="1">
        <f>INDEX(TblAdjFleetRolesValues[[A]:[F]],MATCH(TblCombinedAdjFltValues[[#This Row],[Option]],TblAdjFleetRolesValues[Name],0),MATCH(TblCombinedAdjFltValues[[#Headers],[D]],TblAdjFleetRolesValues[[#Headers],[A]:[F]],0))</f>
        <v>0</v>
      </c>
      <c r="F36" s="1">
        <f>INDEX(TblAdjFleetRolesValues[[A]:[F]],MATCH(TblCombinedAdjFltValues[[#This Row],[Option]],TblAdjFleetRolesValues[Name],0),MATCH(TblCombinedAdjFltValues[[#Headers],[E]],TblAdjFleetRolesValues[[#Headers],[A]:[F]],0))</f>
        <v>0</v>
      </c>
      <c r="G36" s="1">
        <f>INDEX(TblAdjFleetRolesValues[[A]:[F]],MATCH(TblCombinedAdjFltValues[[#This Row],[Option]],TblAdjFleetRolesValues[Name],0),MATCH(TblCombinedAdjFltValues[[#Headers],[F]],TblAdjFleetRolesValues[[#Headers],[A]:[F]],0))</f>
        <v>0</v>
      </c>
      <c r="I36" s="4"/>
      <c r="J36" t="s">
        <v>43</v>
      </c>
      <c r="K36" s="1">
        <f>INDEX(TblGenFleetRolesValues[[A]:[F]],MATCH(TblCombinedGenFltValues[[#This Row],[Option]],TblGenFleetRolesValues[Name],0),MATCH(TblCombinedGenFltValues[[#Headers],[A]],TblGenFleetRolesValues[[#Headers],[A]:[F]],0))</f>
        <v>0</v>
      </c>
      <c r="L36" s="1">
        <f>INDEX(TblGenFleetRolesValues[[A]:[F]],MATCH(TblCombinedGenFltValues[[#This Row],[Option]],TblGenFleetRolesValues[Name],0),MATCH(TblCombinedGenFltValues[[#Headers],[B]],TblGenFleetRolesValues[[#Headers],[A]:[F]],0))</f>
        <v>5500</v>
      </c>
      <c r="M36" s="1">
        <f>INDEX(TblGenFleetRolesValues[[A]:[F]],MATCH(TblCombinedGenFltValues[[#This Row],[Option]],TblGenFleetRolesValues[Name],0),MATCH(TblCombinedGenFltValues[[#Headers],[C]],TblGenFleetRolesValues[[#Headers],[A]:[F]],0))</f>
        <v>5500</v>
      </c>
      <c r="N36" s="1">
        <f>INDEX(TblGenFleetRolesValues[[A]:[F]],MATCH(TblCombinedGenFltValues[[#This Row],[Option]],TblGenFleetRolesValues[Name],0),MATCH(TblCombinedGenFltValues[[#Headers],[D]],TblGenFleetRolesValues[[#Headers],[A]:[F]],0))</f>
        <v>0</v>
      </c>
      <c r="O36" s="1">
        <f>INDEX(TblGenFleetRolesValues[[A]:[F]],MATCH(TblCombinedGenFltValues[[#This Row],[Option]],TblGenFleetRolesValues[Name],0),MATCH(TblCombinedGenFltValues[[#Headers],[E]],TblGenFleetRolesValues[[#Headers],[A]:[F]],0))</f>
        <v>0</v>
      </c>
      <c r="P36" s="1">
        <f>INDEX(TblGenFleetRolesValues[[A]:[F]],MATCH(TblCombinedGenFltValues[[#This Row],[Option]],TblGenFleetRolesValues[Name],0),MATCH(TblCombinedGenFltValues[[#Headers],[F]],TblGenFleetRolesValues[[#Headers],[A]:[F]],0))</f>
        <v>0</v>
      </c>
    </row>
    <row r="37" spans="1:16" x14ac:dyDescent="0.25">
      <c r="A37" t="s">
        <v>30</v>
      </c>
      <c r="B37" s="1">
        <f>INDEX(TblFleetShipValues[[A]:[F]],MATCH(TblCombinedAdjFltValues[[#This Row],[Option]],TblFleetShipValues[Name],0),MATCH(TblCombinedAdjFltValues[[#Headers],[A]],TblFleetShipValues[[#Headers],[A]:[F]],0))</f>
        <v>0</v>
      </c>
      <c r="C37" s="1">
        <f>INDEX(TblFleetShipValues[[A]:[F]],MATCH(TblCombinedAdjFltValues[[#This Row],[Option]],TblFleetShipValues[Name],0),MATCH(TblCombinedAdjFltValues[[#Headers],[B]],TblFleetShipValues[[#Headers],[A]:[F]],0))</f>
        <v>0</v>
      </c>
      <c r="D37" s="1">
        <f>INDEX(TblFleetShipValues[[A]:[F]],MATCH(TblCombinedAdjFltValues[[#This Row],[Option]],TblFleetShipValues[Name],0),MATCH(TblCombinedAdjFltValues[[#Headers],[C]],TblFleetShipValues[[#Headers],[A]:[F]],0))</f>
        <v>0</v>
      </c>
      <c r="E37" s="1">
        <f>INDEX(TblFleetShipValues[[A]:[F]],MATCH(TblCombinedAdjFltValues[[#This Row],[Option]],TblFleetShipValues[Name],0),MATCH(TblCombinedAdjFltValues[[#Headers],[D]],TblFleetShipValues[[#Headers],[A]:[F]],0))</f>
        <v>5000</v>
      </c>
      <c r="F37" s="1">
        <f>INDEX(TblFleetShipValues[[A]:[F]],MATCH(TblCombinedAdjFltValues[[#This Row],[Option]],TblFleetShipValues[Name],0),MATCH(TblCombinedAdjFltValues[[#Headers],[E]],TblFleetShipValues[[#Headers],[A]:[F]],0))</f>
        <v>2500</v>
      </c>
      <c r="G37" s="1">
        <f>INDEX(TblFleetShipValues[[A]:[F]],MATCH(TblCombinedAdjFltValues[[#This Row],[Option]],TblFleetShipValues[Name],0),MATCH(TblCombinedAdjFltValues[[#Headers],[F]],TblFleetShipValues[[#Headers],[A]:[F]],0))</f>
        <v>2500</v>
      </c>
      <c r="I37" s="4"/>
      <c r="J37" t="s">
        <v>30</v>
      </c>
      <c r="K37" s="1">
        <f>INDEX(TblFleetShipValues[[A]:[F]],MATCH(TblCombinedGenFltValues[[#This Row],[Option]],TblFleetShipValues[Name],0),MATCH(TblCombinedGenFltValues[[#Headers],[A]],TblFleetShipValues[[#Headers],[A]:[F]],0))</f>
        <v>0</v>
      </c>
      <c r="L37" s="1">
        <f>INDEX(TblFleetShipValues[[A]:[F]],MATCH(TblCombinedGenFltValues[[#This Row],[Option]],TblFleetShipValues[Name],0),MATCH(TblCombinedGenFltValues[[#Headers],[B]],TblFleetShipValues[[#Headers],[A]:[F]],0))</f>
        <v>0</v>
      </c>
      <c r="M37" s="1">
        <f>INDEX(TblFleetShipValues[[A]:[F]],MATCH(TblCombinedGenFltValues[[#This Row],[Option]],TblFleetShipValues[Name],0),MATCH(TblCombinedGenFltValues[[#Headers],[C]],TblFleetShipValues[[#Headers],[A]:[F]],0))</f>
        <v>0</v>
      </c>
      <c r="N37" s="1">
        <f>INDEX(TblFleetShipValues[[A]:[F]],MATCH(TblCombinedGenFltValues[[#This Row],[Option]],TblFleetShipValues[Name],0),MATCH(TblCombinedGenFltValues[[#Headers],[D]],TblFleetShipValues[[#Headers],[A]:[F]],0))</f>
        <v>5000</v>
      </c>
      <c r="O37" s="1">
        <f>INDEX(TblFleetShipValues[[A]:[F]],MATCH(TblCombinedGenFltValues[[#This Row],[Option]],TblFleetShipValues[Name],0),MATCH(TblCombinedGenFltValues[[#Headers],[E]],TblFleetShipValues[[#Headers],[A]:[F]],0))</f>
        <v>2500</v>
      </c>
      <c r="P37" s="1">
        <f>INDEX(TblFleetShipValues[[A]:[F]],MATCH(TblCombinedGenFltValues[[#This Row],[Option]],TblFleetShipValues[Name],0),MATCH(TblCombinedGenFltValues[[#Headers],[F]],TblFleetShipValues[[#Headers],[A]:[F]],0))</f>
        <v>2500</v>
      </c>
    </row>
    <row r="38" spans="1:16" x14ac:dyDescent="0.25">
      <c r="A38" t="s">
        <v>44</v>
      </c>
      <c r="B38" s="1">
        <f>INDEX(TblAdjFleetRolesValues[[A]:[F]],MATCH(TblCombinedAdjFltValues[[#This Row],[Option]],TblAdjFleetRolesValues[Name],0),MATCH(TblCombinedAdjFltValues[[#Headers],[A]],TblAdjFleetRolesValues[[#Headers],[A]:[F]],0))</f>
        <v>0</v>
      </c>
      <c r="C38" s="1">
        <f>INDEX(TblAdjFleetRolesValues[[A]:[F]],MATCH(TblCombinedAdjFltValues[[#This Row],[Option]],TblAdjFleetRolesValues[Name],0),MATCH(TblCombinedAdjFltValues[[#Headers],[B]],TblAdjFleetRolesValues[[#Headers],[A]:[F]],0))</f>
        <v>0</v>
      </c>
      <c r="D38" s="1">
        <f>INDEX(TblAdjFleetRolesValues[[A]:[F]],MATCH(TblCombinedAdjFltValues[[#This Row],[Option]],TblAdjFleetRolesValues[Name],0),MATCH(TblCombinedAdjFltValues[[#Headers],[C]],TblAdjFleetRolesValues[[#Headers],[A]:[F]],0))</f>
        <v>0</v>
      </c>
      <c r="E38" s="1">
        <f>INDEX(TblAdjFleetRolesValues[[A]:[F]],MATCH(TblCombinedAdjFltValues[[#This Row],[Option]],TblAdjFleetRolesValues[Name],0),MATCH(TblCombinedAdjFltValues[[#Headers],[D]],TblAdjFleetRolesValues[[#Headers],[A]:[F]],0))</f>
        <v>2000</v>
      </c>
      <c r="F38" s="1">
        <f>INDEX(TblAdjFleetRolesValues[[A]:[F]],MATCH(TblCombinedAdjFltValues[[#This Row],[Option]],TblAdjFleetRolesValues[Name],0),MATCH(TblCombinedAdjFltValues[[#Headers],[E]],TblAdjFleetRolesValues[[#Headers],[A]:[F]],0))</f>
        <v>1000</v>
      </c>
      <c r="G38" s="1">
        <f>INDEX(TblAdjFleetRolesValues[[A]:[F]],MATCH(TblCombinedAdjFltValues[[#This Row],[Option]],TblAdjFleetRolesValues[Name],0),MATCH(TblCombinedAdjFltValues[[#Headers],[F]],TblAdjFleetRolesValues[[#Headers],[A]:[F]],0))</f>
        <v>1000</v>
      </c>
      <c r="I38" s="4"/>
      <c r="J38" t="s">
        <v>44</v>
      </c>
      <c r="K38" s="1">
        <f>INDEX(TblGenFleetRolesValues[[A]:[F]],MATCH(TblCombinedGenFltValues[[#This Row],[Option]],TblGenFleetRolesValues[Name],0),MATCH(TblCombinedGenFltValues[[#Headers],[A]],TblGenFleetRolesValues[[#Headers],[A]:[F]],0))</f>
        <v>0</v>
      </c>
      <c r="L38" s="1">
        <f>INDEX(TblGenFleetRolesValues[[A]:[F]],MATCH(TblCombinedGenFltValues[[#This Row],[Option]],TblGenFleetRolesValues[Name],0),MATCH(TblCombinedGenFltValues[[#Headers],[B]],TblGenFleetRolesValues[[#Headers],[A]:[F]],0))</f>
        <v>0</v>
      </c>
      <c r="M38" s="1">
        <f>INDEX(TblGenFleetRolesValues[[A]:[F]],MATCH(TblCombinedGenFltValues[[#This Row],[Option]],TblGenFleetRolesValues[Name],0),MATCH(TblCombinedGenFltValues[[#Headers],[C]],TblGenFleetRolesValues[[#Headers],[A]:[F]],0))</f>
        <v>0</v>
      </c>
      <c r="N38" s="1">
        <f>INDEX(TblGenFleetRolesValues[[A]:[F]],MATCH(TblCombinedGenFltValues[[#This Row],[Option]],TblGenFleetRolesValues[Name],0),MATCH(TblCombinedGenFltValues[[#Headers],[D]],TblGenFleetRolesValues[[#Headers],[A]:[F]],0))</f>
        <v>7000</v>
      </c>
      <c r="O38" s="1">
        <f>INDEX(TblGenFleetRolesValues[[A]:[F]],MATCH(TblCombinedGenFltValues[[#This Row],[Option]],TblGenFleetRolesValues[Name],0),MATCH(TblCombinedGenFltValues[[#Headers],[E]],TblGenFleetRolesValues[[#Headers],[A]:[F]],0))</f>
        <v>3500</v>
      </c>
      <c r="P38" s="1">
        <f>INDEX(TblGenFleetRolesValues[[A]:[F]],MATCH(TblCombinedGenFltValues[[#This Row],[Option]],TblGenFleetRolesValues[Name],0),MATCH(TblCombinedGenFltValues[[#Headers],[F]],TblGenFleetRolesValues[[#Headers],[A]:[F]],0))</f>
        <v>3500</v>
      </c>
    </row>
    <row r="39" spans="1:16" x14ac:dyDescent="0.25">
      <c r="A39" t="s">
        <v>31</v>
      </c>
      <c r="B39" s="1">
        <f>INDEX(TblFleetShipValues[[A]:[F]],MATCH(TblCombinedAdjFltValues[[#This Row],[Option]],TblFleetShipValues[Name],0),MATCH(TblCombinedAdjFltValues[[#Headers],[A]],TblFleetShipValues[[#Headers],[A]:[F]],0))</f>
        <v>0</v>
      </c>
      <c r="C39" s="1">
        <f>INDEX(TblFleetShipValues[[A]:[F]],MATCH(TblCombinedAdjFltValues[[#This Row],[Option]],TblFleetShipValues[Name],0),MATCH(TblCombinedAdjFltValues[[#Headers],[B]],TblFleetShipValues[[#Headers],[A]:[F]],0))</f>
        <v>1500</v>
      </c>
      <c r="D39" s="1">
        <f>INDEX(TblFleetShipValues[[A]:[F]],MATCH(TblCombinedAdjFltValues[[#This Row],[Option]],TblFleetShipValues[Name],0),MATCH(TblCombinedAdjFltValues[[#Headers],[C]],TblFleetShipValues[[#Headers],[A]:[F]],0))</f>
        <v>0</v>
      </c>
      <c r="E39" s="1">
        <f>INDEX(TblFleetShipValues[[A]:[F]],MATCH(TblCombinedAdjFltValues[[#This Row],[Option]],TblFleetShipValues[Name],0),MATCH(TblCombinedAdjFltValues[[#Headers],[D]],TblFleetShipValues[[#Headers],[A]:[F]],0))</f>
        <v>0</v>
      </c>
      <c r="F39" s="1">
        <f>INDEX(TblFleetShipValues[[A]:[F]],MATCH(TblCombinedAdjFltValues[[#This Row],[Option]],TblFleetShipValues[Name],0),MATCH(TblCombinedAdjFltValues[[#Headers],[E]],TblFleetShipValues[[#Headers],[A]:[F]],0))</f>
        <v>1500</v>
      </c>
      <c r="G39" s="1">
        <f>INDEX(TblFleetShipValues[[A]:[F]],MATCH(TblCombinedAdjFltValues[[#This Row],[Option]],TblFleetShipValues[Name],0),MATCH(TblCombinedAdjFltValues[[#Headers],[F]],TblFleetShipValues[[#Headers],[A]:[F]],0))</f>
        <v>0</v>
      </c>
      <c r="I39" s="4"/>
      <c r="J39" t="s">
        <v>31</v>
      </c>
      <c r="K39" s="1">
        <f>INDEX(TblFleetShipValues[[A]:[F]],MATCH(TblCombinedGenFltValues[[#This Row],[Option]],TblFleetShipValues[Name],0),MATCH(TblCombinedGenFltValues[[#Headers],[A]],TblFleetShipValues[[#Headers],[A]:[F]],0))</f>
        <v>0</v>
      </c>
      <c r="L39" s="1">
        <f>INDEX(TblFleetShipValues[[A]:[F]],MATCH(TblCombinedGenFltValues[[#This Row],[Option]],TblFleetShipValues[Name],0),MATCH(TblCombinedGenFltValues[[#Headers],[B]],TblFleetShipValues[[#Headers],[A]:[F]],0))</f>
        <v>1500</v>
      </c>
      <c r="M39" s="1">
        <f>INDEX(TblFleetShipValues[[A]:[F]],MATCH(TblCombinedGenFltValues[[#This Row],[Option]],TblFleetShipValues[Name],0),MATCH(TblCombinedGenFltValues[[#Headers],[C]],TblFleetShipValues[[#Headers],[A]:[F]],0))</f>
        <v>0</v>
      </c>
      <c r="N39" s="1">
        <f>INDEX(TblFleetShipValues[[A]:[F]],MATCH(TblCombinedGenFltValues[[#This Row],[Option]],TblFleetShipValues[Name],0),MATCH(TblCombinedGenFltValues[[#Headers],[D]],TblFleetShipValues[[#Headers],[A]:[F]],0))</f>
        <v>0</v>
      </c>
      <c r="O39" s="1">
        <f>INDEX(TblFleetShipValues[[A]:[F]],MATCH(TblCombinedGenFltValues[[#This Row],[Option]],TblFleetShipValues[Name],0),MATCH(TblCombinedGenFltValues[[#Headers],[E]],TblFleetShipValues[[#Headers],[A]:[F]],0))</f>
        <v>1500</v>
      </c>
      <c r="P39" s="1">
        <f>INDEX(TblFleetShipValues[[A]:[F]],MATCH(TblCombinedGenFltValues[[#This Row],[Option]],TblFleetShipValues[Name],0),MATCH(TblCombinedGenFltValues[[#Headers],[F]],TblFleetShipValues[[#Headers],[A]:[F]],0))</f>
        <v>0</v>
      </c>
    </row>
    <row r="40" spans="1:16" x14ac:dyDescent="0.25">
      <c r="A40" t="s">
        <v>45</v>
      </c>
      <c r="B40" s="1">
        <f>INDEX(TblAdjFleetRolesValues[[A]:[F]],MATCH(TblCombinedAdjFltValues[[#This Row],[Option]],TblAdjFleetRolesValues[Name],0),MATCH(TblCombinedAdjFltValues[[#Headers],[A]],TblAdjFleetRolesValues[[#Headers],[A]:[F]],0))</f>
        <v>0</v>
      </c>
      <c r="C40" s="1">
        <f>INDEX(TblAdjFleetRolesValues[[A]:[F]],MATCH(TblCombinedAdjFltValues[[#This Row],[Option]],TblAdjFleetRolesValues[Name],0),MATCH(TblCombinedAdjFltValues[[#Headers],[B]],TblAdjFleetRolesValues[[#Headers],[A]:[F]],0))</f>
        <v>500</v>
      </c>
      <c r="D40" s="1">
        <f>INDEX(TblAdjFleetRolesValues[[A]:[F]],MATCH(TblCombinedAdjFltValues[[#This Row],[Option]],TblAdjFleetRolesValues[Name],0),MATCH(TblCombinedAdjFltValues[[#Headers],[C]],TblAdjFleetRolesValues[[#Headers],[A]:[F]],0))</f>
        <v>0</v>
      </c>
      <c r="E40" s="1">
        <f>INDEX(TblAdjFleetRolesValues[[A]:[F]],MATCH(TblCombinedAdjFltValues[[#This Row],[Option]],TblAdjFleetRolesValues[Name],0),MATCH(TblCombinedAdjFltValues[[#Headers],[D]],TblAdjFleetRolesValues[[#Headers],[A]:[F]],0))</f>
        <v>0</v>
      </c>
      <c r="F40" s="1">
        <f>INDEX(TblAdjFleetRolesValues[[A]:[F]],MATCH(TblCombinedAdjFltValues[[#This Row],[Option]],TblAdjFleetRolesValues[Name],0),MATCH(TblCombinedAdjFltValues[[#Headers],[E]],TblAdjFleetRolesValues[[#Headers],[A]:[F]],0))</f>
        <v>500</v>
      </c>
      <c r="G40" s="1">
        <f>INDEX(TblAdjFleetRolesValues[[A]:[F]],MATCH(TblCombinedAdjFltValues[[#This Row],[Option]],TblAdjFleetRolesValues[Name],0),MATCH(TblCombinedAdjFltValues[[#Headers],[F]],TblAdjFleetRolesValues[[#Headers],[A]:[F]],0))</f>
        <v>0</v>
      </c>
      <c r="I40" s="4"/>
      <c r="J40" t="s">
        <v>45</v>
      </c>
      <c r="K40" s="1">
        <f>INDEX(TblGenFleetRolesValues[[A]:[F]],MATCH(TblCombinedGenFltValues[[#This Row],[Option]],TblGenFleetRolesValues[Name],0),MATCH(TblCombinedGenFltValues[[#Headers],[A]],TblGenFleetRolesValues[[#Headers],[A]:[F]],0))</f>
        <v>0</v>
      </c>
      <c r="L40" s="1">
        <f>INDEX(TblGenFleetRolesValues[[A]:[F]],MATCH(TblCombinedGenFltValues[[#This Row],[Option]],TblGenFleetRolesValues[Name],0),MATCH(TblCombinedGenFltValues[[#Headers],[B]],TblGenFleetRolesValues[[#Headers],[A]:[F]],0))</f>
        <v>2000</v>
      </c>
      <c r="M40" s="1">
        <f>INDEX(TblGenFleetRolesValues[[A]:[F]],MATCH(TblCombinedGenFltValues[[#This Row],[Option]],TblGenFleetRolesValues[Name],0),MATCH(TblCombinedGenFltValues[[#Headers],[C]],TblGenFleetRolesValues[[#Headers],[A]:[F]],0))</f>
        <v>0</v>
      </c>
      <c r="N40" s="1">
        <f>INDEX(TblGenFleetRolesValues[[A]:[F]],MATCH(TblCombinedGenFltValues[[#This Row],[Option]],TblGenFleetRolesValues[Name],0),MATCH(TblCombinedGenFltValues[[#Headers],[D]],TblGenFleetRolesValues[[#Headers],[A]:[F]],0))</f>
        <v>0</v>
      </c>
      <c r="O40" s="1">
        <f>INDEX(TblGenFleetRolesValues[[A]:[F]],MATCH(TblCombinedGenFltValues[[#This Row],[Option]],TblGenFleetRolesValues[Name],0),MATCH(TblCombinedGenFltValues[[#Headers],[E]],TblGenFleetRolesValues[[#Headers],[A]:[F]],0))</f>
        <v>2000</v>
      </c>
      <c r="P40" s="1">
        <f>INDEX(TblGenFleetRolesValues[[A]:[F]],MATCH(TblCombinedGenFltValues[[#This Row],[Option]],TblGenFleetRolesValues[Name],0),MATCH(TblCombinedGenFltValues[[#Headers],[F]],TblGenFleetRolesValues[[#Headers],[A]:[F]],0))</f>
        <v>0</v>
      </c>
    </row>
    <row r="41" spans="1:16" x14ac:dyDescent="0.25">
      <c r="A41" t="s">
        <v>32</v>
      </c>
      <c r="B41" s="1">
        <f>INDEX(TblFleetShipValues[[A]:[F]],MATCH(TblCombinedAdjFltValues[[#This Row],[Option]],TblFleetShipValues[Name],0),MATCH(TblCombinedAdjFltValues[[#Headers],[A]],TblFleetShipValues[[#Headers],[A]:[F]],0))</f>
        <v>0</v>
      </c>
      <c r="C41" s="1">
        <f>INDEX(TblFleetShipValues[[A]:[F]],MATCH(TblCombinedAdjFltValues[[#This Row],[Option]],TblFleetShipValues[Name],0),MATCH(TblCombinedAdjFltValues[[#Headers],[B]],TblFleetShipValues[[#Headers],[A]:[F]],0))</f>
        <v>0</v>
      </c>
      <c r="D41" s="1">
        <f>INDEX(TblFleetShipValues[[A]:[F]],MATCH(TblCombinedAdjFltValues[[#This Row],[Option]],TblFleetShipValues[Name],0),MATCH(TblCombinedAdjFltValues[[#Headers],[C]],TblFleetShipValues[[#Headers],[A]:[F]],0))</f>
        <v>2500</v>
      </c>
      <c r="E41" s="1">
        <f>INDEX(TblFleetShipValues[[A]:[F]],MATCH(TblCombinedAdjFltValues[[#This Row],[Option]],TblFleetShipValues[Name],0),MATCH(TblCombinedAdjFltValues[[#Headers],[D]],TblFleetShipValues[[#Headers],[A]:[F]],0))</f>
        <v>0</v>
      </c>
      <c r="F41" s="1">
        <f>INDEX(TblFleetShipValues[[A]:[F]],MATCH(TblCombinedAdjFltValues[[#This Row],[Option]],TblFleetShipValues[Name],0),MATCH(TblCombinedAdjFltValues[[#Headers],[E]],TblFleetShipValues[[#Headers],[A]:[F]],0))</f>
        <v>2500</v>
      </c>
      <c r="G41" s="1">
        <f>INDEX(TblFleetShipValues[[A]:[F]],MATCH(TblCombinedAdjFltValues[[#This Row],[Option]],TblFleetShipValues[Name],0),MATCH(TblCombinedAdjFltValues[[#Headers],[F]],TblFleetShipValues[[#Headers],[A]:[F]],0))</f>
        <v>5000</v>
      </c>
      <c r="I41" s="4"/>
      <c r="J41" t="s">
        <v>32</v>
      </c>
      <c r="K41" s="1">
        <f>INDEX(TblFleetShipValues[[A]:[F]],MATCH(TblCombinedGenFltValues[[#This Row],[Option]],TblFleetShipValues[Name],0),MATCH(TblCombinedGenFltValues[[#Headers],[A]],TblFleetShipValues[[#Headers],[A]:[F]],0))</f>
        <v>0</v>
      </c>
      <c r="L41" s="1">
        <f>INDEX(TblFleetShipValues[[A]:[F]],MATCH(TblCombinedGenFltValues[[#This Row],[Option]],TblFleetShipValues[Name],0),MATCH(TblCombinedGenFltValues[[#Headers],[B]],TblFleetShipValues[[#Headers],[A]:[F]],0))</f>
        <v>0</v>
      </c>
      <c r="M41" s="1">
        <f>INDEX(TblFleetShipValues[[A]:[F]],MATCH(TblCombinedGenFltValues[[#This Row],[Option]],TblFleetShipValues[Name],0),MATCH(TblCombinedGenFltValues[[#Headers],[C]],TblFleetShipValues[[#Headers],[A]:[F]],0))</f>
        <v>2500</v>
      </c>
      <c r="N41" s="1">
        <f>INDEX(TblFleetShipValues[[A]:[F]],MATCH(TblCombinedGenFltValues[[#This Row],[Option]],TblFleetShipValues[Name],0),MATCH(TblCombinedGenFltValues[[#Headers],[D]],TblFleetShipValues[[#Headers],[A]:[F]],0))</f>
        <v>0</v>
      </c>
      <c r="O41" s="1">
        <f>INDEX(TblFleetShipValues[[A]:[F]],MATCH(TblCombinedGenFltValues[[#This Row],[Option]],TblFleetShipValues[Name],0),MATCH(TblCombinedGenFltValues[[#Headers],[E]],TblFleetShipValues[[#Headers],[A]:[F]],0))</f>
        <v>2500</v>
      </c>
      <c r="P41" s="1">
        <f>INDEX(TblFleetShipValues[[A]:[F]],MATCH(TblCombinedGenFltValues[[#This Row],[Option]],TblFleetShipValues[Name],0),MATCH(TblCombinedGenFltValues[[#Headers],[F]],TblFleetShipValues[[#Headers],[A]:[F]],0))</f>
        <v>5000</v>
      </c>
    </row>
    <row r="42" spans="1:16" x14ac:dyDescent="0.25">
      <c r="A42" t="s">
        <v>46</v>
      </c>
      <c r="B42" s="1">
        <f>INDEX(TblAdjFleetRolesValues[[A]:[F]],MATCH(TblCombinedAdjFltValues[[#This Row],[Option]],TblAdjFleetRolesValues[Name],0),MATCH(TblCombinedAdjFltValues[[#Headers],[A]],TblAdjFleetRolesValues[[#Headers],[A]:[F]],0))</f>
        <v>0</v>
      </c>
      <c r="C42" s="1">
        <f>INDEX(TblAdjFleetRolesValues[[A]:[F]],MATCH(TblCombinedAdjFltValues[[#This Row],[Option]],TblAdjFleetRolesValues[Name],0),MATCH(TblCombinedAdjFltValues[[#Headers],[B]],TblAdjFleetRolesValues[[#Headers],[A]:[F]],0))</f>
        <v>0</v>
      </c>
      <c r="D42" s="1">
        <f>INDEX(TblAdjFleetRolesValues[[A]:[F]],MATCH(TblCombinedAdjFltValues[[#This Row],[Option]],TblAdjFleetRolesValues[Name],0),MATCH(TblCombinedAdjFltValues[[#Headers],[C]],TblAdjFleetRolesValues[[#Headers],[A]:[F]],0))</f>
        <v>500</v>
      </c>
      <c r="E42" s="1">
        <f>INDEX(TblAdjFleetRolesValues[[A]:[F]],MATCH(TblCombinedAdjFltValues[[#This Row],[Option]],TblAdjFleetRolesValues[Name],0),MATCH(TblCombinedAdjFltValues[[#Headers],[D]],TblAdjFleetRolesValues[[#Headers],[A]:[F]],0))</f>
        <v>0</v>
      </c>
      <c r="F42" s="1">
        <f>INDEX(TblAdjFleetRolesValues[[A]:[F]],MATCH(TblCombinedAdjFltValues[[#This Row],[Option]],TblAdjFleetRolesValues[Name],0),MATCH(TblCombinedAdjFltValues[[#Headers],[E]],TblAdjFleetRolesValues[[#Headers],[A]:[F]],0))</f>
        <v>500</v>
      </c>
      <c r="G42" s="1">
        <f>INDEX(TblAdjFleetRolesValues[[A]:[F]],MATCH(TblCombinedAdjFltValues[[#This Row],[Option]],TblAdjFleetRolesValues[Name],0),MATCH(TblCombinedAdjFltValues[[#Headers],[F]],TblAdjFleetRolesValues[[#Headers],[A]:[F]],0))</f>
        <v>1000</v>
      </c>
      <c r="I42" s="4"/>
      <c r="J42" t="s">
        <v>46</v>
      </c>
      <c r="K42" s="1">
        <f>INDEX(TblGenFleetRolesValues[[A]:[F]],MATCH(TblCombinedGenFltValues[[#This Row],[Option]],TblGenFleetRolesValues[Name],0),MATCH(TblCombinedGenFltValues[[#Headers],[A]],TblGenFleetRolesValues[[#Headers],[A]:[F]],0))</f>
        <v>0</v>
      </c>
      <c r="L42" s="1">
        <f>INDEX(TblGenFleetRolesValues[[A]:[F]],MATCH(TblCombinedGenFltValues[[#This Row],[Option]],TblGenFleetRolesValues[Name],0),MATCH(TblCombinedGenFltValues[[#Headers],[B]],TblGenFleetRolesValues[[#Headers],[A]:[F]],0))</f>
        <v>0</v>
      </c>
      <c r="M42" s="1">
        <f>INDEX(TblGenFleetRolesValues[[A]:[F]],MATCH(TblCombinedGenFltValues[[#This Row],[Option]],TblGenFleetRolesValues[Name],0),MATCH(TblCombinedGenFltValues[[#Headers],[C]],TblGenFleetRolesValues[[#Headers],[A]:[F]],0))</f>
        <v>2500</v>
      </c>
      <c r="N42" s="1">
        <f>INDEX(TblGenFleetRolesValues[[A]:[F]],MATCH(TblCombinedGenFltValues[[#This Row],[Option]],TblGenFleetRolesValues[Name],0),MATCH(TblCombinedGenFltValues[[#Headers],[D]],TblGenFleetRolesValues[[#Headers],[A]:[F]],0))</f>
        <v>0</v>
      </c>
      <c r="O42" s="1">
        <f>INDEX(TblGenFleetRolesValues[[A]:[F]],MATCH(TblCombinedGenFltValues[[#This Row],[Option]],TblGenFleetRolesValues[Name],0),MATCH(TblCombinedGenFltValues[[#Headers],[E]],TblGenFleetRolesValues[[#Headers],[A]:[F]],0))</f>
        <v>2500</v>
      </c>
      <c r="P42" s="1">
        <f>INDEX(TblGenFleetRolesValues[[A]:[F]],MATCH(TblCombinedGenFltValues[[#This Row],[Option]],TblGenFleetRolesValues[Name],0),MATCH(TblCombinedGenFltValues[[#Headers],[F]],TblGenFleetRolesValues[[#Headers],[A]:[F]],0))</f>
        <v>5000</v>
      </c>
    </row>
    <row r="43" spans="1:16" x14ac:dyDescent="0.25">
      <c r="A43" t="s">
        <v>33</v>
      </c>
      <c r="B43" s="1">
        <f>SUBTOTAL(109,TblCombinedAdjFltValues[A])</f>
        <v>7000</v>
      </c>
      <c r="C43" s="1">
        <f>SUBTOTAL(109,TblCombinedAdjFltValues[B])</f>
        <v>7000</v>
      </c>
      <c r="D43" s="1">
        <f>SUBTOTAL(109,TblCombinedAdjFltValues[C])</f>
        <v>8000</v>
      </c>
      <c r="E43" s="1">
        <f>SUBTOTAL(109,TblCombinedAdjFltValues[D])</f>
        <v>7000</v>
      </c>
      <c r="F43" s="1">
        <f>SUBTOTAL(109,TblCombinedAdjFltValues[E])</f>
        <v>8500</v>
      </c>
      <c r="G43" s="1">
        <f>SUBTOTAL(109,TblCombinedAdjFltValues[F])</f>
        <v>9500</v>
      </c>
      <c r="I43" s="4"/>
      <c r="J43" t="s">
        <v>33</v>
      </c>
      <c r="K43" s="1">
        <f>SUBTOTAL(109,TblCombinedGenFltValues[A])</f>
        <v>12500</v>
      </c>
      <c r="L43" s="1">
        <f>SUBTOTAL(109,TblCombinedGenFltValues[B])</f>
        <v>12500</v>
      </c>
      <c r="M43" s="1">
        <f>SUBTOTAL(109,TblCombinedGenFltValues[C])</f>
        <v>14000</v>
      </c>
      <c r="N43" s="1">
        <f>SUBTOTAL(109,TblCombinedGenFltValues[D])</f>
        <v>12000</v>
      </c>
      <c r="O43" s="1">
        <f>SUBTOTAL(109,TblCombinedGenFltValues[E])</f>
        <v>14500</v>
      </c>
      <c r="P43" s="1">
        <f>SUBTOTAL(109,TblCombinedGenFltValues[F])</f>
        <v>16000</v>
      </c>
    </row>
    <row r="45" spans="1:16" x14ac:dyDescent="0.25">
      <c r="C45" s="1"/>
      <c r="D45" s="1"/>
      <c r="E45" s="1"/>
      <c r="F45" s="1"/>
      <c r="G45" s="1"/>
    </row>
    <row r="50" spans="2:2" x14ac:dyDescent="0.25">
      <c r="B50" s="1"/>
    </row>
    <row r="51" spans="2:2" x14ac:dyDescent="0.25">
      <c r="B51" s="1"/>
    </row>
  </sheetData>
  <mergeCells count="9">
    <mergeCell ref="A31:G31"/>
    <mergeCell ref="J23:Q23"/>
    <mergeCell ref="J31:P31"/>
    <mergeCell ref="N1:P1"/>
    <mergeCell ref="A16:G16"/>
    <mergeCell ref="J8:Q8"/>
    <mergeCell ref="A23:H23"/>
    <mergeCell ref="A8:G8"/>
    <mergeCell ref="A1:H1"/>
  </mergeCells>
  <pageMargins left="0.7" right="0.7" top="0.75" bottom="0.75" header="0.3" footer="0.3"/>
  <pageSetup paperSize="0" orientation="portrait" horizontalDpi="0" verticalDpi="0" copies="0"/>
  <ignoredErrors>
    <ignoredError sqref="B33:G33 B34:B42 K33:P33 K41 K39 K37 K35 K34 K36 K38 K40 K42 L10:P10 L11:P14" calculatedColumn="1"/>
    <ignoredError sqref="C34:G42 L42:P42 L40:P40 L38:M38 L36:P36 L34:P34 L35:P35 L37:P37 L41:P41 L39:P39 O38:P38" formula="1" calculatedColumn="1"/>
  </ignoredErrors>
  <tableParts count="10">
    <tablePart r:id="rId1"/>
    <tablePart r:id="rId2"/>
    <tablePart r:id="rId3"/>
    <tablePart r:id="rId4"/>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73792-62E9-442E-9CC7-E8C6E6BD4008}">
  <dimension ref="B1:V29"/>
  <sheetViews>
    <sheetView tabSelected="1" workbookViewId="0">
      <selection activeCell="F26" sqref="F26"/>
    </sheetView>
  </sheetViews>
  <sheetFormatPr defaultRowHeight="15" x14ac:dyDescent="0.25"/>
  <cols>
    <col min="2" max="2" width="16.5703125" customWidth="1"/>
    <col min="3" max="3" width="18" customWidth="1"/>
    <col min="4" max="4" width="15.7109375" customWidth="1"/>
    <col min="5" max="5" width="17.140625" customWidth="1"/>
    <col min="6" max="6" width="17.7109375" customWidth="1"/>
    <col min="8" max="8" width="12" bestFit="1" customWidth="1"/>
    <col min="13" max="13" width="34" bestFit="1" customWidth="1"/>
  </cols>
  <sheetData>
    <row r="1" spans="2:22" x14ac:dyDescent="0.25">
      <c r="M1" t="s">
        <v>49</v>
      </c>
    </row>
    <row r="2" spans="2:22" x14ac:dyDescent="0.25">
      <c r="B2" s="21" t="s">
        <v>2</v>
      </c>
      <c r="C2" s="24" t="s">
        <v>3</v>
      </c>
      <c r="D2" s="24" t="s">
        <v>50</v>
      </c>
      <c r="E2" s="24" t="s">
        <v>51</v>
      </c>
      <c r="F2" s="24" t="s">
        <v>52</v>
      </c>
      <c r="G2" s="24" t="s">
        <v>53</v>
      </c>
      <c r="H2" s="24" t="s">
        <v>54</v>
      </c>
      <c r="L2" t="s">
        <v>55</v>
      </c>
      <c r="M2" t="s">
        <v>13</v>
      </c>
      <c r="O2" t="s">
        <v>14</v>
      </c>
      <c r="Q2" t="s">
        <v>15</v>
      </c>
      <c r="S2" t="s">
        <v>16</v>
      </c>
      <c r="U2" t="s">
        <v>17</v>
      </c>
    </row>
    <row r="3" spans="2:22" x14ac:dyDescent="0.25">
      <c r="B3" s="25" t="s">
        <v>13</v>
      </c>
      <c r="C3" s="25">
        <v>2000</v>
      </c>
      <c r="D3" s="25">
        <v>2000</v>
      </c>
      <c r="E3" s="25">
        <v>2000</v>
      </c>
      <c r="F3" s="25">
        <v>100</v>
      </c>
      <c r="G3" s="34">
        <v>10</v>
      </c>
      <c r="H3">
        <v>5</v>
      </c>
      <c r="L3">
        <v>1</v>
      </c>
      <c r="M3">
        <v>0</v>
      </c>
      <c r="N3">
        <f>M3*100</f>
        <v>0</v>
      </c>
      <c r="O3">
        <v>0</v>
      </c>
      <c r="P3">
        <f>O3*100</f>
        <v>0</v>
      </c>
      <c r="Q3">
        <v>0</v>
      </c>
      <c r="R3">
        <f>Q3*100</f>
        <v>0</v>
      </c>
      <c r="S3">
        <v>0</v>
      </c>
      <c r="T3">
        <f>S3*100</f>
        <v>0</v>
      </c>
      <c r="U3">
        <v>0</v>
      </c>
      <c r="V3">
        <f>U3*100</f>
        <v>0</v>
      </c>
    </row>
    <row r="4" spans="2:22" x14ac:dyDescent="0.25">
      <c r="B4" s="26" t="s">
        <v>14</v>
      </c>
      <c r="C4" s="26">
        <v>1500</v>
      </c>
      <c r="D4" s="26">
        <v>1500</v>
      </c>
      <c r="E4" s="26">
        <v>1500</v>
      </c>
      <c r="F4" s="26">
        <v>100</v>
      </c>
      <c r="G4" s="35">
        <v>7</v>
      </c>
      <c r="H4">
        <v>4</v>
      </c>
      <c r="L4">
        <v>2</v>
      </c>
      <c r="M4">
        <v>1</v>
      </c>
      <c r="N4">
        <f t="shared" ref="N4:N14" si="0">M4*100</f>
        <v>100</v>
      </c>
      <c r="O4">
        <v>1</v>
      </c>
      <c r="P4">
        <f t="shared" ref="P4:R4" si="1">O4*100</f>
        <v>100</v>
      </c>
      <c r="Q4">
        <v>1</v>
      </c>
      <c r="R4">
        <f t="shared" si="1"/>
        <v>100</v>
      </c>
      <c r="S4">
        <v>1</v>
      </c>
      <c r="T4">
        <f t="shared" ref="T4:V4" si="2">S4*100</f>
        <v>100</v>
      </c>
      <c r="U4">
        <v>1</v>
      </c>
      <c r="V4">
        <f t="shared" si="2"/>
        <v>100</v>
      </c>
    </row>
    <row r="5" spans="2:22" x14ac:dyDescent="0.25">
      <c r="B5" s="27" t="s">
        <v>15</v>
      </c>
      <c r="C5" s="27">
        <v>1000</v>
      </c>
      <c r="D5" s="27">
        <v>1000</v>
      </c>
      <c r="E5" s="27">
        <v>1000</v>
      </c>
      <c r="F5" s="27">
        <v>100</v>
      </c>
      <c r="G5" s="34">
        <v>5</v>
      </c>
      <c r="H5">
        <v>3</v>
      </c>
      <c r="L5">
        <v>3</v>
      </c>
      <c r="M5">
        <v>2</v>
      </c>
      <c r="N5">
        <f t="shared" si="0"/>
        <v>200</v>
      </c>
      <c r="O5">
        <v>2</v>
      </c>
      <c r="P5">
        <f t="shared" ref="P5:R5" si="3">O5*100</f>
        <v>200</v>
      </c>
      <c r="Q5">
        <v>2</v>
      </c>
      <c r="R5">
        <f t="shared" si="3"/>
        <v>200</v>
      </c>
      <c r="S5">
        <v>2</v>
      </c>
      <c r="T5">
        <f t="shared" ref="T5" si="4">S5*100</f>
        <v>200</v>
      </c>
    </row>
    <row r="6" spans="2:22" x14ac:dyDescent="0.25">
      <c r="B6" s="26" t="s">
        <v>16</v>
      </c>
      <c r="C6" s="26">
        <v>500</v>
      </c>
      <c r="D6" s="26">
        <v>500</v>
      </c>
      <c r="E6" s="26">
        <v>500</v>
      </c>
      <c r="F6" s="26">
        <v>100</v>
      </c>
      <c r="G6" s="35">
        <v>3</v>
      </c>
      <c r="H6">
        <v>2</v>
      </c>
      <c r="L6">
        <v>4</v>
      </c>
      <c r="M6">
        <v>3</v>
      </c>
      <c r="N6">
        <f t="shared" si="0"/>
        <v>300</v>
      </c>
      <c r="O6">
        <v>3</v>
      </c>
      <c r="P6">
        <f t="shared" ref="P6:R6" si="5">O6*100</f>
        <v>300</v>
      </c>
      <c r="Q6">
        <v>3</v>
      </c>
      <c r="R6">
        <f t="shared" si="5"/>
        <v>300</v>
      </c>
      <c r="S6">
        <v>3</v>
      </c>
      <c r="T6">
        <f t="shared" ref="T6" si="6">S6*100</f>
        <v>300</v>
      </c>
    </row>
    <row r="7" spans="2:22" x14ac:dyDescent="0.25">
      <c r="B7" s="27" t="s">
        <v>17</v>
      </c>
      <c r="C7" s="27">
        <v>100</v>
      </c>
      <c r="D7" s="27">
        <v>100</v>
      </c>
      <c r="E7" s="27">
        <v>100</v>
      </c>
      <c r="F7" s="27">
        <v>100</v>
      </c>
      <c r="G7" s="34">
        <v>1</v>
      </c>
      <c r="H7">
        <v>1</v>
      </c>
      <c r="L7">
        <v>5</v>
      </c>
      <c r="M7">
        <v>4</v>
      </c>
      <c r="N7">
        <f t="shared" si="0"/>
        <v>400</v>
      </c>
      <c r="O7">
        <v>4</v>
      </c>
      <c r="P7">
        <f t="shared" ref="P7:R7" si="7">O7*100</f>
        <v>400</v>
      </c>
      <c r="Q7">
        <v>4</v>
      </c>
      <c r="R7">
        <f t="shared" si="7"/>
        <v>400</v>
      </c>
    </row>
    <row r="8" spans="2:22" x14ac:dyDescent="0.25">
      <c r="L8">
        <v>6</v>
      </c>
      <c r="M8">
        <v>5</v>
      </c>
      <c r="N8">
        <f t="shared" si="0"/>
        <v>500</v>
      </c>
      <c r="O8">
        <v>5</v>
      </c>
      <c r="P8">
        <f t="shared" ref="P8:R8" si="8">O8*100</f>
        <v>500</v>
      </c>
      <c r="Q8">
        <v>5</v>
      </c>
      <c r="R8">
        <f t="shared" si="8"/>
        <v>500</v>
      </c>
    </row>
    <row r="9" spans="2:22" x14ac:dyDescent="0.25">
      <c r="L9">
        <v>7</v>
      </c>
      <c r="M9">
        <v>6</v>
      </c>
      <c r="N9">
        <f t="shared" si="0"/>
        <v>600</v>
      </c>
      <c r="O9">
        <v>6</v>
      </c>
      <c r="P9">
        <f t="shared" ref="P9" si="9">O9*100</f>
        <v>600</v>
      </c>
    </row>
    <row r="10" spans="2:22" x14ac:dyDescent="0.25">
      <c r="B10" t="s">
        <v>56</v>
      </c>
      <c r="L10">
        <v>8</v>
      </c>
      <c r="M10">
        <v>7</v>
      </c>
      <c r="N10">
        <f t="shared" si="0"/>
        <v>700</v>
      </c>
      <c r="O10">
        <v>7</v>
      </c>
      <c r="P10">
        <f t="shared" ref="P10" si="10">O10*100</f>
        <v>700</v>
      </c>
    </row>
    <row r="11" spans="2:22" x14ac:dyDescent="0.25">
      <c r="B11" s="19" t="s">
        <v>57</v>
      </c>
      <c r="C11" s="19" t="s">
        <v>58</v>
      </c>
      <c r="D11" s="19" t="s">
        <v>59</v>
      </c>
      <c r="E11" s="19" t="s">
        <v>60</v>
      </c>
      <c r="F11" s="19" t="s">
        <v>61</v>
      </c>
      <c r="L11">
        <v>9</v>
      </c>
      <c r="M11">
        <v>8</v>
      </c>
      <c r="N11">
        <f t="shared" si="0"/>
        <v>800</v>
      </c>
      <c r="O11">
        <v>8</v>
      </c>
      <c r="P11">
        <f t="shared" ref="P11" si="11">O11*100</f>
        <v>800</v>
      </c>
    </row>
    <row r="12" spans="2:22" ht="75" x14ac:dyDescent="0.25">
      <c r="B12" s="20" t="s">
        <v>62</v>
      </c>
      <c r="C12" s="20" t="s">
        <v>63</v>
      </c>
      <c r="D12" s="20" t="s">
        <v>64</v>
      </c>
      <c r="E12" s="20" t="s">
        <v>65</v>
      </c>
      <c r="F12" s="20" t="s">
        <v>66</v>
      </c>
      <c r="L12">
        <v>10</v>
      </c>
      <c r="M12">
        <v>9</v>
      </c>
      <c r="N12">
        <f t="shared" si="0"/>
        <v>900</v>
      </c>
    </row>
    <row r="13" spans="2:22" x14ac:dyDescent="0.25">
      <c r="L13">
        <v>11</v>
      </c>
      <c r="M13">
        <v>10</v>
      </c>
      <c r="N13">
        <f t="shared" si="0"/>
        <v>1000</v>
      </c>
    </row>
    <row r="14" spans="2:22" x14ac:dyDescent="0.25">
      <c r="L14">
        <v>12</v>
      </c>
      <c r="M14">
        <v>11</v>
      </c>
      <c r="N14">
        <f t="shared" si="0"/>
        <v>1100</v>
      </c>
    </row>
    <row r="15" spans="2:22" x14ac:dyDescent="0.25">
      <c r="B15" s="21" t="s">
        <v>2</v>
      </c>
      <c r="C15" s="33" t="s">
        <v>4</v>
      </c>
      <c r="D15" s="33" t="s">
        <v>5</v>
      </c>
      <c r="E15" s="33" t="s">
        <v>6</v>
      </c>
      <c r="L15">
        <v>13</v>
      </c>
    </row>
    <row r="16" spans="2:22" x14ac:dyDescent="0.25">
      <c r="B16" s="22" t="s">
        <v>13</v>
      </c>
      <c r="C16" s="34">
        <v>11</v>
      </c>
      <c r="D16" s="34">
        <v>3</v>
      </c>
      <c r="E16" s="34">
        <v>1</v>
      </c>
      <c r="L16">
        <v>14</v>
      </c>
    </row>
    <row r="17" spans="2:12" x14ac:dyDescent="0.25">
      <c r="B17" s="23" t="s">
        <v>14</v>
      </c>
      <c r="C17" s="35">
        <v>8</v>
      </c>
      <c r="D17" s="35">
        <v>2</v>
      </c>
      <c r="E17" s="35">
        <v>1</v>
      </c>
      <c r="L17">
        <v>15</v>
      </c>
    </row>
    <row r="18" spans="2:12" x14ac:dyDescent="0.25">
      <c r="B18" s="22" t="s">
        <v>15</v>
      </c>
      <c r="C18" s="34">
        <v>5</v>
      </c>
      <c r="D18" s="34">
        <v>1</v>
      </c>
      <c r="E18" s="34">
        <v>1</v>
      </c>
      <c r="L18">
        <v>16</v>
      </c>
    </row>
    <row r="19" spans="2:12" x14ac:dyDescent="0.25">
      <c r="B19" s="23" t="s">
        <v>16</v>
      </c>
      <c r="C19" s="35">
        <v>3</v>
      </c>
      <c r="D19" s="35">
        <v>1</v>
      </c>
      <c r="E19" s="35">
        <v>0</v>
      </c>
      <c r="L19">
        <v>17</v>
      </c>
    </row>
    <row r="20" spans="2:12" x14ac:dyDescent="0.25">
      <c r="B20" s="22" t="s">
        <v>17</v>
      </c>
      <c r="C20" s="34">
        <v>1</v>
      </c>
      <c r="D20" s="34">
        <v>0</v>
      </c>
      <c r="E20" s="34">
        <v>0</v>
      </c>
      <c r="L20">
        <v>18</v>
      </c>
    </row>
    <row r="21" spans="2:12" x14ac:dyDescent="0.25">
      <c r="L21">
        <v>19</v>
      </c>
    </row>
    <row r="22" spans="2:12" x14ac:dyDescent="0.25">
      <c r="L22">
        <v>20</v>
      </c>
    </row>
    <row r="23" spans="2:12" x14ac:dyDescent="0.25">
      <c r="B23" s="36" t="s">
        <v>20</v>
      </c>
      <c r="C23" s="37" t="s">
        <v>21</v>
      </c>
      <c r="D23" s="37" t="s">
        <v>22</v>
      </c>
      <c r="E23" s="37" t="s">
        <v>23</v>
      </c>
      <c r="F23" s="37" t="s">
        <v>24</v>
      </c>
      <c r="G23" s="37" t="s">
        <v>25</v>
      </c>
      <c r="H23" s="37" t="s">
        <v>26</v>
      </c>
      <c r="L23">
        <v>21</v>
      </c>
    </row>
    <row r="24" spans="2:12" x14ac:dyDescent="0.25">
      <c r="B24" s="38" t="s">
        <v>13</v>
      </c>
      <c r="C24" s="39">
        <v>1</v>
      </c>
      <c r="D24" s="39"/>
      <c r="E24" s="39"/>
      <c r="F24" s="39"/>
      <c r="G24" s="39"/>
      <c r="H24" s="39"/>
      <c r="L24">
        <v>22</v>
      </c>
    </row>
    <row r="25" spans="2:12" x14ac:dyDescent="0.25">
      <c r="B25" s="40" t="s">
        <v>14</v>
      </c>
      <c r="C25" s="41"/>
      <c r="D25" s="41">
        <v>1</v>
      </c>
      <c r="E25" s="41">
        <v>1</v>
      </c>
      <c r="F25" s="41"/>
      <c r="G25" s="41"/>
      <c r="H25" s="41"/>
      <c r="L25">
        <v>23</v>
      </c>
    </row>
    <row r="26" spans="2:12" x14ac:dyDescent="0.25">
      <c r="B26" s="38" t="s">
        <v>15</v>
      </c>
      <c r="C26" s="39"/>
      <c r="D26" s="39"/>
      <c r="E26" s="39"/>
      <c r="F26" s="39">
        <v>2</v>
      </c>
      <c r="G26" s="39">
        <v>1</v>
      </c>
      <c r="H26" s="39">
        <v>1</v>
      </c>
      <c r="L26">
        <v>24</v>
      </c>
    </row>
    <row r="27" spans="2:12" x14ac:dyDescent="0.25">
      <c r="B27" s="40" t="s">
        <v>16</v>
      </c>
      <c r="C27" s="41"/>
      <c r="D27" s="41">
        <v>1</v>
      </c>
      <c r="E27" s="41"/>
      <c r="F27" s="41"/>
      <c r="G27" s="41">
        <v>1</v>
      </c>
      <c r="H27" s="41"/>
      <c r="L27">
        <v>25</v>
      </c>
    </row>
    <row r="28" spans="2:12" x14ac:dyDescent="0.25">
      <c r="B28" s="38" t="s">
        <v>17</v>
      </c>
      <c r="C28" s="39"/>
      <c r="D28" s="39"/>
      <c r="E28" s="39">
        <v>5</v>
      </c>
      <c r="F28" s="39"/>
      <c r="G28" s="39">
        <v>5</v>
      </c>
      <c r="H28" s="39">
        <v>10</v>
      </c>
      <c r="L28">
        <v>26</v>
      </c>
    </row>
    <row r="29" spans="2:12" x14ac:dyDescent="0.25">
      <c r="C29">
        <f>C24*G3*F3</f>
        <v>1000</v>
      </c>
      <c r="D29">
        <f>(D25*G4*F4)+(D27*G6*F6)</f>
        <v>1000</v>
      </c>
      <c r="E29">
        <f>(E25*G4*F4)+(E28*G7*F7)</f>
        <v>1200</v>
      </c>
      <c r="F29">
        <f>F26*G5*F5</f>
        <v>1000</v>
      </c>
      <c r="G29">
        <f>(G26*G5*F5)+(G27*G6*F6)+(G28*G7*F7)</f>
        <v>1300</v>
      </c>
      <c r="H29">
        <f>(H26*G5*F5)+(H28*G7*F7)</f>
        <v>1500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582BA-383F-47D3-8480-5088EC096D30}">
  <dimension ref="B1:S25"/>
  <sheetViews>
    <sheetView workbookViewId="0">
      <selection activeCell="P25" sqref="P24:Q25"/>
    </sheetView>
  </sheetViews>
  <sheetFormatPr defaultRowHeight="15" x14ac:dyDescent="0.25"/>
  <sheetData>
    <row r="1" spans="2:19" x14ac:dyDescent="0.25">
      <c r="D1">
        <v>38</v>
      </c>
      <c r="E1">
        <v>44</v>
      </c>
      <c r="F1">
        <v>119</v>
      </c>
      <c r="G1">
        <v>35</v>
      </c>
      <c r="H1">
        <v>54</v>
      </c>
      <c r="J1">
        <v>2</v>
      </c>
      <c r="K1">
        <v>5</v>
      </c>
    </row>
    <row r="2" spans="2:19" x14ac:dyDescent="0.25">
      <c r="J2" t="s">
        <v>58</v>
      </c>
      <c r="K2" t="s">
        <v>67</v>
      </c>
    </row>
    <row r="3" spans="2:19" x14ac:dyDescent="0.25">
      <c r="B3" s="42"/>
      <c r="C3" s="42"/>
      <c r="D3" s="42"/>
      <c r="E3" s="42"/>
      <c r="F3" s="42"/>
      <c r="G3" s="42" t="s">
        <v>68</v>
      </c>
      <c r="H3" s="42"/>
      <c r="I3" s="42"/>
      <c r="J3" s="42"/>
      <c r="K3" s="42"/>
      <c r="L3" s="42"/>
      <c r="N3" s="21" t="s">
        <v>2</v>
      </c>
      <c r="O3" s="24" t="s">
        <v>3</v>
      </c>
      <c r="P3" s="24" t="s">
        <v>50</v>
      </c>
      <c r="Q3" s="24" t="s">
        <v>51</v>
      </c>
      <c r="R3" s="24" t="s">
        <v>52</v>
      </c>
      <c r="S3" s="24" t="s">
        <v>53</v>
      </c>
    </row>
    <row r="4" spans="2:19" x14ac:dyDescent="0.25">
      <c r="B4" s="45" t="s">
        <v>69</v>
      </c>
      <c r="N4" s="25" t="s">
        <v>13</v>
      </c>
      <c r="O4" s="25">
        <v>2000</v>
      </c>
      <c r="P4" s="25">
        <v>2000</v>
      </c>
      <c r="Q4" s="25">
        <v>2000</v>
      </c>
      <c r="R4" s="25">
        <v>100</v>
      </c>
      <c r="S4" s="34">
        <v>10</v>
      </c>
    </row>
    <row r="5" spans="2:19" x14ac:dyDescent="0.25">
      <c r="B5" s="43" t="s">
        <v>70</v>
      </c>
      <c r="N5" s="26" t="s">
        <v>14</v>
      </c>
      <c r="O5" s="26">
        <v>1500</v>
      </c>
      <c r="P5" s="26">
        <v>1500</v>
      </c>
      <c r="Q5" s="26">
        <v>1500</v>
      </c>
      <c r="R5" s="26">
        <v>100</v>
      </c>
      <c r="S5" s="35">
        <v>7</v>
      </c>
    </row>
    <row r="6" spans="2:19" x14ac:dyDescent="0.25">
      <c r="B6" s="45" t="s">
        <v>71</v>
      </c>
      <c r="N6" s="27" t="s">
        <v>15</v>
      </c>
      <c r="O6" s="27">
        <v>1000</v>
      </c>
      <c r="P6" s="27">
        <v>1000</v>
      </c>
      <c r="Q6" s="27">
        <v>1000</v>
      </c>
      <c r="R6" s="27">
        <v>100</v>
      </c>
      <c r="S6" s="34">
        <v>5</v>
      </c>
    </row>
    <row r="7" spans="2:19" x14ac:dyDescent="0.25">
      <c r="B7" s="6" t="s">
        <v>72</v>
      </c>
      <c r="N7" s="26" t="s">
        <v>16</v>
      </c>
      <c r="O7" s="26">
        <v>500</v>
      </c>
      <c r="P7" s="26">
        <v>500</v>
      </c>
      <c r="Q7" s="26">
        <v>500</v>
      </c>
      <c r="R7" s="26">
        <v>100</v>
      </c>
      <c r="S7" s="35">
        <v>3</v>
      </c>
    </row>
    <row r="8" spans="2:19" x14ac:dyDescent="0.25">
      <c r="G8" s="6" t="s">
        <v>13</v>
      </c>
      <c r="N8" s="27" t="s">
        <v>17</v>
      </c>
      <c r="O8" s="27">
        <v>100</v>
      </c>
      <c r="P8" s="27">
        <v>100</v>
      </c>
      <c r="Q8" s="27">
        <v>100</v>
      </c>
      <c r="R8" s="27">
        <v>100</v>
      </c>
      <c r="S8" s="34">
        <v>1</v>
      </c>
    </row>
    <row r="10" spans="2:19" x14ac:dyDescent="0.25">
      <c r="N10" s="19" t="s">
        <v>57</v>
      </c>
      <c r="O10" s="19" t="s">
        <v>58</v>
      </c>
      <c r="P10" s="19" t="s">
        <v>59</v>
      </c>
      <c r="Q10" s="19" t="s">
        <v>60</v>
      </c>
      <c r="R10" s="19" t="s">
        <v>61</v>
      </c>
    </row>
    <row r="15" spans="2:19" x14ac:dyDescent="0.25">
      <c r="C15" s="44" t="s">
        <v>17</v>
      </c>
      <c r="E15" s="44" t="s">
        <v>17</v>
      </c>
      <c r="G15" s="6" t="s">
        <v>15</v>
      </c>
      <c r="I15" s="44" t="s">
        <v>17</v>
      </c>
      <c r="K15" s="44" t="s">
        <v>17</v>
      </c>
    </row>
    <row r="16" spans="2:19" x14ac:dyDescent="0.25">
      <c r="P16">
        <f ca="1">RANDBETWEEN(0,123)</f>
        <v>43</v>
      </c>
    </row>
    <row r="17" spans="2:16" x14ac:dyDescent="0.25">
      <c r="P17" s="46">
        <f ca="1">RANDBETWEEN(0,6)</f>
        <v>5</v>
      </c>
    </row>
    <row r="18" spans="2:16" x14ac:dyDescent="0.25">
      <c r="C18" s="44" t="s">
        <v>17</v>
      </c>
      <c r="E18" s="44" t="s">
        <v>17</v>
      </c>
      <c r="I18" s="44" t="s">
        <v>17</v>
      </c>
      <c r="K18" s="44" t="s">
        <v>17</v>
      </c>
      <c r="L18" s="6" t="s">
        <v>72</v>
      </c>
    </row>
    <row r="19" spans="2:16" x14ac:dyDescent="0.25">
      <c r="L19" s="45" t="s">
        <v>71</v>
      </c>
    </row>
    <row r="20" spans="2:16" x14ac:dyDescent="0.25">
      <c r="E20" s="44" t="s">
        <v>17</v>
      </c>
      <c r="I20" s="44" t="s">
        <v>17</v>
      </c>
      <c r="L20" s="43" t="s">
        <v>70</v>
      </c>
    </row>
    <row r="21" spans="2:16" x14ac:dyDescent="0.25">
      <c r="L21" s="45" t="s">
        <v>69</v>
      </c>
    </row>
    <row r="22" spans="2:16" x14ac:dyDescent="0.25">
      <c r="B22" s="2"/>
      <c r="C22" s="2"/>
      <c r="D22" s="2"/>
      <c r="E22" s="2"/>
      <c r="F22" s="2"/>
      <c r="G22" s="2" t="s">
        <v>73</v>
      </c>
      <c r="H22" s="2"/>
      <c r="I22" s="2"/>
      <c r="J22" s="2"/>
      <c r="K22" s="2"/>
      <c r="L22" s="2"/>
    </row>
    <row r="24" spans="2:16" x14ac:dyDescent="0.25">
      <c r="E24">
        <v>64</v>
      </c>
      <c r="F24">
        <v>114</v>
      </c>
      <c r="G24">
        <v>118</v>
      </c>
      <c r="H24">
        <v>73</v>
      </c>
      <c r="I24">
        <v>80</v>
      </c>
      <c r="K24">
        <v>2</v>
      </c>
      <c r="L24">
        <v>5</v>
      </c>
    </row>
    <row r="25" spans="2:16" x14ac:dyDescent="0.25">
      <c r="K25" t="s">
        <v>58</v>
      </c>
      <c r="L25"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C53A5-8F19-4711-93EA-0F4CBD261EC8}">
  <dimension ref="B2:B77"/>
  <sheetViews>
    <sheetView topLeftCell="A51" workbookViewId="0">
      <selection activeCell="L67" sqref="L67"/>
    </sheetView>
  </sheetViews>
  <sheetFormatPr defaultRowHeight="15" x14ac:dyDescent="0.25"/>
  <cols>
    <col min="2" max="2" width="11.7109375" bestFit="1" customWidth="1"/>
  </cols>
  <sheetData>
    <row r="2" spans="2:2" x14ac:dyDescent="0.25">
      <c r="B2" s="21" t="s">
        <v>74</v>
      </c>
    </row>
    <row r="3" spans="2:2" x14ac:dyDescent="0.25">
      <c r="B3" s="3" t="s">
        <v>75</v>
      </c>
    </row>
    <row r="4" spans="2:2" x14ac:dyDescent="0.25">
      <c r="B4" t="s">
        <v>76</v>
      </c>
    </row>
    <row r="5" spans="2:2" x14ac:dyDescent="0.25">
      <c r="B5" t="s">
        <v>77</v>
      </c>
    </row>
    <row r="6" spans="2:2" x14ac:dyDescent="0.25">
      <c r="B6" t="s">
        <v>78</v>
      </c>
    </row>
    <row r="7" spans="2:2" x14ac:dyDescent="0.25">
      <c r="B7" t="s">
        <v>79</v>
      </c>
    </row>
    <row r="8" spans="2:2" x14ac:dyDescent="0.25">
      <c r="B8" t="s">
        <v>80</v>
      </c>
    </row>
    <row r="9" spans="2:2" x14ac:dyDescent="0.25">
      <c r="B9" t="s">
        <v>81</v>
      </c>
    </row>
    <row r="10" spans="2:2" x14ac:dyDescent="0.25">
      <c r="B10" t="s">
        <v>82</v>
      </c>
    </row>
    <row r="11" spans="2:2" x14ac:dyDescent="0.25">
      <c r="B11" t="s">
        <v>83</v>
      </c>
    </row>
    <row r="13" spans="2:2" x14ac:dyDescent="0.25">
      <c r="B13" s="3" t="s">
        <v>84</v>
      </c>
    </row>
    <row r="14" spans="2:2" x14ac:dyDescent="0.25">
      <c r="B14" t="s">
        <v>85</v>
      </c>
    </row>
    <row r="15" spans="2:2" x14ac:dyDescent="0.25">
      <c r="B15" t="s">
        <v>86</v>
      </c>
    </row>
    <row r="17" spans="2:2" x14ac:dyDescent="0.25">
      <c r="B17" s="3" t="s">
        <v>87</v>
      </c>
    </row>
    <row r="18" spans="2:2" x14ac:dyDescent="0.25">
      <c r="B18" t="s">
        <v>88</v>
      </c>
    </row>
    <row r="19" spans="2:2" x14ac:dyDescent="0.25">
      <c r="B19" t="s">
        <v>89</v>
      </c>
    </row>
    <row r="20" spans="2:2" x14ac:dyDescent="0.25">
      <c r="B20" t="s">
        <v>90</v>
      </c>
    </row>
    <row r="21" spans="2:2" x14ac:dyDescent="0.25">
      <c r="B21" t="s">
        <v>91</v>
      </c>
    </row>
    <row r="22" spans="2:2" x14ac:dyDescent="0.25">
      <c r="B22" t="s">
        <v>92</v>
      </c>
    </row>
    <row r="24" spans="2:2" x14ac:dyDescent="0.25">
      <c r="B24" s="3" t="s">
        <v>93</v>
      </c>
    </row>
    <row r="25" spans="2:2" x14ac:dyDescent="0.25">
      <c r="B25" t="s">
        <v>94</v>
      </c>
    </row>
    <row r="26" spans="2:2" x14ac:dyDescent="0.25">
      <c r="B26" t="s">
        <v>95</v>
      </c>
    </row>
    <row r="28" spans="2:2" x14ac:dyDescent="0.25">
      <c r="B28" s="3" t="s">
        <v>96</v>
      </c>
    </row>
    <row r="29" spans="2:2" x14ac:dyDescent="0.25">
      <c r="B29" t="s">
        <v>97</v>
      </c>
    </row>
    <row r="30" spans="2:2" x14ac:dyDescent="0.25">
      <c r="B30" t="s">
        <v>98</v>
      </c>
    </row>
    <row r="32" spans="2:2" x14ac:dyDescent="0.25">
      <c r="B32" s="3" t="s">
        <v>99</v>
      </c>
    </row>
    <row r="33" spans="2:2" x14ac:dyDescent="0.25">
      <c r="B33" t="s">
        <v>100</v>
      </c>
    </row>
    <row r="35" spans="2:2" x14ac:dyDescent="0.25">
      <c r="B35" s="3" t="s">
        <v>101</v>
      </c>
    </row>
    <row r="36" spans="2:2" x14ac:dyDescent="0.25">
      <c r="B36" t="s">
        <v>102</v>
      </c>
    </row>
    <row r="37" spans="2:2" x14ac:dyDescent="0.25">
      <c r="B37" t="s">
        <v>103</v>
      </c>
    </row>
    <row r="39" spans="2:2" x14ac:dyDescent="0.25">
      <c r="B39" s="3" t="s">
        <v>104</v>
      </c>
    </row>
    <row r="40" spans="2:2" x14ac:dyDescent="0.25">
      <c r="B40" t="s">
        <v>105</v>
      </c>
    </row>
    <row r="41" spans="2:2" x14ac:dyDescent="0.25">
      <c r="B41" t="s">
        <v>106</v>
      </c>
    </row>
    <row r="42" spans="2:2" x14ac:dyDescent="0.25">
      <c r="B42" t="s">
        <v>107</v>
      </c>
    </row>
    <row r="43" spans="2:2" x14ac:dyDescent="0.25">
      <c r="B43" t="s">
        <v>108</v>
      </c>
    </row>
    <row r="44" spans="2:2" x14ac:dyDescent="0.25">
      <c r="B44" t="s">
        <v>109</v>
      </c>
    </row>
    <row r="45" spans="2:2" x14ac:dyDescent="0.25">
      <c r="B45" t="s">
        <v>110</v>
      </c>
    </row>
    <row r="46" spans="2:2" x14ac:dyDescent="0.25">
      <c r="B46" t="s">
        <v>111</v>
      </c>
    </row>
    <row r="47" spans="2:2" x14ac:dyDescent="0.25">
      <c r="B47" t="s">
        <v>112</v>
      </c>
    </row>
    <row r="48" spans="2:2" x14ac:dyDescent="0.25">
      <c r="B48" t="s">
        <v>113</v>
      </c>
    </row>
    <row r="49" spans="2:2" x14ac:dyDescent="0.25">
      <c r="B49" t="s">
        <v>114</v>
      </c>
    </row>
    <row r="50" spans="2:2" x14ac:dyDescent="0.25">
      <c r="B50" t="s">
        <v>115</v>
      </c>
    </row>
    <row r="52" spans="2:2" x14ac:dyDescent="0.25">
      <c r="B52" s="3" t="s">
        <v>116</v>
      </c>
    </row>
    <row r="53" spans="2:2" x14ac:dyDescent="0.25">
      <c r="B53" t="s">
        <v>117</v>
      </c>
    </row>
    <row r="54" spans="2:2" x14ac:dyDescent="0.25">
      <c r="B54" t="s">
        <v>118</v>
      </c>
    </row>
    <row r="55" spans="2:2" x14ac:dyDescent="0.25">
      <c r="B55" t="s">
        <v>119</v>
      </c>
    </row>
    <row r="56" spans="2:2" x14ac:dyDescent="0.25">
      <c r="B56" t="s">
        <v>120</v>
      </c>
    </row>
    <row r="57" spans="2:2" x14ac:dyDescent="0.25">
      <c r="B57" t="s">
        <v>121</v>
      </c>
    </row>
    <row r="58" spans="2:2" x14ac:dyDescent="0.25">
      <c r="B58" t="s">
        <v>122</v>
      </c>
    </row>
    <row r="59" spans="2:2" x14ac:dyDescent="0.25">
      <c r="B59" t="s">
        <v>123</v>
      </c>
    </row>
    <row r="60" spans="2:2" x14ac:dyDescent="0.25">
      <c r="B60" t="s">
        <v>124</v>
      </c>
    </row>
    <row r="62" spans="2:2" x14ac:dyDescent="0.25">
      <c r="B62" s="3" t="s">
        <v>125</v>
      </c>
    </row>
    <row r="63" spans="2:2" x14ac:dyDescent="0.25">
      <c r="B63" t="s">
        <v>126</v>
      </c>
    </row>
    <row r="64" spans="2:2" x14ac:dyDescent="0.25">
      <c r="B64" t="s">
        <v>127</v>
      </c>
    </row>
    <row r="65" spans="2:2" x14ac:dyDescent="0.25">
      <c r="B65" t="s">
        <v>128</v>
      </c>
    </row>
    <row r="67" spans="2:2" x14ac:dyDescent="0.25">
      <c r="B67" s="3" t="s">
        <v>129</v>
      </c>
    </row>
    <row r="68" spans="2:2" x14ac:dyDescent="0.25">
      <c r="B68" t="s">
        <v>130</v>
      </c>
    </row>
    <row r="70" spans="2:2" x14ac:dyDescent="0.25">
      <c r="B70" s="3" t="s">
        <v>131</v>
      </c>
    </row>
    <row r="71" spans="2:2" x14ac:dyDescent="0.25">
      <c r="B71" t="s">
        <v>132</v>
      </c>
    </row>
    <row r="72" spans="2:2" x14ac:dyDescent="0.25">
      <c r="B72" t="s">
        <v>133</v>
      </c>
    </row>
    <row r="73" spans="2:2" x14ac:dyDescent="0.25">
      <c r="B73" t="s">
        <v>134</v>
      </c>
    </row>
    <row r="74" spans="2:2" x14ac:dyDescent="0.25">
      <c r="B74" t="s">
        <v>135</v>
      </c>
    </row>
    <row r="75" spans="2:2" x14ac:dyDescent="0.25">
      <c r="B75" t="s">
        <v>136</v>
      </c>
    </row>
    <row r="76" spans="2:2" x14ac:dyDescent="0.25">
      <c r="B76" t="s">
        <v>137</v>
      </c>
    </row>
    <row r="77" spans="2:2" x14ac:dyDescent="0.25">
      <c r="B77" t="s">
        <v>138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6CF9E-E144-48D8-959F-618B8D85D284}">
  <dimension ref="B2:B11"/>
  <sheetViews>
    <sheetView workbookViewId="0">
      <selection activeCell="J14" sqref="J14"/>
    </sheetView>
  </sheetViews>
  <sheetFormatPr defaultRowHeight="15" x14ac:dyDescent="0.25"/>
  <sheetData>
    <row r="2" spans="2:2" x14ac:dyDescent="0.25">
      <c r="B2" t="s">
        <v>139</v>
      </c>
    </row>
    <row r="3" spans="2:2" x14ac:dyDescent="0.25">
      <c r="B3" t="s">
        <v>140</v>
      </c>
    </row>
    <row r="4" spans="2:2" x14ac:dyDescent="0.25">
      <c r="B4" t="s">
        <v>141</v>
      </c>
    </row>
    <row r="5" spans="2:2" x14ac:dyDescent="0.25">
      <c r="B5" t="s">
        <v>142</v>
      </c>
    </row>
    <row r="6" spans="2:2" x14ac:dyDescent="0.25">
      <c r="B6" t="s">
        <v>143</v>
      </c>
    </row>
    <row r="7" spans="2:2" x14ac:dyDescent="0.25">
      <c r="B7" t="s">
        <v>144</v>
      </c>
    </row>
    <row r="8" spans="2:2" x14ac:dyDescent="0.25">
      <c r="B8" t="s">
        <v>145</v>
      </c>
    </row>
    <row r="9" spans="2:2" x14ac:dyDescent="0.25">
      <c r="B9" t="s">
        <v>146</v>
      </c>
    </row>
    <row r="10" spans="2:2" x14ac:dyDescent="0.25">
      <c r="B10" t="s">
        <v>147</v>
      </c>
    </row>
    <row r="11" spans="2:2" x14ac:dyDescent="0.25">
      <c r="B11" t="s">
        <v>148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F2F4-A124-44BC-8A72-4CE3F16F5D04}">
  <dimension ref="B2:D22"/>
  <sheetViews>
    <sheetView workbookViewId="0">
      <selection activeCell="G6" sqref="G6"/>
    </sheetView>
  </sheetViews>
  <sheetFormatPr defaultRowHeight="15" x14ac:dyDescent="0.25"/>
  <cols>
    <col min="2" max="2" width="18.28515625" bestFit="1" customWidth="1"/>
    <col min="3" max="3" width="29.42578125" customWidth="1"/>
    <col min="4" max="4" width="27.28515625" customWidth="1"/>
  </cols>
  <sheetData>
    <row r="2" spans="2:4" x14ac:dyDescent="0.25">
      <c r="B2" s="32" t="s">
        <v>149</v>
      </c>
      <c r="C2" s="32" t="s">
        <v>150</v>
      </c>
      <c r="D2" s="32" t="s">
        <v>151</v>
      </c>
    </row>
    <row r="3" spans="2:4" ht="106.5" customHeight="1" x14ac:dyDescent="0.25">
      <c r="B3" s="50" t="s">
        <v>152</v>
      </c>
      <c r="C3" s="48" t="s">
        <v>153</v>
      </c>
      <c r="D3" s="28" t="s">
        <v>154</v>
      </c>
    </row>
    <row r="4" spans="2:4" ht="120" x14ac:dyDescent="0.25">
      <c r="B4" s="53"/>
      <c r="C4" s="52"/>
      <c r="D4" s="29" t="s">
        <v>155</v>
      </c>
    </row>
    <row r="5" spans="2:4" ht="60" x14ac:dyDescent="0.25">
      <c r="B5" s="53"/>
      <c r="C5" s="52"/>
      <c r="D5" s="30" t="s">
        <v>156</v>
      </c>
    </row>
    <row r="6" spans="2:4" ht="75" x14ac:dyDescent="0.25">
      <c r="B6" s="53"/>
      <c r="C6" s="52"/>
      <c r="D6" s="30" t="s">
        <v>157</v>
      </c>
    </row>
    <row r="7" spans="2:4" ht="90" x14ac:dyDescent="0.25">
      <c r="B7" s="50" t="s">
        <v>158</v>
      </c>
      <c r="C7" s="48" t="s">
        <v>159</v>
      </c>
      <c r="D7" s="28" t="s">
        <v>160</v>
      </c>
    </row>
    <row r="8" spans="2:4" ht="90" x14ac:dyDescent="0.25">
      <c r="B8" s="53"/>
      <c r="C8" s="52"/>
      <c r="D8" s="30" t="s">
        <v>161</v>
      </c>
    </row>
    <row r="9" spans="2:4" ht="75" x14ac:dyDescent="0.25">
      <c r="B9" s="50" t="s">
        <v>162</v>
      </c>
      <c r="C9" s="48" t="s">
        <v>163</v>
      </c>
      <c r="D9" s="28" t="s">
        <v>164</v>
      </c>
    </row>
    <row r="10" spans="2:4" ht="30" x14ac:dyDescent="0.25">
      <c r="B10" s="51"/>
      <c r="C10" s="49"/>
      <c r="D10" s="31" t="s">
        <v>165</v>
      </c>
    </row>
    <row r="11" spans="2:4" ht="76.5" customHeight="1" x14ac:dyDescent="0.25">
      <c r="B11" s="50" t="s">
        <v>166</v>
      </c>
      <c r="C11" s="48" t="s">
        <v>167</v>
      </c>
      <c r="D11" s="28" t="s">
        <v>168</v>
      </c>
    </row>
    <row r="12" spans="2:4" ht="30" x14ac:dyDescent="0.25">
      <c r="B12" s="53"/>
      <c r="C12" s="52"/>
      <c r="D12" s="30" t="s">
        <v>169</v>
      </c>
    </row>
    <row r="13" spans="2:4" ht="45" x14ac:dyDescent="0.25">
      <c r="B13" s="50" t="s">
        <v>170</v>
      </c>
      <c r="C13" s="48" t="s">
        <v>171</v>
      </c>
      <c r="D13" s="28" t="s">
        <v>172</v>
      </c>
    </row>
    <row r="14" spans="2:4" ht="30" x14ac:dyDescent="0.25">
      <c r="B14" s="53"/>
      <c r="C14" s="52"/>
      <c r="D14" s="30" t="s">
        <v>173</v>
      </c>
    </row>
    <row r="15" spans="2:4" ht="45" x14ac:dyDescent="0.25">
      <c r="B15" s="53"/>
      <c r="C15" s="52"/>
      <c r="D15" s="30" t="s">
        <v>174</v>
      </c>
    </row>
    <row r="16" spans="2:4" ht="60" x14ac:dyDescent="0.25">
      <c r="B16" s="53"/>
      <c r="C16" s="52"/>
      <c r="D16" s="30" t="s">
        <v>175</v>
      </c>
    </row>
    <row r="17" spans="2:4" ht="45" x14ac:dyDescent="0.25">
      <c r="B17" s="50" t="s">
        <v>176</v>
      </c>
      <c r="C17" s="48" t="s">
        <v>177</v>
      </c>
      <c r="D17" s="28" t="s">
        <v>178</v>
      </c>
    </row>
    <row r="18" spans="2:4" ht="45" x14ac:dyDescent="0.25">
      <c r="B18" s="53"/>
      <c r="C18" s="52"/>
      <c r="D18" s="30" t="s">
        <v>179</v>
      </c>
    </row>
    <row r="19" spans="2:4" ht="60.75" customHeight="1" x14ac:dyDescent="0.25">
      <c r="B19" s="50" t="s">
        <v>180</v>
      </c>
      <c r="C19" s="48" t="s">
        <v>181</v>
      </c>
      <c r="D19" s="28" t="s">
        <v>182</v>
      </c>
    </row>
    <row r="20" spans="2:4" ht="30" x14ac:dyDescent="0.25">
      <c r="B20" s="53"/>
      <c r="C20" s="52"/>
      <c r="D20" s="30" t="s">
        <v>183</v>
      </c>
    </row>
    <row r="21" spans="2:4" ht="45" x14ac:dyDescent="0.25">
      <c r="B21" s="50" t="s">
        <v>184</v>
      </c>
      <c r="C21" s="48" t="s">
        <v>185</v>
      </c>
      <c r="D21" s="28" t="s">
        <v>186</v>
      </c>
    </row>
    <row r="22" spans="2:4" ht="30" x14ac:dyDescent="0.25">
      <c r="B22" s="51"/>
      <c r="C22" s="49"/>
      <c r="D22" s="31" t="s">
        <v>187</v>
      </c>
    </row>
  </sheetData>
  <mergeCells count="16">
    <mergeCell ref="C21:C22"/>
    <mergeCell ref="B21:B22"/>
    <mergeCell ref="C19:C20"/>
    <mergeCell ref="B19:B20"/>
    <mergeCell ref="B3:B6"/>
    <mergeCell ref="C3:C6"/>
    <mergeCell ref="B7:B8"/>
    <mergeCell ref="C7:C8"/>
    <mergeCell ref="B11:B12"/>
    <mergeCell ref="C11:C12"/>
    <mergeCell ref="C9:C10"/>
    <mergeCell ref="B9:B10"/>
    <mergeCell ref="C13:C16"/>
    <mergeCell ref="B13:B16"/>
    <mergeCell ref="C17:C18"/>
    <mergeCell ref="B17:B1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19"/>
  <sheetViews>
    <sheetView workbookViewId="0">
      <selection activeCell="D5" sqref="D5"/>
    </sheetView>
  </sheetViews>
  <sheetFormatPr defaultRowHeight="15" x14ac:dyDescent="0.25"/>
  <cols>
    <col min="1" max="1" width="12.140625" bestFit="1" customWidth="1"/>
    <col min="4" max="4" width="10.5703125" bestFit="1" customWidth="1"/>
    <col min="6" max="6" width="12.140625" bestFit="1" customWidth="1"/>
    <col min="9" max="9" width="9.5703125" customWidth="1"/>
    <col min="10" max="10" width="12.7109375" customWidth="1"/>
    <col min="11" max="11" width="9.85546875" customWidth="1"/>
  </cols>
  <sheetData>
    <row r="2" spans="1:19" x14ac:dyDescent="0.25">
      <c r="A2" s="47" t="s">
        <v>188</v>
      </c>
      <c r="B2" s="47"/>
      <c r="C2" s="47"/>
      <c r="F2" s="47" t="s">
        <v>189</v>
      </c>
      <c r="G2" s="47"/>
      <c r="H2" s="47"/>
    </row>
    <row r="3" spans="1:19" x14ac:dyDescent="0.25">
      <c r="A3" t="s">
        <v>190</v>
      </c>
      <c r="B3" s="1" t="s">
        <v>21</v>
      </c>
      <c r="F3" t="s">
        <v>190</v>
      </c>
      <c r="G3" s="1" t="s">
        <v>26</v>
      </c>
    </row>
    <row r="4" spans="1:19" x14ac:dyDescent="0.25">
      <c r="A4" t="s">
        <v>3</v>
      </c>
      <c r="B4">
        <f>INDEX(TblCombinedAdjFltValues[[#Totals],[A]:[F]],MATCH(Comparison!$B$3,TblCombinedAdjFltValues[[#Headers],[A]:[F]]))</f>
        <v>7000</v>
      </c>
      <c r="F4" t="s">
        <v>3</v>
      </c>
      <c r="G4">
        <f>INDEX(TblCombinedAdjFltValues[[#Totals],[A]:[F]],MATCH(Comparison!$G$3,TblCombinedAdjFltValues[[#Headers],[A]:[F]]))</f>
        <v>9500</v>
      </c>
    </row>
    <row r="5" spans="1:19" x14ac:dyDescent="0.25">
      <c r="A5" t="s">
        <v>191</v>
      </c>
      <c r="B5">
        <f>SUM(C10:C14)</f>
        <v>5000</v>
      </c>
      <c r="F5" t="s">
        <v>191</v>
      </c>
      <c r="G5">
        <f>SUM(H10:H14)</f>
        <v>7500</v>
      </c>
    </row>
    <row r="6" spans="1:19" x14ac:dyDescent="0.25">
      <c r="A6" t="s">
        <v>192</v>
      </c>
      <c r="B6">
        <f>SUM(C17:C19)</f>
        <v>2000</v>
      </c>
      <c r="F6" t="s">
        <v>192</v>
      </c>
      <c r="G6">
        <f>SUM(H17:H19)</f>
        <v>2000</v>
      </c>
    </row>
    <row r="7" spans="1:19" x14ac:dyDescent="0.25">
      <c r="C7" s="17"/>
      <c r="H7" s="17"/>
    </row>
    <row r="8" spans="1:19" x14ac:dyDescent="0.25">
      <c r="C8" s="17"/>
      <c r="H8" s="17"/>
      <c r="Q8" s="3"/>
      <c r="S8" s="3"/>
    </row>
    <row r="9" spans="1:19" x14ac:dyDescent="0.25">
      <c r="A9" s="17" t="s">
        <v>2</v>
      </c>
      <c r="B9" s="17" t="s">
        <v>193</v>
      </c>
      <c r="C9" s="17" t="s">
        <v>3</v>
      </c>
      <c r="F9" s="17" t="s">
        <v>2</v>
      </c>
      <c r="G9" s="17" t="s">
        <v>193</v>
      </c>
      <c r="H9" s="17" t="s">
        <v>3</v>
      </c>
      <c r="I9" s="1"/>
      <c r="J9" s="1"/>
      <c r="K9" s="1"/>
      <c r="L9" s="1"/>
      <c r="M9" s="1"/>
      <c r="N9" s="1"/>
      <c r="O9" s="1"/>
      <c r="P9" s="1"/>
      <c r="Q9" s="7"/>
      <c r="R9" s="1"/>
      <c r="S9" s="7"/>
    </row>
    <row r="10" spans="1:19" x14ac:dyDescent="0.25">
      <c r="A10" s="17" t="s">
        <v>13</v>
      </c>
      <c r="B10" s="18">
        <f>INDEX(TblBattlefieldFlt[[A]:[F]],MATCH($A10,TblBattlefieldFlt[Option],0),MATCH($B$3,TblBattlefieldFlt[[#Headers],[A]:[F]],0))</f>
        <v>1</v>
      </c>
      <c r="C10" s="17">
        <f>INDEX(TblShipPoints[Points],MATCH(A10,TblShipPoints[Ships],0))*B10</f>
        <v>5000</v>
      </c>
      <c r="F10" s="17" t="s">
        <v>13</v>
      </c>
      <c r="G10" s="18">
        <f>INDEX(TblBattlefieldFlt[[A]:[F]],MATCH($F10,TblBattlefieldFlt[Option],0),MATCH($G$3,TblBattlefieldFlt[[#Headers],[A]:[F]],0))</f>
        <v>0</v>
      </c>
      <c r="H10" s="17">
        <f>INDEX(TblShipPoints[Points],MATCH(F10,TblShipPoints[Ships],0))*G10</f>
        <v>0</v>
      </c>
      <c r="I10" s="1"/>
      <c r="J10" s="1"/>
      <c r="K10" s="1"/>
      <c r="L10" s="1"/>
      <c r="M10" s="1"/>
      <c r="N10" s="1"/>
      <c r="O10" s="1"/>
      <c r="P10" s="1"/>
      <c r="Q10" s="7"/>
      <c r="R10" s="1"/>
      <c r="S10" s="7"/>
    </row>
    <row r="11" spans="1:19" x14ac:dyDescent="0.25">
      <c r="A11" s="17" t="s">
        <v>14</v>
      </c>
      <c r="B11" s="18">
        <f>INDEX(TblBattlefieldFlt[[A]:[F]],MATCH($A11,TblBattlefieldFlt[Option],0),MATCH($B$3,TblBattlefieldFlt[[#Headers],[A]:[F]],0))</f>
        <v>0</v>
      </c>
      <c r="C11" s="17">
        <f>INDEX(TblShipPoints[Points],MATCH(A11,TblShipPoints[Ships],0))*B11</f>
        <v>0</v>
      </c>
      <c r="D11" s="17"/>
      <c r="E11" s="17"/>
      <c r="F11" s="17" t="s">
        <v>14</v>
      </c>
      <c r="G11" s="18">
        <f>INDEX(TblBattlefieldFlt[[A]:[F]],MATCH($F11,TblBattlefieldFlt[Option],0),MATCH($G$3,TblBattlefieldFlt[[#Headers],[A]:[F]],0))</f>
        <v>0</v>
      </c>
      <c r="H11" s="17">
        <f>INDEX(TblShipPoints[Points],MATCH(F11,TblShipPoints[Ships],0))*G11</f>
        <v>0</v>
      </c>
      <c r="I11" s="1"/>
      <c r="J11" s="1"/>
      <c r="K11" s="1"/>
      <c r="L11" s="1"/>
      <c r="M11" s="1"/>
      <c r="N11" s="1"/>
      <c r="O11" s="1"/>
      <c r="P11" s="1"/>
      <c r="Q11" s="7"/>
      <c r="R11" s="1"/>
      <c r="S11" s="7"/>
    </row>
    <row r="12" spans="1:19" x14ac:dyDescent="0.25">
      <c r="A12" s="17" t="s">
        <v>15</v>
      </c>
      <c r="B12" s="18">
        <f>INDEX(TblBattlefieldFlt[[A]:[F]],MATCH($A12,TblBattlefieldFlt[Option],0),MATCH($B$3,TblBattlefieldFlt[[#Headers],[A]:[F]],0))</f>
        <v>0</v>
      </c>
      <c r="C12" s="17">
        <f>INDEX(TblShipPoints[Points],MATCH(A12,TblShipPoints[Ships],0))*B12</f>
        <v>0</v>
      </c>
      <c r="D12" s="17"/>
      <c r="E12" s="17"/>
      <c r="F12" s="17" t="s">
        <v>15</v>
      </c>
      <c r="G12" s="18">
        <f>INDEX(TblBattlefieldFlt[[A]:[F]],MATCH($F12,TblBattlefieldFlt[Option],0),MATCH($G$3,TblBattlefieldFlt[[#Headers],[A]:[F]],0))</f>
        <v>1</v>
      </c>
      <c r="H12" s="17">
        <f>INDEX(TblShipPoints[Points],MATCH(F12,TblShipPoints[Ships],0))*G12</f>
        <v>2500</v>
      </c>
      <c r="I12" s="1"/>
      <c r="J12" s="1"/>
      <c r="K12" s="1"/>
      <c r="L12" s="1"/>
      <c r="M12" s="1"/>
      <c r="N12" s="1"/>
      <c r="O12" s="1"/>
      <c r="P12" s="1"/>
      <c r="Q12" s="7"/>
      <c r="R12" s="1"/>
      <c r="S12" s="7"/>
    </row>
    <row r="13" spans="1:19" x14ac:dyDescent="0.25">
      <c r="A13" s="17" t="s">
        <v>16</v>
      </c>
      <c r="B13" s="18">
        <f>INDEX(TblBattlefieldFlt[[A]:[F]],MATCH($A13,TblBattlefieldFlt[Option],0),MATCH($B$3,TblBattlefieldFlt[[#Headers],[A]:[F]],0))</f>
        <v>0</v>
      </c>
      <c r="C13" s="17">
        <f>INDEX(TblShipPoints[Points],MATCH(A13,TblShipPoints[Ships],0))*B13</f>
        <v>0</v>
      </c>
      <c r="F13" s="17" t="s">
        <v>16</v>
      </c>
      <c r="G13" s="18">
        <f>INDEX(TblBattlefieldFlt[[A]:[F]],MATCH($F13,TblBattlefieldFlt[Option],0),MATCH($G$3,TblBattlefieldFlt[[#Headers],[A]:[F]],0))</f>
        <v>0</v>
      </c>
      <c r="H13" s="17">
        <f>INDEX(TblShipPoints[Points],MATCH(F13,TblShipPoints[Ships],0))*G13</f>
        <v>0</v>
      </c>
      <c r="I13" s="1"/>
      <c r="J13" s="1"/>
      <c r="K13" s="1"/>
      <c r="L13" s="1"/>
      <c r="M13" s="1"/>
      <c r="N13" s="1"/>
      <c r="O13" s="1"/>
      <c r="P13" s="1"/>
      <c r="Q13" s="7"/>
      <c r="R13" s="1"/>
      <c r="S13" s="7"/>
    </row>
    <row r="14" spans="1:19" x14ac:dyDescent="0.25">
      <c r="A14" s="17" t="s">
        <v>17</v>
      </c>
      <c r="B14" s="18">
        <f>INDEX(TblBattlefieldFlt[[A]:[F]],MATCH($A14,TblBattlefieldFlt[Option],0),MATCH($B$3,TblBattlefieldFlt[[#Headers],[A]:[F]],0))</f>
        <v>0</v>
      </c>
      <c r="C14" s="17">
        <f>INDEX(TblShipPoints[Points],MATCH(A14,TblShipPoints[Ships],0))*B14</f>
        <v>0</v>
      </c>
      <c r="F14" s="17" t="s">
        <v>17</v>
      </c>
      <c r="G14" s="18">
        <f>INDEX(TblBattlefieldFlt[[A]:[F]],MATCH($F14,TblBattlefieldFlt[Option],0),MATCH($G$3,TblBattlefieldFlt[[#Headers],[A]:[F]],0))</f>
        <v>10</v>
      </c>
      <c r="H14" s="17">
        <f>INDEX(TblShipPoints[Points],MATCH(F14,TblShipPoints[Ships],0))*G14</f>
        <v>5000</v>
      </c>
    </row>
    <row r="16" spans="1:19" x14ac:dyDescent="0.25">
      <c r="A16" s="17" t="s">
        <v>152</v>
      </c>
      <c r="B16" s="17" t="s">
        <v>193</v>
      </c>
      <c r="C16" t="s">
        <v>3</v>
      </c>
      <c r="F16" s="17" t="s">
        <v>152</v>
      </c>
      <c r="G16" s="17" t="s">
        <v>193</v>
      </c>
      <c r="H16" t="s">
        <v>3</v>
      </c>
    </row>
    <row r="17" spans="1:8" x14ac:dyDescent="0.25">
      <c r="A17" s="17" t="s">
        <v>4</v>
      </c>
      <c r="B17" s="18">
        <f>SUMPRODUCT($B$10:$B$14,TblShipCrew[Service])</f>
        <v>11</v>
      </c>
      <c r="C17">
        <f>TblRoleControlValues[Service]*B17</f>
        <v>1100</v>
      </c>
      <c r="F17" s="17" t="s">
        <v>4</v>
      </c>
      <c r="G17" s="18">
        <f>SUMPRODUCT($G$10:$G$14,TblShipCrew[Service])</f>
        <v>15</v>
      </c>
      <c r="H17">
        <f>TblRoleControlValues[Service]*G17</f>
        <v>1500</v>
      </c>
    </row>
    <row r="18" spans="1:8" x14ac:dyDescent="0.25">
      <c r="A18" s="17" t="s">
        <v>5</v>
      </c>
      <c r="B18" s="18">
        <f>SUMPRODUCT($B$10:$B$14,TblShipCrew[Lieutenant])</f>
        <v>3</v>
      </c>
      <c r="C18">
        <f>TblRoleControlValues[Lieutenant]*B18</f>
        <v>600</v>
      </c>
      <c r="F18" s="17" t="s">
        <v>5</v>
      </c>
      <c r="G18" s="18">
        <f>SUMPRODUCT($G$10:$G$14,TblShipCrew[Lieutenant])</f>
        <v>1</v>
      </c>
      <c r="H18">
        <f>TblRoleControlValues[Lieutenant]*G18</f>
        <v>200</v>
      </c>
    </row>
    <row r="19" spans="1:8" x14ac:dyDescent="0.25">
      <c r="A19" s="17" t="s">
        <v>6</v>
      </c>
      <c r="B19" s="18">
        <f>SUMPRODUCT($B$10:$B$14,TblShipCrew[Captain])</f>
        <v>1</v>
      </c>
      <c r="C19">
        <f>TblRoleControlValues[Captain]*B19</f>
        <v>300</v>
      </c>
      <c r="F19" s="17" t="s">
        <v>6</v>
      </c>
      <c r="G19" s="18">
        <f>SUMPRODUCT($G$10:$G$14,TblShipCrew[Captain])</f>
        <v>1</v>
      </c>
      <c r="H19">
        <f>TblRoleControlValues[Captain]*G19</f>
        <v>300</v>
      </c>
    </row>
  </sheetData>
  <mergeCells count="2">
    <mergeCell ref="A2:C2"/>
    <mergeCell ref="F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Values</vt:lpstr>
      <vt:lpstr>Ships and Crew Details</vt:lpstr>
      <vt:lpstr>Game Setup</vt:lpstr>
      <vt:lpstr>Game Rules and Turn Example</vt:lpstr>
      <vt:lpstr>Ideas</vt:lpstr>
      <vt:lpstr>Card Details</vt:lpstr>
      <vt:lpstr>Comparison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LMGrn</dc:creator>
  <cp:keywords/>
  <dc:description/>
  <cp:lastModifiedBy>local-user</cp:lastModifiedBy>
  <cp:revision/>
  <dcterms:created xsi:type="dcterms:W3CDTF">2023-03-22T23:58:22Z</dcterms:created>
  <dcterms:modified xsi:type="dcterms:W3CDTF">2023-04-06T16:22:52Z</dcterms:modified>
  <cp:category/>
  <cp:contentStatus/>
</cp:coreProperties>
</file>