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55" tabRatio="913" firstSheet="2" activeTab="9"/>
  </bookViews>
  <sheets>
    <sheet name="Informações Definição de CD" sheetId="10" state="hidden" r:id="rId1"/>
    <sheet name="Centro de gravidade" sheetId="18" state="hidden" r:id="rId2"/>
    <sheet name="Centro de Gravidade e Pontuação" sheetId="25" r:id="rId3"/>
    <sheet name="Plan1" sheetId="24" state="hidden" r:id="rId4"/>
    <sheet name="P-Medianas" sheetId="19" state="hidden" r:id="rId5"/>
    <sheet name="P-Centro e P-Mediana" sheetId="22" r:id="rId6"/>
    <sheet name="P-Mediana" sheetId="26" state="hidden" r:id="rId7"/>
    <sheet name="Definição da Localização" sheetId="27" r:id="rId8"/>
    <sheet name="Dimensionamento de Cargas" sheetId="28" r:id="rId9"/>
    <sheet name="Escolha das Rotas" sheetId="29" r:id="rId10"/>
    <sheet name="Gestão de Estoques" sheetId="30" r:id="rId11"/>
    <sheet name="P-Centros" sheetId="23" state="hidden" r:id="rId12"/>
    <sheet name="Centro de gravidade GABARITO" sheetId="17" state="hidden" r:id="rId13"/>
  </sheets>
  <definedNames>
    <definedName name="_xlnm._FilterDatabase" localSheetId="5" hidden="1">'P-Centro e P-Mediana'!$K$3:$M$3</definedName>
    <definedName name="_xlnm._FilterDatabase" localSheetId="6" hidden="1">'P-Mediana'!$K$2:$M$2</definedName>
    <definedName name="_xlnm._FilterDatabase" localSheetId="4" hidden="1">'P-Medianas'!$X$2:$Y$22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0" l="1"/>
  <c r="F33" i="30"/>
  <c r="C33" i="30"/>
  <c r="K31" i="30"/>
  <c r="J31" i="30"/>
  <c r="I31" i="30"/>
  <c r="H31" i="30"/>
  <c r="G31" i="30"/>
  <c r="F31" i="30"/>
  <c r="E31" i="30"/>
  <c r="D31" i="30"/>
  <c r="C31" i="30"/>
  <c r="K30" i="30"/>
  <c r="J30" i="30"/>
  <c r="I30" i="30"/>
  <c r="I35" i="30" s="1"/>
  <c r="I36" i="30" s="1"/>
  <c r="H30" i="30"/>
  <c r="H35" i="30" s="1"/>
  <c r="H36" i="30" s="1"/>
  <c r="G30" i="30"/>
  <c r="F30" i="30"/>
  <c r="E30" i="30"/>
  <c r="D30" i="30"/>
  <c r="D35" i="30" s="1"/>
  <c r="D36" i="30" s="1"/>
  <c r="C30" i="30"/>
  <c r="G9" i="30"/>
  <c r="K6" i="30" s="1"/>
  <c r="P37" i="30" s="1"/>
  <c r="E9" i="30"/>
  <c r="C9" i="30"/>
  <c r="R6" i="30" s="1"/>
  <c r="G7" i="30"/>
  <c r="E7" i="30"/>
  <c r="C7" i="30"/>
  <c r="O6" i="30"/>
  <c r="T37" i="30" s="1"/>
  <c r="Q5" i="30"/>
  <c r="P5" i="30"/>
  <c r="N5" i="30"/>
  <c r="M5" i="30"/>
  <c r="K5" i="30"/>
  <c r="J5" i="30"/>
  <c r="M4" i="25"/>
  <c r="M5" i="25"/>
  <c r="M3" i="25"/>
  <c r="K4" i="25"/>
  <c r="K5" i="25"/>
  <c r="K3" i="25"/>
  <c r="R5" i="22"/>
  <c r="S5" i="22" s="1"/>
  <c r="R6" i="22"/>
  <c r="S7" i="22" s="1"/>
  <c r="R7" i="22"/>
  <c r="R8" i="22"/>
  <c r="S8" i="22" s="1"/>
  <c r="R9" i="22"/>
  <c r="S9" i="22" s="1"/>
  <c r="R10" i="22"/>
  <c r="S10" i="22" s="1"/>
  <c r="R11" i="22"/>
  <c r="R12" i="22"/>
  <c r="S12" i="22" s="1"/>
  <c r="R4" i="22"/>
  <c r="S4" i="22" s="1"/>
  <c r="M64" i="29"/>
  <c r="G64" i="29"/>
  <c r="E64" i="29"/>
  <c r="N59" i="29"/>
  <c r="N65" i="29" s="1"/>
  <c r="M59" i="29"/>
  <c r="M65" i="29" s="1"/>
  <c r="L59" i="29"/>
  <c r="L65" i="29" s="1"/>
  <c r="K59" i="29"/>
  <c r="K65" i="29" s="1"/>
  <c r="J59" i="29"/>
  <c r="J65" i="29" s="1"/>
  <c r="I59" i="29"/>
  <c r="I65" i="29" s="1"/>
  <c r="H59" i="29"/>
  <c r="H65" i="29" s="1"/>
  <c r="G59" i="29"/>
  <c r="G65" i="29" s="1"/>
  <c r="F59" i="29"/>
  <c r="F65" i="29" s="1"/>
  <c r="E59" i="29"/>
  <c r="E65" i="29" s="1"/>
  <c r="D59" i="29"/>
  <c r="D65" i="29" s="1"/>
  <c r="C59" i="29"/>
  <c r="C65" i="29" s="1"/>
  <c r="N58" i="29"/>
  <c r="N64" i="29" s="1"/>
  <c r="M58" i="29"/>
  <c r="L58" i="29"/>
  <c r="L64" i="29" s="1"/>
  <c r="K58" i="29"/>
  <c r="K64" i="29" s="1"/>
  <c r="J58" i="29"/>
  <c r="J64" i="29" s="1"/>
  <c r="I58" i="29"/>
  <c r="I64" i="29" s="1"/>
  <c r="H58" i="29"/>
  <c r="H64" i="29" s="1"/>
  <c r="G58" i="29"/>
  <c r="F58" i="29"/>
  <c r="F64" i="29" s="1"/>
  <c r="E58" i="29"/>
  <c r="D58" i="29"/>
  <c r="D64" i="29" s="1"/>
  <c r="C58" i="29"/>
  <c r="C64" i="29" s="1"/>
  <c r="O64" i="29" s="1"/>
  <c r="N57" i="29"/>
  <c r="N63" i="29" s="1"/>
  <c r="M57" i="29"/>
  <c r="M63" i="29" s="1"/>
  <c r="L57" i="29"/>
  <c r="L63" i="29" s="1"/>
  <c r="K57" i="29"/>
  <c r="K63" i="29" s="1"/>
  <c r="J57" i="29"/>
  <c r="J63" i="29" s="1"/>
  <c r="I57" i="29"/>
  <c r="I63" i="29" s="1"/>
  <c r="H57" i="29"/>
  <c r="H63" i="29" s="1"/>
  <c r="G57" i="29"/>
  <c r="G63" i="29" s="1"/>
  <c r="F57" i="29"/>
  <c r="F63" i="29" s="1"/>
  <c r="E57" i="29"/>
  <c r="E63" i="29" s="1"/>
  <c r="D57" i="29"/>
  <c r="D63" i="29" s="1"/>
  <c r="C57" i="29"/>
  <c r="C63" i="29" s="1"/>
  <c r="D51" i="29"/>
  <c r="D50" i="29"/>
  <c r="Q48" i="29"/>
  <c r="P48" i="29"/>
  <c r="K48" i="29"/>
  <c r="J48" i="29"/>
  <c r="L48" i="29" s="1"/>
  <c r="R47" i="29"/>
  <c r="Q47" i="29"/>
  <c r="P47" i="29"/>
  <c r="K47" i="29"/>
  <c r="J47" i="29"/>
  <c r="Q46" i="29"/>
  <c r="P46" i="29"/>
  <c r="K46" i="29"/>
  <c r="J46" i="29"/>
  <c r="L46" i="29" s="1"/>
  <c r="Q45" i="29"/>
  <c r="P45" i="29"/>
  <c r="R45" i="29" s="1"/>
  <c r="K45" i="29"/>
  <c r="L45" i="29" s="1"/>
  <c r="J45" i="29"/>
  <c r="Q44" i="29"/>
  <c r="P44" i="29"/>
  <c r="R44" i="29" s="1"/>
  <c r="K44" i="29"/>
  <c r="J44" i="29"/>
  <c r="E44" i="29"/>
  <c r="D44" i="29"/>
  <c r="F44" i="29" s="1"/>
  <c r="Q43" i="29"/>
  <c r="R43" i="29" s="1"/>
  <c r="P43" i="29"/>
  <c r="K43" i="29"/>
  <c r="J43" i="29"/>
  <c r="L43" i="29" s="1"/>
  <c r="E43" i="29"/>
  <c r="D43" i="29"/>
  <c r="O35" i="29"/>
  <c r="O27" i="29"/>
  <c r="O19" i="29"/>
  <c r="O16" i="29"/>
  <c r="N16" i="29"/>
  <c r="M16" i="29"/>
  <c r="I41" i="28"/>
  <c r="H41" i="28"/>
  <c r="G41" i="28"/>
  <c r="I40" i="28"/>
  <c r="H40" i="28"/>
  <c r="G40" i="28"/>
  <c r="I39" i="28"/>
  <c r="H39" i="28"/>
  <c r="G39" i="28"/>
  <c r="I38" i="28"/>
  <c r="H38" i="28"/>
  <c r="G38" i="28"/>
  <c r="I37" i="28"/>
  <c r="H37" i="28"/>
  <c r="G37" i="28"/>
  <c r="I36" i="28"/>
  <c r="H36" i="28"/>
  <c r="G36" i="28"/>
  <c r="I35" i="28"/>
  <c r="H35" i="28"/>
  <c r="G35" i="28"/>
  <c r="I34" i="28"/>
  <c r="H34" i="28"/>
  <c r="G34" i="28"/>
  <c r="I33" i="28"/>
  <c r="H33" i="28"/>
  <c r="G33" i="28"/>
  <c r="I32" i="28"/>
  <c r="H32" i="28"/>
  <c r="G32" i="28"/>
  <c r="I31" i="28"/>
  <c r="H31" i="28"/>
  <c r="G31" i="28"/>
  <c r="I30" i="28"/>
  <c r="H30" i="28"/>
  <c r="G30" i="28"/>
  <c r="E26" i="28"/>
  <c r="E25" i="28"/>
  <c r="D24" i="28"/>
  <c r="E24" i="28" s="1"/>
  <c r="D23" i="28"/>
  <c r="E23" i="28" s="1"/>
  <c r="E20" i="28"/>
  <c r="F20" i="28" s="1"/>
  <c r="E19" i="28"/>
  <c r="F19" i="28" s="1"/>
  <c r="E18" i="28"/>
  <c r="F18" i="28" s="1"/>
  <c r="G14" i="28"/>
  <c r="G13" i="28"/>
  <c r="G12" i="28"/>
  <c r="G9" i="28"/>
  <c r="G8" i="28"/>
  <c r="G7" i="28"/>
  <c r="G6" i="28"/>
  <c r="G3" i="28"/>
  <c r="S11" i="22" l="1"/>
  <c r="L47" i="29"/>
  <c r="S6" i="22"/>
  <c r="P6" i="30"/>
  <c r="E35" i="30"/>
  <c r="E36" i="30" s="1"/>
  <c r="F43" i="29"/>
  <c r="R46" i="29"/>
  <c r="R50" i="29" s="1"/>
  <c r="N6" i="30"/>
  <c r="S37" i="30" s="1"/>
  <c r="F35" i="30"/>
  <c r="F36" i="30" s="1"/>
  <c r="J35" i="30"/>
  <c r="J36" i="30" s="1"/>
  <c r="J6" i="30"/>
  <c r="O30" i="30" s="1"/>
  <c r="O39" i="30" s="1"/>
  <c r="R49" i="29"/>
  <c r="L44" i="29"/>
  <c r="L50" i="29" s="1"/>
  <c r="R48" i="29"/>
  <c r="O63" i="29"/>
  <c r="O65" i="29"/>
  <c r="C35" i="30"/>
  <c r="C36" i="30" s="1"/>
  <c r="G35" i="30"/>
  <c r="G36" i="30" s="1"/>
  <c r="L6" i="30"/>
  <c r="Q30" i="30" s="1"/>
  <c r="Q39" i="30" s="1"/>
  <c r="Q40" i="30" s="1"/>
  <c r="W30" i="30"/>
  <c r="W39" i="30" s="1"/>
  <c r="W40" i="30" s="1"/>
  <c r="W37" i="30"/>
  <c r="P7" i="30"/>
  <c r="U31" i="30" s="1"/>
  <c r="N7" i="30"/>
  <c r="S31" i="30" s="1"/>
  <c r="J7" i="30"/>
  <c r="O31" i="30" s="1"/>
  <c r="O37" i="30"/>
  <c r="J8" i="30"/>
  <c r="O32" i="30" s="1"/>
  <c r="Q37" i="30"/>
  <c r="K7" i="30"/>
  <c r="P31" i="30" s="1"/>
  <c r="O7" i="30"/>
  <c r="T31" i="30" s="1"/>
  <c r="K35" i="30"/>
  <c r="K36" i="30" s="1"/>
  <c r="M6" i="30"/>
  <c r="Q6" i="30"/>
  <c r="P30" i="30"/>
  <c r="P39" i="30" s="1"/>
  <c r="T30" i="30"/>
  <c r="T39" i="30" s="1"/>
  <c r="T40" i="30" s="1"/>
  <c r="K8" i="30"/>
  <c r="P32" i="30" s="1"/>
  <c r="O8" i="30"/>
  <c r="T32" i="30" s="1"/>
  <c r="P40" i="30"/>
  <c r="M7" i="25"/>
  <c r="M6" i="25"/>
  <c r="L49" i="29"/>
  <c r="C35" i="25"/>
  <c r="C36" i="25"/>
  <c r="C37" i="25"/>
  <c r="C38" i="25"/>
  <c r="C39" i="25"/>
  <c r="C40" i="25"/>
  <c r="C41" i="25"/>
  <c r="C42" i="25"/>
  <c r="C34" i="25"/>
  <c r="T30" i="25"/>
  <c r="T29" i="25"/>
  <c r="T28" i="25"/>
  <c r="T27" i="25"/>
  <c r="T26" i="25"/>
  <c r="T25" i="25"/>
  <c r="R30" i="25"/>
  <c r="R29" i="25"/>
  <c r="R28" i="25"/>
  <c r="R27" i="25"/>
  <c r="R26" i="25"/>
  <c r="R25" i="25"/>
  <c r="P30" i="25"/>
  <c r="P29" i="25"/>
  <c r="P28" i="25"/>
  <c r="P27" i="25"/>
  <c r="P26" i="25"/>
  <c r="P25" i="25"/>
  <c r="N30" i="25"/>
  <c r="N29" i="25"/>
  <c r="N28" i="25"/>
  <c r="N27" i="25"/>
  <c r="N26" i="25"/>
  <c r="N25" i="25"/>
  <c r="L30" i="25"/>
  <c r="L29" i="25"/>
  <c r="L28" i="25"/>
  <c r="L27" i="25"/>
  <c r="L26" i="25"/>
  <c r="L25" i="25"/>
  <c r="J30" i="25"/>
  <c r="J29" i="25"/>
  <c r="J28" i="25"/>
  <c r="J27" i="25"/>
  <c r="J26" i="25"/>
  <c r="J25" i="25"/>
  <c r="H30" i="25"/>
  <c r="H29" i="25"/>
  <c r="H28" i="25"/>
  <c r="H27" i="25"/>
  <c r="H26" i="25"/>
  <c r="H25" i="25"/>
  <c r="F30" i="25"/>
  <c r="F29" i="25"/>
  <c r="F28" i="25"/>
  <c r="F27" i="25"/>
  <c r="F26" i="25"/>
  <c r="F25" i="25"/>
  <c r="D26" i="25"/>
  <c r="D27" i="25"/>
  <c r="D28" i="25"/>
  <c r="D29" i="25"/>
  <c r="D30" i="25"/>
  <c r="D25" i="25"/>
  <c r="L7" i="30" l="1"/>
  <c r="Q31" i="30" s="1"/>
  <c r="O40" i="30"/>
  <c r="S30" i="30"/>
  <c r="S39" i="30" s="1"/>
  <c r="S40" i="30" s="1"/>
  <c r="P8" i="30"/>
  <c r="U32" i="30" s="1"/>
  <c r="N8" i="30"/>
  <c r="S32" i="30" s="1"/>
  <c r="U37" i="30"/>
  <c r="U30" i="30"/>
  <c r="U39" i="30" s="1"/>
  <c r="U40" i="30" s="1"/>
  <c r="L8" i="30"/>
  <c r="Q32" i="30" s="1"/>
  <c r="Q8" i="30"/>
  <c r="V32" i="30" s="1"/>
  <c r="V37" i="30"/>
  <c r="V30" i="30"/>
  <c r="V39" i="30" s="1"/>
  <c r="V40" i="30" s="1"/>
  <c r="Q7" i="30"/>
  <c r="V31" i="30" s="1"/>
  <c r="M8" i="30"/>
  <c r="R32" i="30" s="1"/>
  <c r="M7" i="30"/>
  <c r="R31" i="30" s="1"/>
  <c r="R37" i="30"/>
  <c r="R30" i="30"/>
  <c r="R39" i="30" s="1"/>
  <c r="R40" i="30" s="1"/>
  <c r="R8" i="30"/>
  <c r="W32" i="30" s="1"/>
  <c r="R7" i="30"/>
  <c r="W31" i="30" s="1"/>
  <c r="F31" i="25"/>
  <c r="J31" i="25"/>
  <c r="N31" i="25"/>
  <c r="R31" i="25"/>
  <c r="H31" i="25"/>
  <c r="L31" i="25"/>
  <c r="P31" i="25"/>
  <c r="T31" i="25"/>
  <c r="D31" i="25"/>
  <c r="H4" i="26" l="1"/>
  <c r="H5" i="26"/>
  <c r="H6" i="26"/>
  <c r="H7" i="26"/>
  <c r="H8" i="26"/>
  <c r="H9" i="26"/>
  <c r="H10" i="26"/>
  <c r="H11" i="26"/>
  <c r="H3" i="26"/>
  <c r="I8" i="26" l="1"/>
  <c r="I3" i="26"/>
  <c r="I5" i="26"/>
  <c r="I7" i="26"/>
  <c r="I9" i="26"/>
  <c r="I11" i="26"/>
  <c r="I4" i="26"/>
  <c r="I10" i="26"/>
  <c r="I6" i="26"/>
  <c r="G4" i="18"/>
  <c r="G5" i="18"/>
  <c r="G3" i="18"/>
  <c r="F4" i="18"/>
  <c r="F5" i="18"/>
  <c r="F3" i="18"/>
  <c r="G7" i="18" l="1"/>
  <c r="G6" i="18"/>
  <c r="H5" i="22"/>
  <c r="H6" i="22"/>
  <c r="H7" i="22"/>
  <c r="H8" i="22"/>
  <c r="H9" i="22"/>
  <c r="H10" i="22"/>
  <c r="H11" i="22"/>
  <c r="H12" i="22"/>
  <c r="H4" i="22"/>
  <c r="I7" i="22" l="1"/>
  <c r="I9" i="22"/>
  <c r="I11" i="22"/>
  <c r="I4" i="22"/>
  <c r="I8" i="22"/>
  <c r="I12" i="22"/>
  <c r="I5" i="22"/>
  <c r="I6" i="22"/>
  <c r="I10" i="22"/>
  <c r="I6" i="23"/>
  <c r="Q5" i="23"/>
  <c r="C12" i="17" l="1"/>
  <c r="F3" i="17"/>
  <c r="G4" i="17"/>
  <c r="G5" i="17"/>
  <c r="G6" i="17"/>
  <c r="G7" i="17"/>
  <c r="G8" i="17"/>
  <c r="G9" i="17"/>
  <c r="G10" i="17"/>
  <c r="G11" i="17"/>
  <c r="G3" i="17"/>
  <c r="F4" i="17"/>
  <c r="F5" i="17"/>
  <c r="F6" i="17"/>
  <c r="F7" i="17"/>
  <c r="F8" i="17"/>
  <c r="F9" i="17"/>
  <c r="F10" i="17"/>
  <c r="F11" i="17"/>
  <c r="G12" i="17" l="1"/>
  <c r="D16" i="17" s="1"/>
  <c r="F12" i="17"/>
  <c r="D15" i="17" s="1"/>
</calcChain>
</file>

<file path=xl/sharedStrings.xml><?xml version="1.0" encoding="utf-8"?>
<sst xmlns="http://schemas.openxmlformats.org/spreadsheetml/2006/main" count="697" uniqueCount="229">
  <si>
    <t>Demanda (V)</t>
  </si>
  <si>
    <t>Coordenadas no eixo X</t>
  </si>
  <si>
    <t>Coordenadas no eixo Y</t>
  </si>
  <si>
    <t>XiVi</t>
  </si>
  <si>
    <t>YiVi</t>
  </si>
  <si>
    <t>Coordenada X</t>
  </si>
  <si>
    <t>Coordenada Y</t>
  </si>
  <si>
    <t>Local escolhido:</t>
  </si>
  <si>
    <t>Icara</t>
  </si>
  <si>
    <t>Ararangua</t>
  </si>
  <si>
    <t>Sombrio</t>
  </si>
  <si>
    <t>Criciuma</t>
  </si>
  <si>
    <t>Tubarao</t>
  </si>
  <si>
    <t>Sao Jose</t>
  </si>
  <si>
    <t>Joinville</t>
  </si>
  <si>
    <t>Blumenau</t>
  </si>
  <si>
    <t>Palhoca</t>
  </si>
  <si>
    <t>Cidade</t>
  </si>
  <si>
    <t>Demanda Média</t>
  </si>
  <si>
    <t>Içara</t>
  </si>
  <si>
    <t>Criciúma</t>
  </si>
  <si>
    <t>Tubarão</t>
  </si>
  <si>
    <t>São José</t>
  </si>
  <si>
    <t>Palhoça</t>
  </si>
  <si>
    <t>Araranguá</t>
  </si>
  <si>
    <t>Jaragua do Sul</t>
  </si>
  <si>
    <t>Itajai</t>
  </si>
  <si>
    <t>Biguacu</t>
  </si>
  <si>
    <t>Tijucas</t>
  </si>
  <si>
    <t>Itapema</t>
  </si>
  <si>
    <t>Camboriu</t>
  </si>
  <si>
    <t>Penha</t>
  </si>
  <si>
    <t>Barra Velha</t>
  </si>
  <si>
    <t>Garopaba</t>
  </si>
  <si>
    <t>Imbituba</t>
  </si>
  <si>
    <t>Brusque</t>
  </si>
  <si>
    <t>Demanda</t>
  </si>
  <si>
    <t>MáxDist</t>
  </si>
  <si>
    <t>Dist*Dem</t>
  </si>
  <si>
    <t>Ordem</t>
  </si>
  <si>
    <t>Anitapolis</t>
  </si>
  <si>
    <t>Itajaí</t>
  </si>
  <si>
    <r>
      <t xml:space="preserve">           Cliente
</t>
    </r>
    <r>
      <rPr>
        <b/>
        <sz val="12"/>
        <color theme="1"/>
        <rFont val="Times New Roman"/>
        <family val="1"/>
      </rPr>
      <t xml:space="preserve">
    CD</t>
    </r>
  </si>
  <si>
    <t>Belém</t>
  </si>
  <si>
    <t>Goiânia</t>
  </si>
  <si>
    <t>Manaus</t>
  </si>
  <si>
    <t>Palmas</t>
  </si>
  <si>
    <t>Porto Belo</t>
  </si>
  <si>
    <t>Porto de Santos</t>
  </si>
  <si>
    <t>São Paulo</t>
  </si>
  <si>
    <t>Suape</t>
  </si>
  <si>
    <t>Tocantins</t>
  </si>
  <si>
    <t>Amazonas</t>
  </si>
  <si>
    <t>Fatores relevantes</t>
  </si>
  <si>
    <t>Peso</t>
  </si>
  <si>
    <t>Nota</t>
  </si>
  <si>
    <t>N xP</t>
  </si>
  <si>
    <t>Totais:</t>
  </si>
  <si>
    <t>Gioânia</t>
  </si>
  <si>
    <t>Custos de Armazenágem</t>
  </si>
  <si>
    <t>Custos de Estoque</t>
  </si>
  <si>
    <t>Custos de Processamento de Pedido</t>
  </si>
  <si>
    <t>Maior Custos de transporte</t>
  </si>
  <si>
    <t>Maior Lead Time do transporte</t>
  </si>
  <si>
    <t>Valor</t>
  </si>
  <si>
    <t>Maior Lead Time de transporte</t>
  </si>
  <si>
    <t>Gaúcha do Norte - MT</t>
  </si>
  <si>
    <t>Faixa de Notas</t>
  </si>
  <si>
    <t>&lt;100</t>
  </si>
  <si>
    <t>&lt;1500</t>
  </si>
  <si>
    <t>&lt;2000</t>
  </si>
  <si>
    <t>&lt;1000</t>
  </si>
  <si>
    <t>&lt;2500</t>
  </si>
  <si>
    <t>&gt;2500</t>
  </si>
  <si>
    <t>&lt;120</t>
  </si>
  <si>
    <t>&lt;110</t>
  </si>
  <si>
    <t>&lt;130</t>
  </si>
  <si>
    <t>&gt;1300</t>
  </si>
  <si>
    <t>&lt;15</t>
  </si>
  <si>
    <t>&lt;20</t>
  </si>
  <si>
    <t>&lt;25</t>
  </si>
  <si>
    <t>&lt;30</t>
  </si>
  <si>
    <t>&gt;30</t>
  </si>
  <si>
    <t>&lt;10000</t>
  </si>
  <si>
    <t>&lt;15000</t>
  </si>
  <si>
    <t>&lt;20000</t>
  </si>
  <si>
    <t>&lt;25000</t>
  </si>
  <si>
    <t>&gt;25000</t>
  </si>
  <si>
    <t>&lt;18</t>
  </si>
  <si>
    <t>&lt;21</t>
  </si>
  <si>
    <t>&lt;24</t>
  </si>
  <si>
    <t>&gt;24</t>
  </si>
  <si>
    <t>Pontuação Ponderada</t>
  </si>
  <si>
    <t>P-Centro</t>
  </si>
  <si>
    <t>P-Mediana</t>
  </si>
  <si>
    <t>Pontuação</t>
  </si>
  <si>
    <t>Negado</t>
  </si>
  <si>
    <t>1º colocado</t>
  </si>
  <si>
    <t>2º colocado</t>
  </si>
  <si>
    <t>3º colocado</t>
  </si>
  <si>
    <t>P médio (V)</t>
  </si>
  <si>
    <t>Pedido Médio</t>
  </si>
  <si>
    <t>MaxDist</t>
  </si>
  <si>
    <t>Peso (kg)</t>
  </si>
  <si>
    <t>Altura (m)</t>
  </si>
  <si>
    <t>Largura (m)</t>
  </si>
  <si>
    <t>Comprimento (m)</t>
  </si>
  <si>
    <t>Volume</t>
  </si>
  <si>
    <t>Carga max (kg)</t>
  </si>
  <si>
    <t>Madeira CP1 1200x1000 Reciclado</t>
  </si>
  <si>
    <t>Caminhão</t>
  </si>
  <si>
    <t>Capacidade (kg)</t>
  </si>
  <si>
    <t>Volume (m³)</t>
  </si>
  <si>
    <t>Toco</t>
  </si>
  <si>
    <t>Truck</t>
  </si>
  <si>
    <t>Dry Box 40 pés</t>
  </si>
  <si>
    <t>Dry Box 20 pés</t>
  </si>
  <si>
    <t>Código</t>
  </si>
  <si>
    <t>Peso Bruto (Kg)</t>
  </si>
  <si>
    <t>MO0021</t>
  </si>
  <si>
    <t>MO0671</t>
  </si>
  <si>
    <t>MO1324</t>
  </si>
  <si>
    <t>PALLET</t>
  </si>
  <si>
    <t>Qntd em largura</t>
  </si>
  <si>
    <t>Qntd em comp</t>
  </si>
  <si>
    <t>Produtos na base</t>
  </si>
  <si>
    <t>Peso na base</t>
  </si>
  <si>
    <t>Nº max de camada</t>
  </si>
  <si>
    <t>Pallets na base</t>
  </si>
  <si>
    <t>Por número de camadas entende-se que são "andares" de pallets no carregamento. Portanto, para o produto MO0021 num caminhão tipo Toco obtemos 7 "andares" com 6 pallets em cada.</t>
  </si>
  <si>
    <t>Processo iterativo alterando nº de camadas e pallets na base a partir das quantidades máximas</t>
  </si>
  <si>
    <t>Produtos no Pallet</t>
  </si>
  <si>
    <t>Nº de camada</t>
  </si>
  <si>
    <t>Peso Total</t>
  </si>
  <si>
    <t>Altura total</t>
  </si>
  <si>
    <t>Qntd de Produtos</t>
  </si>
  <si>
    <t>Resumo da tabela de fretes</t>
  </si>
  <si>
    <t>Soma dos pedidos dos produtos para o CD em goiânia</t>
  </si>
  <si>
    <t>Origem</t>
  </si>
  <si>
    <t>Destino</t>
  </si>
  <si>
    <t>Modal</t>
  </si>
  <si>
    <t>Distância (km)</t>
  </si>
  <si>
    <t>Lead Time (dias)</t>
  </si>
  <si>
    <t>Preço Frete
(20 pés)</t>
  </si>
  <si>
    <t>Preço Frete
(40 pés)</t>
  </si>
  <si>
    <t>Toco (16 Ton.)</t>
  </si>
  <si>
    <t>Truck (24 ton.)</t>
  </si>
  <si>
    <t>Mês</t>
  </si>
  <si>
    <t>Rodoviário</t>
  </si>
  <si>
    <t>Santos</t>
  </si>
  <si>
    <t>Marítimo</t>
  </si>
  <si>
    <t>--</t>
  </si>
  <si>
    <t xml:space="preserve">Manaus </t>
  </si>
  <si>
    <t>Goiania</t>
  </si>
  <si>
    <t>Média</t>
  </si>
  <si>
    <t>Dry box 40</t>
  </si>
  <si>
    <t>Dry box 20</t>
  </si>
  <si>
    <t>Cenário 1: Levar direto para Goiânia via rodoviário</t>
  </si>
  <si>
    <t>Cenário 2: Utilizando cabotagem para Santos
(Porto belo - Itajai - Santos - Goiânia)</t>
  </si>
  <si>
    <t>Cenário 2: Utilizando cabotagem para Manaus
(Porto belo - Itajai - Manaus - Goiânia)</t>
  </si>
  <si>
    <t>Trecho</t>
  </si>
  <si>
    <t>Transporte</t>
  </si>
  <si>
    <t>Qntd média</t>
  </si>
  <si>
    <t>Frete</t>
  </si>
  <si>
    <t>Valor total</t>
  </si>
  <si>
    <t>PB - GO</t>
  </si>
  <si>
    <t>PB - IT</t>
  </si>
  <si>
    <t>40 pés (rod)</t>
  </si>
  <si>
    <t>20 pés (rod)</t>
  </si>
  <si>
    <t>IT - ST</t>
  </si>
  <si>
    <t>40 pés (mar)</t>
  </si>
  <si>
    <t>IT - MA</t>
  </si>
  <si>
    <t>20 pés (mar)</t>
  </si>
  <si>
    <t>ST - GO</t>
  </si>
  <si>
    <t>MA - GO</t>
  </si>
  <si>
    <t>Cenário</t>
  </si>
  <si>
    <t>Custo</t>
  </si>
  <si>
    <t>LeadTime</t>
  </si>
  <si>
    <t>40 pés</t>
  </si>
  <si>
    <t>20 pés</t>
  </si>
  <si>
    <r>
      <rPr>
        <b/>
        <sz val="11"/>
        <rFont val="Calibri"/>
        <family val="2"/>
      </rPr>
      <t>Decisão</t>
    </r>
    <r>
      <rPr>
        <sz val="11"/>
        <color theme="1"/>
        <rFont val="Calibri"/>
        <family val="2"/>
        <scheme val="minor"/>
      </rPr>
      <t>: Escolha do container de 20 pés sendo entregue em santos pelo valor reduzido de custo e leadtime um pouco acima que pode ser contornado com lotes de pedidos maiores</t>
    </r>
  </si>
  <si>
    <t>Pedidos por mês de container 20 pés por produto</t>
  </si>
  <si>
    <t>Intervalo de envio de carga</t>
  </si>
  <si>
    <t>Escolhido</t>
  </si>
  <si>
    <t>1 carga a cada 5 dias</t>
  </si>
  <si>
    <t>1 carga a cada 3 dias</t>
  </si>
  <si>
    <t>1 carga  a cada 4 dias</t>
  </si>
  <si>
    <t>Distância do Centro de Gravidade</t>
  </si>
  <si>
    <t>Coordenadas em X</t>
  </si>
  <si>
    <t>Coordenadas em Y</t>
  </si>
  <si>
    <t>Mercados</t>
  </si>
  <si>
    <t>Centro de Gravidade</t>
  </si>
  <si>
    <t>Pontuações Ponderadas</t>
  </si>
  <si>
    <t>Situação</t>
  </si>
  <si>
    <t>Por definição, as cidades que apresentaram posição abaixo de 5 em qualquer um dos métodos foi negado, restando três opções de localidade, Goiânia, São Paulo e Palmas. Por fim, escolheu-se Goiânia por apresentar posições 1 e 2 em todos os métodos</t>
  </si>
  <si>
    <t>Os níveis de serviço adotado foram definidos qualitativamente a partir das descrições dos mercados atendidos. Além disso, foi definido um NS mínimo de 95% para a operação da empresa em questão por considerar que NS inferior a esse valor não irá prover o atendimento desejado. Desta forma, determinou-se que SP possuirá NS=95% por já haver um histórico de consolidação da empresa e sua marca na região e, portanto, a fidelização de clientes tender a ser bem sólida. Nos outros mercados foram adotados valores superiores ao praticado em SP tendo em vista que a empresa busca expandir para essas regiões. Houve a diferenciação de 2% entre essas duas regiões pois Palmas apresenta maior competitividade e domínio de oligopólio, portanto, entende-se que o atendimento e a qualidade do serviço devem ser prioridade.</t>
  </si>
  <si>
    <t>Parâmetros</t>
  </si>
  <si>
    <t xml:space="preserve">Palmas </t>
  </si>
  <si>
    <t>Nível de Serviço</t>
  </si>
  <si>
    <t>Es</t>
  </si>
  <si>
    <t>Tempo de Atendimento </t>
  </si>
  <si>
    <t>Emáx</t>
  </si>
  <si>
    <t>Desvio TA</t>
  </si>
  <si>
    <t>Em</t>
  </si>
  <si>
    <t>Coeficiente de dist normal</t>
  </si>
  <si>
    <t>Decidiu-se fazer a gestão de estoques baseada no modelo de reposição contínua por julgá-lo mais adequado à operação da empresa em questão. Como as rotas e carregamentos foram calculados anteriormente, foi decidido que o modelo de gestão de estoques adotado no CD estaria sujeito às restrições provenientes das decisões de transporte. Desta forma, o tamanho do lote (Q) foi obtido através de proposição de cenários e iterações ao dimensionar o carregamento. Para a obtenção dos lotes por mercado foi feita a divisão do lote de ressuprimento a partir das demandas médias de cada mercado sobre a demanda média total do produto.</t>
  </si>
  <si>
    <t>Dado o fato que o cálculo do estoque de seguraça utilizando a fórmula para demanda variável e atendimento variável resultou em valores elevados, foi feito um ajuste nos valores obtidos para "quantidade de dias de estoque", buscando assim evitar superdimensionamento e custos excessivos - os quais serão levantados na próxima entrega. Os cálculos foram realizados considerando um mês com 30 dias. O Tempo de cobertura do ES (em dias) foi calculado a partir da soma do LT de entrega com a margem de um dia.</t>
  </si>
  <si>
    <t>Período</t>
  </si>
  <si>
    <t>Es (dias)</t>
  </si>
  <si>
    <t>SP</t>
  </si>
  <si>
    <t>TO</t>
  </si>
  <si>
    <t>AM</t>
  </si>
  <si>
    <t>0021</t>
  </si>
  <si>
    <t>0671</t>
  </si>
  <si>
    <t>Demanda média</t>
  </si>
  <si>
    <t>Desvio Padrão da demanda</t>
  </si>
  <si>
    <t>IP (dias)</t>
  </si>
  <si>
    <t>Nº pedidos no mês</t>
  </si>
  <si>
    <t>Tamanho do Lote Q</t>
  </si>
  <si>
    <t>Tamanho do Lote/mercado</t>
  </si>
  <si>
    <t>Tamanho do Lote mensal</t>
  </si>
  <si>
    <t>Demanda média diária</t>
  </si>
  <si>
    <t>Dias de ES</t>
  </si>
  <si>
    <t>Cobertura ES adotada (dias)</t>
  </si>
  <si>
    <t>Quantidade de ES adotada</t>
  </si>
  <si>
    <t>"Economia" de Estoque (cxs)</t>
  </si>
  <si>
    <t>Rota Porto Belo - Porto de Itajaí</t>
  </si>
  <si>
    <t>Rota Porto de Itajaí - Porto de Santos</t>
  </si>
  <si>
    <t>Rota Porto de Santos -  Goiânia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</si>
</sst>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0"/>
    <numFmt numFmtId="166" formatCode="0.000"/>
    <numFmt numFmtId="167" formatCode="_-&quot;R$&quot;\ * #,##0.00_-;\-&quot;R$&quot;\ * #,##0.00_-;_-&quot;R$&quot;\ * &quot;-&quot;??_-;_-@"/>
    <numFmt numFmtId="168" formatCode="&quot;$&quot;#,##0.00"/>
    <numFmt numFmtId="169" formatCode="mmm/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FFFF"/>
      <name val="Arial"/>
      <family val="2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b/>
      <sz val="14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8496B0"/>
        <bgColor rgb="FF8496B0"/>
      </patternFill>
    </fill>
    <fill>
      <patternFill patternType="solid">
        <fgColor rgb="FFD8D8D8"/>
        <bgColor rgb="FFD8D8D8"/>
      </patternFill>
    </fill>
    <fill>
      <patternFill patternType="solid">
        <fgColor rgb="FFCFE2F3"/>
        <bgColor rgb="FFCFE2F3"/>
      </patternFill>
    </fill>
    <fill>
      <patternFill patternType="solid">
        <fgColor rgb="FFACB9CA"/>
        <bgColor rgb="FFACB9CA"/>
      </patternFill>
    </fill>
    <fill>
      <patternFill patternType="solid">
        <fgColor rgb="FFD6DCE4"/>
        <bgColor rgb="FFD6DCE4"/>
      </patternFill>
    </fill>
    <fill>
      <patternFill patternType="solid">
        <fgColor rgb="FFF8CBAD"/>
        <bgColor rgb="FFF8CBAD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1" fillId="0" borderId="0"/>
  </cellStyleXfs>
  <cellXfs count="187">
    <xf numFmtId="0" fontId="0" fillId="0" borderId="0" xfId="0"/>
    <xf numFmtId="0" fontId="0" fillId="4" borderId="0" xfId="0" applyFill="1"/>
    <xf numFmtId="0" fontId="0" fillId="2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1" fontId="0" fillId="4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1" fontId="0" fillId="4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4" fillId="0" borderId="0" xfId="1" applyAlignment="1">
      <alignment horizontal="center"/>
    </xf>
    <xf numFmtId="0" fontId="4" fillId="0" borderId="0" xfId="1"/>
    <xf numFmtId="2" fontId="4" fillId="0" borderId="10" xfId="1" applyNumberFormat="1" applyBorder="1"/>
    <xf numFmtId="2" fontId="4" fillId="0" borderId="11" xfId="1" applyNumberFormat="1" applyBorder="1"/>
    <xf numFmtId="2" fontId="4" fillId="0" borderId="12" xfId="1" applyNumberFormat="1" applyBorder="1"/>
    <xf numFmtId="0" fontId="3" fillId="0" borderId="2" xfId="1" applyFont="1" applyBorder="1" applyAlignment="1">
      <alignment horizontal="center" vertical="center"/>
    </xf>
    <xf numFmtId="0" fontId="4" fillId="0" borderId="3" xfId="1" applyNumberFormat="1" applyBorder="1"/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4" borderId="10" xfId="1" applyFont="1" applyFill="1" applyBorder="1" applyAlignment="1">
      <alignment horizontal="center"/>
    </xf>
    <xf numFmtId="164" fontId="0" fillId="4" borderId="0" xfId="0" applyNumberFormat="1" applyFill="1"/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6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4" fillId="0" borderId="0" xfId="1" applyNumberFormat="1" applyBorder="1"/>
    <xf numFmtId="0" fontId="9" fillId="6" borderId="13" xfId="0" applyFont="1" applyFill="1" applyBorder="1" applyAlignment="1">
      <alignment horizontal="left" vertical="top" wrapText="1"/>
    </xf>
    <xf numFmtId="1" fontId="4" fillId="4" borderId="10" xfId="1" applyNumberFormat="1" applyFon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10" fillId="0" borderId="18" xfId="0" applyFont="1" applyFill="1" applyBorder="1" applyAlignment="1" applyProtection="1">
      <alignment horizontal="center"/>
    </xf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2" applyFont="1" applyAlignment="1">
      <alignment horizontal="center" vertical="center"/>
    </xf>
    <xf numFmtId="0" fontId="11" fillId="0" borderId="0" xfId="2" applyFont="1" applyAlignment="1"/>
    <xf numFmtId="0" fontId="13" fillId="7" borderId="19" xfId="2" applyFont="1" applyFill="1" applyBorder="1" applyAlignment="1">
      <alignment horizontal="center" vertical="center"/>
    </xf>
    <xf numFmtId="0" fontId="13" fillId="7" borderId="19" xfId="2" applyFont="1" applyFill="1" applyBorder="1" applyAlignment="1">
      <alignment horizontal="center" vertical="center" wrapText="1"/>
    </xf>
    <xf numFmtId="0" fontId="14" fillId="7" borderId="19" xfId="2" applyFont="1" applyFill="1" applyBorder="1" applyAlignment="1">
      <alignment horizontal="center" vertical="center" wrapText="1"/>
    </xf>
    <xf numFmtId="0" fontId="11" fillId="0" borderId="19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5" fillId="7" borderId="19" xfId="2" applyFont="1" applyFill="1" applyBorder="1" applyAlignment="1">
      <alignment horizontal="center" vertical="center"/>
    </xf>
    <xf numFmtId="0" fontId="15" fillId="7" borderId="19" xfId="2" applyFont="1" applyFill="1" applyBorder="1" applyAlignment="1">
      <alignment horizontal="center" vertical="center" wrapText="1"/>
    </xf>
    <xf numFmtId="0" fontId="16" fillId="8" borderId="19" xfId="2" applyFont="1" applyFill="1" applyBorder="1" applyAlignment="1">
      <alignment horizontal="center" vertical="center"/>
    </xf>
    <xf numFmtId="0" fontId="12" fillId="8" borderId="19" xfId="2" applyFont="1" applyFill="1" applyBorder="1" applyAlignment="1">
      <alignment horizontal="center" vertical="center"/>
    </xf>
    <xf numFmtId="3" fontId="12" fillId="0" borderId="0" xfId="2" applyNumberFormat="1" applyFont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166" fontId="12" fillId="0" borderId="19" xfId="2" applyNumberFormat="1" applyFont="1" applyBorder="1" applyAlignment="1">
      <alignment horizontal="center" vertical="center"/>
    </xf>
    <xf numFmtId="0" fontId="11" fillId="8" borderId="20" xfId="2" applyFont="1" applyFill="1" applyBorder="1" applyAlignment="1">
      <alignment horizontal="center" vertical="center"/>
    </xf>
    <xf numFmtId="166" fontId="11" fillId="0" borderId="19" xfId="2" applyNumberFormat="1" applyFont="1" applyBorder="1" applyAlignment="1">
      <alignment horizontal="center" vertical="center"/>
    </xf>
    <xf numFmtId="0" fontId="11" fillId="8" borderId="19" xfId="2" applyFont="1" applyFill="1" applyBorder="1" applyAlignment="1">
      <alignment horizontal="center" vertical="center"/>
    </xf>
    <xf numFmtId="164" fontId="12" fillId="0" borderId="19" xfId="2" applyNumberFormat="1" applyFont="1" applyBorder="1" applyAlignment="1">
      <alignment horizontal="center" vertical="center"/>
    </xf>
    <xf numFmtId="0" fontId="12" fillId="0" borderId="19" xfId="2" applyFont="1" applyBorder="1" applyAlignment="1"/>
    <xf numFmtId="0" fontId="11" fillId="0" borderId="0" xfId="2" applyFont="1" applyAlignment="1"/>
    <xf numFmtId="0" fontId="11" fillId="9" borderId="19" xfId="2" applyFont="1" applyFill="1" applyBorder="1" applyAlignment="1">
      <alignment horizontal="center" vertical="center"/>
    </xf>
    <xf numFmtId="0" fontId="12" fillId="9" borderId="19" xfId="2" applyFont="1" applyFill="1" applyBorder="1" applyAlignment="1">
      <alignment horizontal="center" vertical="center"/>
    </xf>
    <xf numFmtId="0" fontId="15" fillId="11" borderId="19" xfId="2" applyFont="1" applyFill="1" applyBorder="1" applyAlignment="1">
      <alignment horizontal="center" vertical="center"/>
    </xf>
    <xf numFmtId="0" fontId="11" fillId="0" borderId="20" xfId="2" applyFont="1" applyBorder="1" applyAlignment="1">
      <alignment horizontal="center"/>
    </xf>
    <xf numFmtId="1" fontId="11" fillId="0" borderId="19" xfId="2" applyNumberFormat="1" applyFont="1" applyBorder="1" applyAlignment="1">
      <alignment horizontal="center"/>
    </xf>
    <xf numFmtId="0" fontId="11" fillId="0" borderId="19" xfId="2" applyFont="1" applyBorder="1" applyAlignment="1">
      <alignment horizontal="center"/>
    </xf>
    <xf numFmtId="167" fontId="11" fillId="0" borderId="23" xfId="2" applyNumberFormat="1" applyFont="1" applyBorder="1" applyAlignment="1">
      <alignment horizontal="center"/>
    </xf>
    <xf numFmtId="1" fontId="11" fillId="0" borderId="21" xfId="2" applyNumberFormat="1" applyFont="1" applyBorder="1" applyAlignment="1">
      <alignment horizontal="center"/>
    </xf>
    <xf numFmtId="0" fontId="11" fillId="0" borderId="23" xfId="2" quotePrefix="1" applyFont="1" applyBorder="1" applyAlignment="1">
      <alignment horizontal="center"/>
    </xf>
    <xf numFmtId="167" fontId="11" fillId="0" borderId="19" xfId="2" applyNumberFormat="1" applyFont="1" applyBorder="1" applyAlignment="1">
      <alignment horizontal="center"/>
    </xf>
    <xf numFmtId="0" fontId="17" fillId="0" borderId="19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/>
    </xf>
    <xf numFmtId="167" fontId="12" fillId="0" borderId="19" xfId="2" applyNumberFormat="1" applyFont="1" applyBorder="1" applyAlignment="1">
      <alignment horizontal="center"/>
    </xf>
    <xf numFmtId="168" fontId="12" fillId="0" borderId="19" xfId="2" applyNumberFormat="1" applyFont="1" applyBorder="1" applyAlignment="1">
      <alignment horizontal="center"/>
    </xf>
    <xf numFmtId="168" fontId="12" fillId="0" borderId="19" xfId="2" applyNumberFormat="1" applyFont="1" applyBorder="1" applyAlignment="1">
      <alignment horizontal="center" vertical="center"/>
    </xf>
    <xf numFmtId="0" fontId="17" fillId="0" borderId="19" xfId="2" applyFont="1" applyBorder="1" applyAlignment="1">
      <alignment horizontal="center"/>
    </xf>
    <xf numFmtId="168" fontId="17" fillId="0" borderId="19" xfId="2" applyNumberFormat="1" applyFont="1" applyBorder="1"/>
    <xf numFmtId="0" fontId="17" fillId="12" borderId="19" xfId="2" applyFont="1" applyFill="1" applyBorder="1" applyAlignment="1">
      <alignment horizontal="center" vertical="center"/>
    </xf>
    <xf numFmtId="168" fontId="17" fillId="12" borderId="19" xfId="2" applyNumberFormat="1" applyFont="1" applyFill="1" applyBorder="1" applyAlignment="1">
      <alignment horizontal="center" vertical="center"/>
    </xf>
    <xf numFmtId="0" fontId="12" fillId="0" borderId="0" xfId="2" applyFont="1" applyAlignment="1"/>
    <xf numFmtId="0" fontId="15" fillId="11" borderId="19" xfId="2" applyFont="1" applyFill="1" applyBorder="1" applyAlignment="1">
      <alignment horizontal="center"/>
    </xf>
    <xf numFmtId="0" fontId="15" fillId="11" borderId="20" xfId="2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 vertical="center" wrapText="1"/>
    </xf>
    <xf numFmtId="0" fontId="11" fillId="14" borderId="20" xfId="2" applyFont="1" applyFill="1" applyBorder="1" applyAlignment="1">
      <alignment horizontal="center"/>
    </xf>
    <xf numFmtId="0" fontId="11" fillId="8" borderId="19" xfId="2" applyFont="1" applyFill="1" applyBorder="1"/>
    <xf numFmtId="9" fontId="11" fillId="8" borderId="19" xfId="2" applyNumberFormat="1" applyFont="1" applyFill="1" applyBorder="1" applyAlignment="1">
      <alignment horizontal="center"/>
    </xf>
    <xf numFmtId="0" fontId="15" fillId="14" borderId="19" xfId="2" applyFont="1" applyFill="1" applyBorder="1" applyAlignment="1">
      <alignment horizontal="center"/>
    </xf>
    <xf numFmtId="0" fontId="11" fillId="0" borderId="19" xfId="2" applyFont="1" applyBorder="1"/>
    <xf numFmtId="2" fontId="11" fillId="0" borderId="19" xfId="2" applyNumberFormat="1" applyFont="1" applyBorder="1" applyAlignment="1">
      <alignment horizontal="center"/>
    </xf>
    <xf numFmtId="0" fontId="12" fillId="0" borderId="0" xfId="2" applyFont="1" applyAlignment="1">
      <alignment horizontal="center"/>
    </xf>
    <xf numFmtId="0" fontId="15" fillId="7" borderId="31" xfId="2" applyFont="1" applyFill="1" applyBorder="1" applyAlignment="1">
      <alignment horizontal="center" vertical="center"/>
    </xf>
    <xf numFmtId="0" fontId="15" fillId="14" borderId="20" xfId="2" applyFont="1" applyFill="1" applyBorder="1" applyAlignment="1">
      <alignment horizontal="center"/>
    </xf>
    <xf numFmtId="169" fontId="11" fillId="15" borderId="31" xfId="2" applyNumberFormat="1" applyFont="1" applyFill="1" applyBorder="1" applyAlignment="1">
      <alignment horizontal="center"/>
    </xf>
    <xf numFmtId="0" fontId="11" fillId="15" borderId="20" xfId="2" applyFont="1" applyFill="1" applyBorder="1" applyAlignment="1">
      <alignment horizontal="center"/>
    </xf>
    <xf numFmtId="0" fontId="11" fillId="15" borderId="19" xfId="2" applyFont="1" applyFill="1" applyBorder="1" applyAlignment="1">
      <alignment horizontal="center"/>
    </xf>
    <xf numFmtId="0" fontId="11" fillId="15" borderId="23" xfId="2" applyFont="1" applyFill="1" applyBorder="1" applyAlignment="1">
      <alignment horizontal="center"/>
    </xf>
    <xf numFmtId="0" fontId="11" fillId="15" borderId="31" xfId="2" applyFont="1" applyFill="1" applyBorder="1" applyAlignment="1">
      <alignment horizontal="center"/>
    </xf>
    <xf numFmtId="0" fontId="12" fillId="0" borderId="19" xfId="2" applyFont="1" applyBorder="1" applyAlignment="1">
      <alignment wrapText="1"/>
    </xf>
    <xf numFmtId="0" fontId="15" fillId="14" borderId="19" xfId="2" applyFont="1" applyFill="1" applyBorder="1" applyAlignment="1">
      <alignment horizontal="center" vertical="center"/>
    </xf>
    <xf numFmtId="1" fontId="11" fillId="0" borderId="19" xfId="2" applyNumberFormat="1" applyFont="1" applyBorder="1" applyAlignment="1">
      <alignment horizontal="center" vertical="center"/>
    </xf>
    <xf numFmtId="2" fontId="12" fillId="0" borderId="19" xfId="2" applyNumberFormat="1" applyFont="1" applyBorder="1" applyAlignment="1">
      <alignment horizontal="center"/>
    </xf>
    <xf numFmtId="1" fontId="12" fillId="0" borderId="19" xfId="2" applyNumberFormat="1" applyFont="1" applyBorder="1" applyAlignment="1">
      <alignment horizontal="center"/>
    </xf>
    <xf numFmtId="0" fontId="12" fillId="0" borderId="19" xfId="2" applyFont="1" applyBorder="1" applyAlignment="1">
      <alignment horizontal="center" vertical="center" wrapText="1"/>
    </xf>
    <xf numFmtId="0" fontId="12" fillId="0" borderId="19" xfId="2" applyFont="1" applyBorder="1" applyAlignment="1">
      <alignment horizontal="center" wrapText="1"/>
    </xf>
    <xf numFmtId="2" fontId="12" fillId="0" borderId="0" xfId="2" applyNumberFormat="1" applyFont="1" applyAlignment="1">
      <alignment horizontal="center" vertical="center"/>
    </xf>
    <xf numFmtId="1" fontId="12" fillId="0" borderId="19" xfId="2" applyNumberFormat="1" applyFont="1" applyBorder="1" applyAlignment="1">
      <alignment horizontal="center" vertical="center"/>
    </xf>
    <xf numFmtId="1" fontId="12" fillId="0" borderId="0" xfId="2" applyNumberFormat="1" applyFont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9" fillId="5" borderId="15" xfId="0" applyFont="1" applyFill="1" applyBorder="1" applyAlignment="1">
      <alignment horizontal="center"/>
    </xf>
    <xf numFmtId="0" fontId="19" fillId="5" borderId="34" xfId="0" applyFont="1" applyFill="1" applyBorder="1" applyAlignment="1">
      <alignment horizontal="center"/>
    </xf>
    <xf numFmtId="0" fontId="19" fillId="5" borderId="16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6" fillId="9" borderId="32" xfId="2" applyFont="1" applyFill="1" applyBorder="1" applyAlignment="1">
      <alignment horizontal="center" vertical="center"/>
    </xf>
    <xf numFmtId="0" fontId="12" fillId="0" borderId="33" xfId="2" applyFont="1" applyBorder="1"/>
    <xf numFmtId="0" fontId="12" fillId="0" borderId="20" xfId="2" applyFont="1" applyBorder="1"/>
    <xf numFmtId="0" fontId="13" fillId="7" borderId="21" xfId="2" applyFont="1" applyFill="1" applyBorder="1" applyAlignment="1">
      <alignment horizontal="center" vertical="center"/>
    </xf>
    <xf numFmtId="0" fontId="12" fillId="0" borderId="22" xfId="2" applyFont="1" applyBorder="1"/>
    <xf numFmtId="0" fontId="12" fillId="0" borderId="23" xfId="2" applyFont="1" applyBorder="1"/>
    <xf numFmtId="0" fontId="12" fillId="0" borderId="24" xfId="2" applyFont="1" applyBorder="1" applyAlignment="1">
      <alignment vertical="center" wrapText="1"/>
    </xf>
    <xf numFmtId="0" fontId="12" fillId="0" borderId="25" xfId="2" applyFont="1" applyBorder="1"/>
    <xf numFmtId="0" fontId="12" fillId="0" borderId="26" xfId="2" applyFont="1" applyBorder="1"/>
    <xf numFmtId="0" fontId="12" fillId="0" borderId="27" xfId="2" applyFont="1" applyBorder="1"/>
    <xf numFmtId="0" fontId="11" fillId="0" borderId="0" xfId="2" applyFont="1" applyAlignment="1"/>
    <xf numFmtId="0" fontId="12" fillId="0" borderId="28" xfId="2" applyFont="1" applyBorder="1"/>
    <xf numFmtId="0" fontId="12" fillId="0" borderId="29" xfId="2" applyFont="1" applyBorder="1"/>
    <xf numFmtId="0" fontId="12" fillId="0" borderId="30" xfId="2" applyFont="1" applyBorder="1"/>
    <xf numFmtId="0" fontId="12" fillId="0" borderId="31" xfId="2" applyFont="1" applyBorder="1"/>
    <xf numFmtId="0" fontId="16" fillId="8" borderId="32" xfId="2" applyFont="1" applyFill="1" applyBorder="1" applyAlignment="1">
      <alignment horizontal="center" vertical="center"/>
    </xf>
    <xf numFmtId="0" fontId="18" fillId="0" borderId="21" xfId="2" applyFont="1" applyBorder="1" applyAlignment="1">
      <alignment horizontal="left"/>
    </xf>
    <xf numFmtId="0" fontId="12" fillId="0" borderId="21" xfId="2" applyFont="1" applyBorder="1" applyAlignment="1">
      <alignment vertical="center"/>
    </xf>
    <xf numFmtId="0" fontId="15" fillId="10" borderId="21" xfId="2" applyFont="1" applyFill="1" applyBorder="1" applyAlignment="1">
      <alignment horizontal="center" vertical="center"/>
    </xf>
    <xf numFmtId="0" fontId="15" fillId="11" borderId="21" xfId="2" applyFont="1" applyFill="1" applyBorder="1" applyAlignment="1">
      <alignment horizontal="center" vertical="center"/>
    </xf>
    <xf numFmtId="0" fontId="15" fillId="10" borderId="21" xfId="2" applyFont="1" applyFill="1" applyBorder="1" applyAlignment="1">
      <alignment horizontal="center"/>
    </xf>
    <xf numFmtId="0" fontId="14" fillId="10" borderId="21" xfId="2" applyFont="1" applyFill="1" applyBorder="1" applyAlignment="1">
      <alignment horizontal="center" vertical="center"/>
    </xf>
    <xf numFmtId="0" fontId="17" fillId="0" borderId="32" xfId="2" applyFont="1" applyBorder="1" applyAlignment="1">
      <alignment horizontal="center" vertical="center"/>
    </xf>
    <xf numFmtId="0" fontId="15" fillId="13" borderId="21" xfId="2" applyFont="1" applyFill="1" applyBorder="1" applyAlignment="1">
      <alignment horizontal="center"/>
    </xf>
    <xf numFmtId="0" fontId="12" fillId="0" borderId="21" xfId="2" applyFont="1" applyBorder="1" applyAlignment="1">
      <alignment horizontal="center" vertical="center"/>
    </xf>
    <xf numFmtId="0" fontId="17" fillId="13" borderId="32" xfId="2" applyFont="1" applyFill="1" applyBorder="1" applyAlignment="1">
      <alignment horizontal="center" vertical="center" wrapText="1"/>
    </xf>
    <xf numFmtId="0" fontId="12" fillId="0" borderId="21" xfId="2" applyFont="1" applyBorder="1" applyAlignment="1">
      <alignment horizontal="center"/>
    </xf>
    <xf numFmtId="0" fontId="15" fillId="7" borderId="32" xfId="2" applyFont="1" applyFill="1" applyBorder="1" applyAlignment="1">
      <alignment horizontal="center" vertical="center"/>
    </xf>
    <xf numFmtId="0" fontId="15" fillId="7" borderId="22" xfId="2" applyFont="1" applyFill="1" applyBorder="1" applyAlignment="1">
      <alignment horizontal="center" vertical="center"/>
    </xf>
    <xf numFmtId="0" fontId="15" fillId="7" borderId="21" xfId="2" applyFont="1" applyFill="1" applyBorder="1" applyAlignment="1">
      <alignment horizontal="center" vertical="center"/>
    </xf>
    <xf numFmtId="0" fontId="12" fillId="0" borderId="21" xfId="2" applyFont="1" applyBorder="1" applyAlignment="1">
      <alignment vertical="center" wrapText="1"/>
    </xf>
    <xf numFmtId="0" fontId="15" fillId="14" borderId="29" xfId="2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6"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6B8AF"/>
          <bgColor rgb="FFE6B8A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</xdr:row>
      <xdr:rowOff>72390</xdr:rowOff>
    </xdr:from>
    <xdr:to>
      <xdr:col>18</xdr:col>
      <xdr:colOff>38099</xdr:colOff>
      <xdr:row>10</xdr:row>
      <xdr:rowOff>133350</xdr:rowOff>
    </xdr:to>
    <xdr:sp macro="" textlink="">
      <xdr:nvSpPr>
        <xdr:cNvPr id="10" name="TextBox 32"/>
        <xdr:cNvSpPr txBox="1"/>
      </xdr:nvSpPr>
      <xdr:spPr>
        <a:xfrm>
          <a:off x="5591175" y="453390"/>
          <a:ext cx="6534149" cy="158496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pt-BR" sz="1100"/>
            <a:t>A</a:t>
          </a:r>
          <a:r>
            <a:rPr lang="pt-BR" sz="1100" baseline="0"/>
            <a:t> empresa </a:t>
          </a:r>
          <a:r>
            <a:rPr lang="pt-BR" sz="1100" i="1" baseline="0"/>
            <a:t>Evandro muambas eletrônicas, </a:t>
          </a:r>
          <a:r>
            <a:rPr lang="pt-BR" sz="1100" i="0" baseline="0"/>
            <a:t>grande no ramo de eletroeletrônicos, </a:t>
          </a:r>
          <a:r>
            <a:rPr lang="pt-BR" sz="1100"/>
            <a:t>está buscando ajuda para dimensionar um Centro de Distribuição que armazene seus produtos. Sabendo disso, contratou o GELOG para que os consultores determinassem a localização de um novo centro de distribuição. Evandro</a:t>
          </a:r>
          <a:r>
            <a:rPr lang="pt-BR" sz="1100" baseline="0"/>
            <a:t> foca antender a região de Santa Catarina, tendo seus maiores clientes localizados em: Içara, Araranguá, Sombrio, Criciúma, Tubarão, São José, Joinville, Blumenau e Palhoça</a:t>
          </a:r>
          <a:r>
            <a:rPr lang="pt-BR" sz="1100"/>
            <a:t>. O CD poderá</a:t>
          </a:r>
          <a:r>
            <a:rPr lang="pt-BR" sz="1100" baseline="0"/>
            <a:t> ser localizado em qualquer uma das cidades anteriores,além de outras estratégicas para a empresa: Jaraguá do sul, Itajaí, Biguaçu, Tijucas,Itapema, Camboríu, Penha, Barra Velha, Garopaba, Imbituba e Brusque.</a:t>
          </a:r>
          <a:r>
            <a:rPr lang="pt-BR" sz="1100"/>
            <a:t> Com base nas demandas de cada região, aplique cada método de localização de CD a fim de comparar os resultados obtido</a:t>
          </a:r>
          <a:r>
            <a:rPr lang="pt-BR" sz="1100" baseline="0"/>
            <a:t> em </a:t>
          </a:r>
          <a:r>
            <a:rPr lang="pt-BR" sz="1100"/>
            <a:t>cada um.</a:t>
          </a: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15170</xdr:colOff>
      <xdr:row>16</xdr:row>
      <xdr:rowOff>133350</xdr:rowOff>
    </xdr:to>
    <xdr:pic>
      <xdr:nvPicPr>
        <xdr:cNvPr id="11" name="Imagem 10" descr="Resultado de imagem para eletroeletronicos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9682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258536</xdr:colOff>
      <xdr:row>25</xdr:row>
      <xdr:rowOff>122466</xdr:rowOff>
    </xdr:from>
    <xdr:to>
      <xdr:col>23</xdr:col>
      <xdr:colOff>572653</xdr:colOff>
      <xdr:row>41</xdr:row>
      <xdr:rowOff>57088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BBB13D2-E1D8-4992-A704-70282F3AD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4939395"/>
          <a:ext cx="5498439" cy="2982622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-1</xdr:colOff>
      <xdr:row>25</xdr:row>
      <xdr:rowOff>122465</xdr:rowOff>
    </xdr:from>
    <xdr:to>
      <xdr:col>14</xdr:col>
      <xdr:colOff>122465</xdr:colOff>
      <xdr:row>43</xdr:row>
      <xdr:rowOff>81642</xdr:rowOff>
    </xdr:to>
    <xdr:sp macro="" textlink="">
      <xdr:nvSpPr>
        <xdr:cNvPr id="3" name="TextBox 3"/>
        <xdr:cNvSpPr txBox="1"/>
      </xdr:nvSpPr>
      <xdr:spPr>
        <a:xfrm>
          <a:off x="149678" y="4925786"/>
          <a:ext cx="8096251" cy="3388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u="sng">
              <a:solidFill>
                <a:schemeClr val="dk1"/>
              </a:solidFill>
              <a:latin typeface="+mn-lt"/>
              <a:ea typeface="+mn-ea"/>
              <a:cs typeface="+mn-cs"/>
            </a:rPr>
            <a:t>P-medianas</a:t>
          </a:r>
        </a:p>
        <a:p>
          <a:r>
            <a:rPr lang="pt-BR" sz="1600" b="1" baseline="0"/>
            <a:t>Pressuposto:</a:t>
          </a:r>
        </a:p>
        <a:p>
          <a:r>
            <a:rPr lang="pt-BR" sz="1600" b="1" baseline="0"/>
            <a:t>1. </a:t>
          </a:r>
          <a:r>
            <a:rPr lang="pt-BR" sz="1600" b="0" baseline="0"/>
            <a:t>Localizar somente um armazém (P = 1)</a:t>
          </a:r>
        </a:p>
        <a:p>
          <a:r>
            <a:rPr lang="pt-BR" sz="1600" b="1" baseline="0"/>
            <a:t>2. </a:t>
          </a:r>
          <a:r>
            <a:rPr lang="pt-BR" sz="1600" b="0" baseline="0"/>
            <a:t>Todas as opções de localização atendem todas as demandas</a:t>
          </a:r>
          <a:endParaRPr lang="pt-BR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isso, você deve:</a:t>
          </a:r>
          <a:endParaRPr lang="pt-BR" sz="1600" b="1" baseline="0"/>
        </a:p>
        <a:p>
          <a:r>
            <a:rPr lang="pt-BR" sz="1600" b="1" baseline="0"/>
            <a:t>1. </a:t>
          </a:r>
          <a:r>
            <a:rPr lang="pt-BR" sz="1600" b="0" baseline="0"/>
            <a:t>Na linha 24: a</a:t>
          </a:r>
          <a:r>
            <a:rPr lang="pt-BR" sz="1600" baseline="0"/>
            <a:t>dicionar a demanda correspondente à cidade da COLUNA. Se a cidade for uma fábrica ou CD a demanda é ZERO.</a:t>
          </a:r>
        </a:p>
        <a:p>
          <a:r>
            <a:rPr lang="pt-BR" sz="1600" b="1">
              <a:solidFill>
                <a:schemeClr val="dk1"/>
              </a:solidFill>
              <a:latin typeface="+mn-lt"/>
              <a:ea typeface="+mn-ea"/>
              <a:cs typeface="+mn-cs"/>
            </a:rPr>
            <a:t>2</a:t>
          </a:r>
          <a:r>
            <a:rPr lang="pt-BR" sz="1600" baseline="0"/>
            <a:t>. Na coluna </a:t>
          </a:r>
          <a:r>
            <a:rPr lang="pt-BR" sz="1600" b="1" baseline="0"/>
            <a:t>Dist*Dem</a:t>
          </a:r>
          <a:r>
            <a:rPr lang="pt-BR" sz="1600" b="0" baseline="0"/>
            <a:t>:</a:t>
          </a:r>
          <a:r>
            <a:rPr lang="pt-BR" sz="1600" baseline="0"/>
            <a:t>Calcular a soma das distâncias*demanda para cada possibilidade de CD.</a:t>
          </a:r>
        </a:p>
        <a:p>
          <a:r>
            <a:rPr lang="pt-BR" sz="1600" b="1" baseline="0"/>
            <a:t>3. </a:t>
          </a:r>
          <a:r>
            <a:rPr lang="pt-BR" sz="1600" b="0" baseline="0"/>
            <a:t>Na coluna </a:t>
          </a:r>
          <a:r>
            <a:rPr lang="pt-BR" sz="1600" b="1" baseline="0"/>
            <a:t>Ordem: </a:t>
          </a:r>
          <a:r>
            <a:rPr lang="pt-BR" sz="1600" b="0" baseline="0"/>
            <a:t>Utilizar a função ORDEM.EQ para retornar a ordem decrescente dos valores da coluna anterior</a:t>
          </a:r>
        </a:p>
        <a:p>
          <a:r>
            <a:rPr lang="pt-BR" sz="1600" b="1" baseline="0"/>
            <a:t>4. </a:t>
          </a:r>
          <a:r>
            <a:rPr lang="pt-BR" sz="1600" b="0" baseline="0"/>
            <a:t>Selecionar a localização com a menor soma (de ordem 1)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833437</xdr:colOff>
      <xdr:row>4</xdr:row>
      <xdr:rowOff>66676</xdr:rowOff>
    </xdr:from>
    <xdr:to>
      <xdr:col>20</xdr:col>
      <xdr:colOff>106669</xdr:colOff>
      <xdr:row>19</xdr:row>
      <xdr:rowOff>59531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50" t="10074" r="26525" b="14367"/>
        <a:stretch/>
      </xdr:blipFill>
      <xdr:spPr>
        <a:xfrm>
          <a:off x="13156406" y="876301"/>
          <a:ext cx="2333138" cy="3028949"/>
        </a:xfrm>
        <a:prstGeom prst="rect">
          <a:avLst/>
        </a:prstGeom>
      </xdr:spPr>
    </xdr:pic>
    <xdr:clientData/>
  </xdr:twoCellAnchor>
  <xdr:twoCellAnchor editAs="oneCell">
    <xdr:from>
      <xdr:col>20</xdr:col>
      <xdr:colOff>523873</xdr:colOff>
      <xdr:row>4</xdr:row>
      <xdr:rowOff>83344</xdr:rowOff>
    </xdr:from>
    <xdr:to>
      <xdr:col>23</xdr:col>
      <xdr:colOff>297368</xdr:colOff>
      <xdr:row>19</xdr:row>
      <xdr:rowOff>75821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906748" y="892969"/>
          <a:ext cx="2285714" cy="30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892967</xdr:colOff>
      <xdr:row>4</xdr:row>
      <xdr:rowOff>83345</xdr:rowOff>
    </xdr:from>
    <xdr:to>
      <xdr:col>26</xdr:col>
      <xdr:colOff>209272</xdr:colOff>
      <xdr:row>19</xdr:row>
      <xdr:rowOff>66299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88061" y="892970"/>
          <a:ext cx="2209524" cy="3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62804</xdr:colOff>
      <xdr:row>23</xdr:row>
      <xdr:rowOff>164332</xdr:rowOff>
    </xdr:from>
    <xdr:to>
      <xdr:col>24</xdr:col>
      <xdr:colOff>173991</xdr:colOff>
      <xdr:row>43</xdr:row>
      <xdr:rowOff>106164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DBBC63-524D-48CA-8952-28665B867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3879" y="4745857"/>
          <a:ext cx="5911912" cy="3751832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13607</xdr:colOff>
      <xdr:row>23</xdr:row>
      <xdr:rowOff>149678</xdr:rowOff>
    </xdr:from>
    <xdr:to>
      <xdr:col>13</xdr:col>
      <xdr:colOff>462644</xdr:colOff>
      <xdr:row>39</xdr:row>
      <xdr:rowOff>54429</xdr:rowOff>
    </xdr:to>
    <xdr:sp macro="" textlink="">
      <xdr:nvSpPr>
        <xdr:cNvPr id="3" name="TextBox 3"/>
        <xdr:cNvSpPr txBox="1"/>
      </xdr:nvSpPr>
      <xdr:spPr>
        <a:xfrm>
          <a:off x="156482" y="4731203"/>
          <a:ext cx="7716612" cy="2952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 u="sng">
              <a:solidFill>
                <a:schemeClr val="dk1"/>
              </a:solidFill>
              <a:latin typeface="+mn-lt"/>
              <a:ea typeface="+mn-ea"/>
              <a:cs typeface="+mn-cs"/>
            </a:rPr>
            <a:t>P-centros</a:t>
          </a:r>
        </a:p>
        <a:p>
          <a:r>
            <a:rPr lang="pt-BR" sz="1600" b="1" baseline="0"/>
            <a:t>Pressuposto:</a:t>
          </a:r>
        </a:p>
        <a:p>
          <a:r>
            <a:rPr lang="pt-BR" sz="1600" b="1" baseline="0"/>
            <a:t>1. </a:t>
          </a:r>
          <a:r>
            <a:rPr lang="pt-BR" sz="1600" b="0" baseline="0"/>
            <a:t>Localizar somente um armazém (P = 1)</a:t>
          </a:r>
        </a:p>
        <a:p>
          <a:r>
            <a:rPr lang="pt-BR" sz="1600" b="1" baseline="0"/>
            <a:t>2. </a:t>
          </a:r>
          <a:r>
            <a:rPr lang="pt-BR" sz="1600" b="0" baseline="0"/>
            <a:t>Todas as opções de localização atendem todas as demandas (</a:t>
          </a:r>
          <a:r>
            <a:rPr lang="pt-BR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∀xij</a:t>
          </a:r>
          <a:r>
            <a:rPr lang="pt-BR" sz="16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 1)</a:t>
          </a:r>
        </a:p>
        <a:p>
          <a:endParaRPr lang="pt-BR" sz="16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6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Para isso, você deve:</a:t>
          </a:r>
          <a:endParaRPr lang="pt-BR" sz="1600" b="1" baseline="0"/>
        </a:p>
        <a:p>
          <a:r>
            <a:rPr lang="pt-BR" sz="1600" b="1" baseline="0"/>
            <a:t>1.</a:t>
          </a:r>
          <a:r>
            <a:rPr lang="pt-BR" sz="1600" b="0" baseline="0"/>
            <a:t> Na coluna </a:t>
          </a:r>
          <a:r>
            <a:rPr lang="pt-BR" sz="1600" b="1" baseline="0"/>
            <a:t>MaxDist: </a:t>
          </a:r>
          <a:r>
            <a:rPr lang="pt-BR" sz="1600" b="0" baseline="0"/>
            <a:t>Utilizar a função MÁXIMO, para selecionar o maior tempo da linha referente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 baseline="0"/>
            <a:t>2. </a:t>
          </a:r>
          <a:r>
            <a:rPr lang="pt-BR" sz="1600" b="0" baseline="0"/>
            <a:t>Na coluna </a:t>
          </a:r>
          <a:r>
            <a:rPr lang="pt-BR" sz="1600" b="1" baseline="0"/>
            <a:t>Ordem:</a:t>
          </a:r>
          <a:r>
            <a:rPr kumimoji="0" lang="pt-BR" sz="16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Utilizar a função ORDEM.EQ para retornar a ordem decrescente dos valores da coluna anterior</a:t>
          </a:r>
        </a:p>
        <a:p>
          <a:r>
            <a:rPr lang="pt-BR" sz="1600" b="1" baseline="0"/>
            <a:t>3. </a:t>
          </a:r>
          <a:r>
            <a:rPr lang="pt-BR" sz="1600" b="0" baseline="0"/>
            <a:t>Selecionar a localização com o menor tempo (ordem 1)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587376</xdr:colOff>
      <xdr:row>2</xdr:row>
      <xdr:rowOff>125588</xdr:rowOff>
    </xdr:from>
    <xdr:to>
      <xdr:col>12</xdr:col>
      <xdr:colOff>190795</xdr:colOff>
      <xdr:row>7</xdr:row>
      <xdr:rowOff>76199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4426" y="506588"/>
          <a:ext cx="3041944" cy="903111"/>
        </a:xfrm>
        <a:prstGeom prst="rect">
          <a:avLst/>
        </a:prstGeom>
      </xdr:spPr>
    </xdr:pic>
    <xdr:clientData/>
  </xdr:twoCellAnchor>
  <xdr:twoCellAnchor>
    <xdr:from>
      <xdr:col>8</xdr:col>
      <xdr:colOff>12700</xdr:colOff>
      <xdr:row>1</xdr:row>
      <xdr:rowOff>19050</xdr:rowOff>
    </xdr:from>
    <xdr:to>
      <xdr:col>12</xdr:col>
      <xdr:colOff>142875</xdr:colOff>
      <xdr:row>2</xdr:row>
      <xdr:rowOff>127000</xdr:rowOff>
    </xdr:to>
    <xdr:sp macro="" textlink="">
      <xdr:nvSpPr>
        <xdr:cNvPr id="3" name="TextBox 2"/>
        <xdr:cNvSpPr txBox="1"/>
      </xdr:nvSpPr>
      <xdr:spPr>
        <a:xfrm>
          <a:off x="7480300" y="209550"/>
          <a:ext cx="2978150" cy="298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/>
            <a:t>Centro</a:t>
          </a:r>
          <a:r>
            <a:rPr lang="pt-BR" sz="1100" b="1" baseline="0"/>
            <a:t> de gravidade</a:t>
          </a:r>
        </a:p>
        <a:p>
          <a:pPr algn="l"/>
          <a:endParaRPr lang="pt-BR" sz="1100" b="1"/>
        </a:p>
      </xdr:txBody>
    </xdr:sp>
    <xdr:clientData/>
  </xdr:twoCellAnchor>
  <xdr:twoCellAnchor>
    <xdr:from>
      <xdr:col>8</xdr:col>
      <xdr:colOff>38100</xdr:colOff>
      <xdr:row>7</xdr:row>
      <xdr:rowOff>127000</xdr:rowOff>
    </xdr:from>
    <xdr:to>
      <xdr:col>12</xdr:col>
      <xdr:colOff>190500</xdr:colOff>
      <xdr:row>19</xdr:row>
      <xdr:rowOff>11430</xdr:rowOff>
    </xdr:to>
    <xdr:sp macro="" textlink="">
      <xdr:nvSpPr>
        <xdr:cNvPr id="4" name="TextBox 3"/>
        <xdr:cNvSpPr txBox="1"/>
      </xdr:nvSpPr>
      <xdr:spPr>
        <a:xfrm>
          <a:off x="7810500" y="1460500"/>
          <a:ext cx="3000375" cy="26181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1. Procurar as coordenadas das</a:t>
          </a:r>
          <a:r>
            <a:rPr lang="pt-BR" sz="1100" baseline="0"/>
            <a:t> cidades em:</a:t>
          </a:r>
          <a:br>
            <a:rPr lang="pt-BR" sz="1100" baseline="0"/>
          </a:br>
          <a:r>
            <a:rPr lang="pt-BR" sz="1100" baseline="0"/>
            <a:t>encurtador.com.br/bpCIP</a:t>
          </a:r>
        </a:p>
        <a:p>
          <a:r>
            <a:rPr lang="pt-BR" sz="1100" baseline="0"/>
            <a:t>2. Inserir a demanda.</a:t>
          </a:r>
        </a:p>
        <a:p>
          <a:r>
            <a:rPr lang="pt-BR" sz="1100" baseline="0"/>
            <a:t>3. Aplicar a fórmula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aseline="0"/>
            <a:t>4. Aplicar as coordenadas encontradas no mapa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/>
            <a:t>OBS: </a:t>
          </a:r>
          <a:r>
            <a:rPr lang="pt-BR" sz="1100" baseline="0"/>
            <a:t>Cuidado ao copiar coordenadas do maps para o excel (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-28.7137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=</a:t>
          </a:r>
          <a:r>
            <a:rPr lang="pt-BR">
              <a:effectLst/>
            </a:rPr>
            <a:t> -287137,0) trocar ponto por vírgula</a:t>
          </a:r>
          <a:endParaRPr lang="de-DE">
            <a:effectLst/>
          </a:endParaRPr>
        </a:p>
        <a:p>
          <a:endParaRPr lang="pt-BR" sz="1100"/>
        </a:p>
        <a:p>
          <a:r>
            <a:rPr lang="pt-BR" sz="1100"/>
            <a:t>Onde:</a:t>
          </a:r>
        </a:p>
        <a:p>
          <a:r>
            <a:rPr lang="pt-BR" sz="1100"/>
            <a:t>Xi:</a:t>
          </a:r>
          <a:r>
            <a:rPr lang="pt-BR" sz="1100" baseline="0"/>
            <a:t> coordenada do cliente no eixo X</a:t>
          </a:r>
        </a:p>
        <a:p>
          <a:r>
            <a:rPr lang="pt-BR" sz="1100" baseline="0"/>
            <a:t>Yi: coordenada do cliente no eixo Y</a:t>
          </a:r>
        </a:p>
        <a:p>
          <a:r>
            <a:rPr lang="pt-BR" sz="1100" baseline="0"/>
            <a:t>Vi: demanda do cliente</a:t>
          </a:r>
        </a:p>
        <a:p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workbookViewId="0">
      <selection activeCell="R14" sqref="R14"/>
    </sheetView>
  </sheetViews>
  <sheetFormatPr defaultColWidth="8.85546875" defaultRowHeight="15" x14ac:dyDescent="0.25"/>
  <cols>
    <col min="1" max="1" width="4.85546875" style="1" customWidth="1"/>
    <col min="2" max="6" width="8.85546875" style="1"/>
    <col min="7" max="7" width="8.85546875" style="1" customWidth="1"/>
    <col min="8" max="8" width="25.7109375" style="1" customWidth="1"/>
    <col min="9" max="9" width="15.5703125" style="17" bestFit="1" customWidth="1"/>
    <col min="10" max="10" width="8.85546875" style="1"/>
    <col min="11" max="11" width="10" style="1" bestFit="1" customWidth="1"/>
    <col min="12" max="16" width="8.85546875" style="1"/>
    <col min="17" max="17" width="10" style="1" bestFit="1" customWidth="1"/>
    <col min="18" max="18" width="8.85546875" style="1" customWidth="1"/>
    <col min="19" max="16384" width="8.85546875" style="1"/>
  </cols>
  <sheetData>
    <row r="2" spans="2:18" x14ac:dyDescent="0.25">
      <c r="B2" s="3"/>
      <c r="C2" s="3"/>
      <c r="D2" s="3"/>
      <c r="E2" s="3"/>
      <c r="F2" s="3"/>
      <c r="G2" s="3"/>
      <c r="H2" s="3"/>
    </row>
    <row r="7" spans="2:18" x14ac:dyDescent="0.25">
      <c r="B7"/>
    </row>
    <row r="16" spans="2:18" x14ac:dyDescent="0.25">
      <c r="I16" s="16" t="s">
        <v>17</v>
      </c>
      <c r="J16" s="15" t="s">
        <v>19</v>
      </c>
      <c r="K16" s="15" t="s">
        <v>24</v>
      </c>
      <c r="L16" s="15" t="s">
        <v>10</v>
      </c>
      <c r="M16" s="15" t="s">
        <v>20</v>
      </c>
      <c r="N16" s="15" t="s">
        <v>21</v>
      </c>
      <c r="O16" s="15" t="s">
        <v>22</v>
      </c>
      <c r="P16" s="15" t="s">
        <v>14</v>
      </c>
      <c r="Q16" s="15" t="s">
        <v>15</v>
      </c>
      <c r="R16" s="15" t="s">
        <v>23</v>
      </c>
    </row>
    <row r="17" spans="9:18" x14ac:dyDescent="0.25">
      <c r="I17" s="13" t="s">
        <v>18</v>
      </c>
      <c r="J17" s="18">
        <v>23166</v>
      </c>
      <c r="K17" s="18">
        <v>51840</v>
      </c>
      <c r="L17" s="18">
        <v>26514</v>
      </c>
      <c r="M17" s="18">
        <v>73602</v>
      </c>
      <c r="N17" s="18">
        <v>66798</v>
      </c>
      <c r="O17" s="18">
        <v>101952</v>
      </c>
      <c r="P17" s="18">
        <v>96336</v>
      </c>
      <c r="Q17" s="18">
        <v>41526</v>
      </c>
      <c r="R17" s="18">
        <v>58212</v>
      </c>
    </row>
    <row r="20" spans="9:18" x14ac:dyDescent="0.25">
      <c r="I20" s="1"/>
    </row>
    <row r="21" spans="9:18" x14ac:dyDescent="0.25">
      <c r="I21" s="1"/>
    </row>
    <row r="22" spans="9:18" x14ac:dyDescent="0.25">
      <c r="I22" s="1"/>
    </row>
    <row r="23" spans="9:18" x14ac:dyDescent="0.25">
      <c r="I23" s="1"/>
    </row>
    <row r="24" spans="9:18" x14ac:dyDescent="0.25">
      <c r="I24" s="1"/>
    </row>
    <row r="25" spans="9:18" x14ac:dyDescent="0.25">
      <c r="I25" s="1"/>
    </row>
    <row r="26" spans="9:18" x14ac:dyDescent="0.25">
      <c r="I26" s="1"/>
    </row>
    <row r="27" spans="9:18" x14ac:dyDescent="0.25">
      <c r="I27" s="1"/>
    </row>
    <row r="28" spans="9:18" x14ac:dyDescent="0.25">
      <c r="I28" s="1"/>
    </row>
    <row r="29" spans="9:18" x14ac:dyDescent="0.25">
      <c r="I29" s="1"/>
    </row>
    <row r="30" spans="9:18" x14ac:dyDescent="0.25">
      <c r="I30" s="1"/>
    </row>
    <row r="31" spans="9:18" x14ac:dyDescent="0.25">
      <c r="I31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Y978"/>
  <sheetViews>
    <sheetView showGridLines="0" tabSelected="1" topLeftCell="I1" zoomScale="80" zoomScaleNormal="80" workbookViewId="0">
      <selection activeCell="W27" sqref="W27"/>
    </sheetView>
  </sheetViews>
  <sheetFormatPr defaultColWidth="14.42578125" defaultRowHeight="15" customHeight="1" x14ac:dyDescent="0.25"/>
  <cols>
    <col min="1" max="1" width="4.7109375" style="55" customWidth="1"/>
    <col min="2" max="2" width="10.42578125" style="55" customWidth="1"/>
    <col min="3" max="3" width="11.42578125" style="55" customWidth="1"/>
    <col min="4" max="4" width="11.140625" style="55" customWidth="1"/>
    <col min="5" max="5" width="13.28515625" style="55" customWidth="1"/>
    <col min="6" max="6" width="15" style="55" customWidth="1"/>
    <col min="7" max="7" width="13.85546875" style="55" customWidth="1"/>
    <col min="8" max="8" width="14.85546875" style="55" customWidth="1"/>
    <col min="9" max="9" width="12.85546875" style="55" customWidth="1"/>
    <col min="10" max="10" width="13.42578125" style="55" customWidth="1"/>
    <col min="11" max="11" width="12" style="55" customWidth="1"/>
    <col min="12" max="12" width="10.140625" style="55" customWidth="1"/>
    <col min="13" max="13" width="8.42578125" style="55" customWidth="1"/>
    <col min="14" max="14" width="9.7109375" style="55" customWidth="1"/>
    <col min="15" max="15" width="12.140625" style="55" customWidth="1"/>
    <col min="16" max="16" width="11.7109375" style="55" customWidth="1"/>
    <col min="17" max="17" width="13.7109375" style="55" customWidth="1"/>
    <col min="18" max="18" width="14.7109375" style="55" customWidth="1"/>
    <col min="19" max="21" width="8.7109375" style="55" customWidth="1"/>
    <col min="22" max="16384" width="14.42578125" style="55"/>
  </cols>
  <sheetData>
    <row r="1" spans="2:25" ht="15.75" customHeight="1" x14ac:dyDescent="0.25"/>
    <row r="2" spans="2:25" ht="15.75" customHeight="1" x14ac:dyDescent="0.25">
      <c r="B2" s="175" t="s">
        <v>136</v>
      </c>
      <c r="C2" s="159"/>
      <c r="D2" s="159"/>
      <c r="E2" s="159"/>
      <c r="F2" s="159"/>
      <c r="G2" s="159"/>
      <c r="H2" s="159"/>
      <c r="I2" s="159"/>
      <c r="J2" s="160"/>
      <c r="L2" s="176" t="s">
        <v>137</v>
      </c>
      <c r="M2" s="159"/>
      <c r="N2" s="159"/>
      <c r="O2" s="160"/>
    </row>
    <row r="3" spans="2:25" ht="15.75" customHeight="1" x14ac:dyDescent="0.25">
      <c r="B3" s="76" t="s">
        <v>138</v>
      </c>
      <c r="C3" s="76" t="s">
        <v>139</v>
      </c>
      <c r="D3" s="76" t="s">
        <v>140</v>
      </c>
      <c r="E3" s="76" t="s">
        <v>141</v>
      </c>
      <c r="F3" s="76" t="s">
        <v>142</v>
      </c>
      <c r="G3" s="76" t="s">
        <v>143</v>
      </c>
      <c r="H3" s="76" t="s">
        <v>144</v>
      </c>
      <c r="I3" s="76" t="s">
        <v>145</v>
      </c>
      <c r="J3" s="76" t="s">
        <v>146</v>
      </c>
      <c r="L3" s="76" t="s">
        <v>147</v>
      </c>
      <c r="M3" s="76" t="s">
        <v>119</v>
      </c>
      <c r="N3" s="76" t="s">
        <v>120</v>
      </c>
      <c r="O3" s="76" t="s">
        <v>121</v>
      </c>
    </row>
    <row r="4" spans="2:25" ht="15.75" customHeight="1" x14ac:dyDescent="0.25">
      <c r="B4" s="77" t="s">
        <v>47</v>
      </c>
      <c r="C4" s="77" t="s">
        <v>44</v>
      </c>
      <c r="D4" s="77" t="s">
        <v>148</v>
      </c>
      <c r="E4" s="78">
        <v>1513</v>
      </c>
      <c r="F4" s="79">
        <v>4</v>
      </c>
      <c r="G4" s="80">
        <v>15730</v>
      </c>
      <c r="H4" s="80">
        <v>20240</v>
      </c>
      <c r="I4" s="80">
        <v>10935</v>
      </c>
      <c r="J4" s="80">
        <v>17890</v>
      </c>
      <c r="L4" s="66">
        <v>1</v>
      </c>
      <c r="M4" s="66">
        <v>2712</v>
      </c>
      <c r="N4" s="66">
        <v>2141</v>
      </c>
      <c r="O4" s="66">
        <v>3536</v>
      </c>
      <c r="R4" s="55" t="s">
        <v>226</v>
      </c>
      <c r="V4" s="73" t="s">
        <v>227</v>
      </c>
      <c r="Y4" s="73" t="s">
        <v>228</v>
      </c>
    </row>
    <row r="5" spans="2:25" ht="15.75" customHeight="1" x14ac:dyDescent="0.25">
      <c r="B5" s="77" t="s">
        <v>44</v>
      </c>
      <c r="C5" s="77" t="s">
        <v>45</v>
      </c>
      <c r="D5" s="77" t="s">
        <v>148</v>
      </c>
      <c r="E5" s="81">
        <v>3248</v>
      </c>
      <c r="F5" s="79">
        <v>11</v>
      </c>
      <c r="G5" s="80">
        <v>6510</v>
      </c>
      <c r="H5" s="80">
        <v>10355</v>
      </c>
      <c r="I5" s="80">
        <v>4495</v>
      </c>
      <c r="J5" s="80">
        <v>8935</v>
      </c>
      <c r="L5" s="66">
        <v>2</v>
      </c>
      <c r="M5" s="66">
        <v>2407</v>
      </c>
      <c r="N5" s="66">
        <v>2216</v>
      </c>
      <c r="O5" s="66">
        <v>3619</v>
      </c>
    </row>
    <row r="6" spans="2:25" ht="15.75" customHeight="1" x14ac:dyDescent="0.25">
      <c r="B6" s="79" t="s">
        <v>44</v>
      </c>
      <c r="C6" s="79" t="s">
        <v>46</v>
      </c>
      <c r="D6" s="77" t="s">
        <v>148</v>
      </c>
      <c r="E6" s="81">
        <v>862</v>
      </c>
      <c r="F6" s="79">
        <v>4</v>
      </c>
      <c r="G6" s="80">
        <v>1970</v>
      </c>
      <c r="H6" s="80">
        <v>3300</v>
      </c>
      <c r="I6" s="80">
        <v>1200</v>
      </c>
      <c r="J6" s="80">
        <v>2995</v>
      </c>
      <c r="L6" s="66">
        <v>3</v>
      </c>
      <c r="M6" s="66">
        <v>2594</v>
      </c>
      <c r="N6" s="66">
        <v>2354</v>
      </c>
      <c r="O6" s="66">
        <v>3832</v>
      </c>
    </row>
    <row r="7" spans="2:25" ht="15.75" customHeight="1" x14ac:dyDescent="0.25">
      <c r="B7" s="79" t="s">
        <v>44</v>
      </c>
      <c r="C7" s="79" t="s">
        <v>49</v>
      </c>
      <c r="D7" s="77" t="s">
        <v>148</v>
      </c>
      <c r="E7" s="77">
        <v>903</v>
      </c>
      <c r="F7" s="77">
        <v>3</v>
      </c>
      <c r="G7" s="80">
        <v>1830</v>
      </c>
      <c r="H7" s="80">
        <v>3575</v>
      </c>
      <c r="I7" s="80">
        <v>1060</v>
      </c>
      <c r="J7" s="80">
        <v>2880</v>
      </c>
      <c r="L7" s="66">
        <v>4</v>
      </c>
      <c r="M7" s="66">
        <v>2413</v>
      </c>
      <c r="N7" s="66">
        <v>3301</v>
      </c>
      <c r="O7" s="66">
        <v>3347</v>
      </c>
    </row>
    <row r="8" spans="2:25" ht="15.75" customHeight="1" x14ac:dyDescent="0.25">
      <c r="B8" s="77" t="s">
        <v>47</v>
      </c>
      <c r="C8" s="77" t="s">
        <v>41</v>
      </c>
      <c r="D8" s="77" t="s">
        <v>148</v>
      </c>
      <c r="E8" s="81">
        <v>40</v>
      </c>
      <c r="F8" s="79">
        <v>1</v>
      </c>
      <c r="G8" s="80">
        <v>655</v>
      </c>
      <c r="H8" s="80">
        <v>1085</v>
      </c>
      <c r="I8" s="80">
        <v>430</v>
      </c>
      <c r="J8" s="80">
        <v>910</v>
      </c>
      <c r="L8" s="66">
        <v>5</v>
      </c>
      <c r="M8" s="66">
        <v>1768</v>
      </c>
      <c r="N8" s="66">
        <v>3326</v>
      </c>
      <c r="O8" s="66">
        <v>3169</v>
      </c>
    </row>
    <row r="9" spans="2:25" ht="15.75" customHeight="1" x14ac:dyDescent="0.25">
      <c r="B9" s="77" t="s">
        <v>41</v>
      </c>
      <c r="C9" s="77" t="s">
        <v>149</v>
      </c>
      <c r="D9" s="77" t="s">
        <v>150</v>
      </c>
      <c r="E9" s="81">
        <v>419</v>
      </c>
      <c r="F9" s="79">
        <v>5</v>
      </c>
      <c r="G9" s="80">
        <v>1625</v>
      </c>
      <c r="H9" s="80">
        <v>2800</v>
      </c>
      <c r="I9" s="82" t="s">
        <v>151</v>
      </c>
      <c r="J9" s="80" t="s">
        <v>151</v>
      </c>
      <c r="L9" s="66">
        <v>6</v>
      </c>
      <c r="M9" s="66">
        <v>1825</v>
      </c>
      <c r="N9" s="66">
        <v>3307</v>
      </c>
      <c r="O9" s="66">
        <v>2897</v>
      </c>
    </row>
    <row r="10" spans="2:25" ht="15.75" customHeight="1" x14ac:dyDescent="0.25">
      <c r="B10" s="77" t="s">
        <v>41</v>
      </c>
      <c r="C10" s="77" t="s">
        <v>45</v>
      </c>
      <c r="D10" s="77" t="s">
        <v>150</v>
      </c>
      <c r="E10" s="81">
        <v>4212</v>
      </c>
      <c r="F10" s="79">
        <v>14</v>
      </c>
      <c r="G10" s="80">
        <v>8680</v>
      </c>
      <c r="H10" s="80">
        <v>13200</v>
      </c>
      <c r="I10" s="82" t="s">
        <v>151</v>
      </c>
      <c r="J10" s="80" t="s">
        <v>151</v>
      </c>
      <c r="L10" s="66">
        <v>7</v>
      </c>
      <c r="M10" s="66">
        <v>2113</v>
      </c>
      <c r="N10" s="66">
        <v>2745</v>
      </c>
      <c r="O10" s="66">
        <v>2014</v>
      </c>
    </row>
    <row r="11" spans="2:25" ht="15.75" customHeight="1" x14ac:dyDescent="0.25">
      <c r="B11" s="77" t="s">
        <v>152</v>
      </c>
      <c r="C11" s="77" t="s">
        <v>153</v>
      </c>
      <c r="D11" s="77" t="s">
        <v>148</v>
      </c>
      <c r="E11" s="81">
        <v>3249</v>
      </c>
      <c r="F11" s="79">
        <v>13</v>
      </c>
      <c r="G11" s="80">
        <v>7615</v>
      </c>
      <c r="H11" s="83">
        <v>13695</v>
      </c>
      <c r="I11" s="83">
        <v>5275</v>
      </c>
      <c r="J11" s="80">
        <v>11585</v>
      </c>
      <c r="L11" s="66">
        <v>8</v>
      </c>
      <c r="M11" s="66">
        <v>2181</v>
      </c>
      <c r="N11" s="66">
        <v>3021</v>
      </c>
      <c r="O11" s="66">
        <v>2164</v>
      </c>
    </row>
    <row r="12" spans="2:25" ht="15.75" customHeight="1" x14ac:dyDescent="0.25">
      <c r="B12" s="77" t="s">
        <v>149</v>
      </c>
      <c r="C12" s="77" t="s">
        <v>153</v>
      </c>
      <c r="D12" s="77" t="s">
        <v>148</v>
      </c>
      <c r="E12" s="81">
        <v>975</v>
      </c>
      <c r="F12" s="79">
        <v>3</v>
      </c>
      <c r="G12" s="80">
        <v>1630</v>
      </c>
      <c r="H12" s="83">
        <v>3010</v>
      </c>
      <c r="I12" s="83">
        <v>1100</v>
      </c>
      <c r="J12" s="80">
        <v>2715</v>
      </c>
      <c r="L12" s="66">
        <v>9</v>
      </c>
      <c r="M12" s="66">
        <v>2145</v>
      </c>
      <c r="N12" s="66">
        <v>3052</v>
      </c>
      <c r="O12" s="66">
        <v>2499</v>
      </c>
    </row>
    <row r="13" spans="2:25" ht="15.75" customHeight="1" x14ac:dyDescent="0.25">
      <c r="L13" s="66">
        <v>10</v>
      </c>
      <c r="M13" s="66">
        <v>2536</v>
      </c>
      <c r="N13" s="66">
        <v>3293</v>
      </c>
      <c r="O13" s="66">
        <v>2444</v>
      </c>
    </row>
    <row r="14" spans="2:25" ht="15.75" customHeight="1" x14ac:dyDescent="0.25">
      <c r="L14" s="66">
        <v>11</v>
      </c>
      <c r="M14" s="66">
        <v>2624</v>
      </c>
      <c r="N14" s="66">
        <v>3403</v>
      </c>
      <c r="O14" s="66">
        <v>2913</v>
      </c>
    </row>
    <row r="15" spans="2:25" ht="15.75" customHeight="1" x14ac:dyDescent="0.25">
      <c r="L15" s="66">
        <v>12</v>
      </c>
      <c r="M15" s="66">
        <v>3087</v>
      </c>
      <c r="N15" s="66">
        <v>3081</v>
      </c>
      <c r="O15" s="66">
        <v>3187</v>
      </c>
    </row>
    <row r="16" spans="2:25" ht="15.75" customHeight="1" x14ac:dyDescent="0.25">
      <c r="L16" s="76" t="s">
        <v>154</v>
      </c>
      <c r="M16" s="84">
        <f t="shared" ref="M16:O16" si="0">MEDIAN(M4:M15)</f>
        <v>2410</v>
      </c>
      <c r="N16" s="84">
        <f t="shared" si="0"/>
        <v>3066.5</v>
      </c>
      <c r="O16" s="84">
        <f t="shared" si="0"/>
        <v>3041</v>
      </c>
      <c r="R16" s="73" t="s">
        <v>227</v>
      </c>
    </row>
    <row r="17" spans="2:18" ht="15.75" customHeight="1" x14ac:dyDescent="0.25">
      <c r="B17" s="76" t="s">
        <v>119</v>
      </c>
    </row>
    <row r="18" spans="2:18" ht="15.75" customHeight="1" x14ac:dyDescent="0.25">
      <c r="B18" s="76" t="s">
        <v>147</v>
      </c>
      <c r="C18" s="76">
        <v>1</v>
      </c>
      <c r="D18" s="76">
        <v>2</v>
      </c>
      <c r="E18" s="76">
        <v>3</v>
      </c>
      <c r="F18" s="76">
        <v>4</v>
      </c>
      <c r="G18" s="76">
        <v>5</v>
      </c>
      <c r="H18" s="76">
        <v>6</v>
      </c>
      <c r="I18" s="76">
        <v>7</v>
      </c>
      <c r="J18" s="76">
        <v>8</v>
      </c>
      <c r="K18" s="76">
        <v>9</v>
      </c>
      <c r="L18" s="76">
        <v>10</v>
      </c>
      <c r="M18" s="76">
        <v>11</v>
      </c>
      <c r="N18" s="76">
        <v>12</v>
      </c>
      <c r="O18" s="76" t="s">
        <v>154</v>
      </c>
    </row>
    <row r="19" spans="2:18" ht="15.75" customHeight="1" x14ac:dyDescent="0.25">
      <c r="B19" s="84" t="s">
        <v>36</v>
      </c>
      <c r="C19" s="66">
        <v>2712</v>
      </c>
      <c r="D19" s="66">
        <v>2407</v>
      </c>
      <c r="E19" s="66">
        <v>2594</v>
      </c>
      <c r="F19" s="66">
        <v>2413</v>
      </c>
      <c r="G19" s="66">
        <v>1768</v>
      </c>
      <c r="H19" s="66">
        <v>1825</v>
      </c>
      <c r="I19" s="66">
        <v>2113</v>
      </c>
      <c r="J19" s="66">
        <v>2181</v>
      </c>
      <c r="K19" s="66">
        <v>2145</v>
      </c>
      <c r="L19" s="66">
        <v>2536</v>
      </c>
      <c r="M19" s="66">
        <v>2624</v>
      </c>
      <c r="N19" s="66">
        <v>3087</v>
      </c>
      <c r="O19" s="66">
        <f>MEDIAN(C19:N19)</f>
        <v>2410</v>
      </c>
      <c r="R19"/>
    </row>
    <row r="20" spans="2:18" ht="15.75" customHeight="1" x14ac:dyDescent="0.25">
      <c r="B20" s="84" t="s">
        <v>113</v>
      </c>
      <c r="C20" s="66">
        <v>17</v>
      </c>
      <c r="D20" s="66">
        <v>15</v>
      </c>
      <c r="E20" s="66">
        <v>16</v>
      </c>
      <c r="F20" s="66">
        <v>15</v>
      </c>
      <c r="G20" s="66">
        <v>11</v>
      </c>
      <c r="H20" s="66">
        <v>11</v>
      </c>
      <c r="I20" s="66">
        <v>13</v>
      </c>
      <c r="J20" s="66">
        <v>13</v>
      </c>
      <c r="K20" s="66">
        <v>13</v>
      </c>
      <c r="L20" s="66">
        <v>16</v>
      </c>
      <c r="M20" s="66">
        <v>16</v>
      </c>
      <c r="N20" s="66">
        <v>19</v>
      </c>
      <c r="O20" s="66">
        <v>15</v>
      </c>
    </row>
    <row r="21" spans="2:18" ht="15.75" customHeight="1" x14ac:dyDescent="0.25">
      <c r="B21" s="84" t="s">
        <v>114</v>
      </c>
      <c r="C21" s="66">
        <v>7</v>
      </c>
      <c r="D21" s="66">
        <v>6</v>
      </c>
      <c r="E21" s="66">
        <v>7</v>
      </c>
      <c r="F21" s="66">
        <v>6</v>
      </c>
      <c r="G21" s="66">
        <v>5</v>
      </c>
      <c r="H21" s="66">
        <v>5</v>
      </c>
      <c r="I21" s="66">
        <v>6</v>
      </c>
      <c r="J21" s="66">
        <v>6</v>
      </c>
      <c r="K21" s="66">
        <v>6</v>
      </c>
      <c r="L21" s="66">
        <v>7</v>
      </c>
      <c r="M21" s="66">
        <v>7</v>
      </c>
      <c r="N21" s="66">
        <v>8</v>
      </c>
      <c r="O21" s="66">
        <v>6</v>
      </c>
    </row>
    <row r="22" spans="2:18" ht="15.75" customHeight="1" x14ac:dyDescent="0.25">
      <c r="B22" s="84" t="s">
        <v>155</v>
      </c>
      <c r="C22" s="66">
        <v>4</v>
      </c>
      <c r="D22" s="66">
        <v>4</v>
      </c>
      <c r="E22" s="66">
        <v>4</v>
      </c>
      <c r="F22" s="66">
        <v>4</v>
      </c>
      <c r="G22" s="66">
        <v>3</v>
      </c>
      <c r="H22" s="66">
        <v>3</v>
      </c>
      <c r="I22" s="66">
        <v>3</v>
      </c>
      <c r="J22" s="66">
        <v>3</v>
      </c>
      <c r="K22" s="66">
        <v>3</v>
      </c>
      <c r="L22" s="66">
        <v>4</v>
      </c>
      <c r="M22" s="66">
        <v>4</v>
      </c>
      <c r="N22" s="66">
        <v>5</v>
      </c>
      <c r="O22" s="66">
        <v>4</v>
      </c>
    </row>
    <row r="23" spans="2:18" ht="15.75" customHeight="1" x14ac:dyDescent="0.25">
      <c r="B23" s="84" t="s">
        <v>156</v>
      </c>
      <c r="C23" s="66">
        <v>7</v>
      </c>
      <c r="D23" s="66">
        <v>6</v>
      </c>
      <c r="E23" s="66">
        <v>7</v>
      </c>
      <c r="F23" s="66">
        <v>6</v>
      </c>
      <c r="G23" s="66">
        <v>5</v>
      </c>
      <c r="H23" s="66">
        <v>5</v>
      </c>
      <c r="I23" s="66">
        <v>5</v>
      </c>
      <c r="J23" s="66">
        <v>6</v>
      </c>
      <c r="K23" s="66">
        <v>5</v>
      </c>
      <c r="L23" s="66">
        <v>6</v>
      </c>
      <c r="M23" s="66">
        <v>7</v>
      </c>
      <c r="N23" s="66">
        <v>8</v>
      </c>
      <c r="O23" s="66">
        <v>6</v>
      </c>
    </row>
    <row r="24" spans="2:18" ht="15.75" customHeight="1" x14ac:dyDescent="0.25"/>
    <row r="25" spans="2:18" ht="15.75" customHeight="1" x14ac:dyDescent="0.25">
      <c r="B25" s="76" t="s">
        <v>120</v>
      </c>
    </row>
    <row r="26" spans="2:18" ht="15.75" customHeight="1" x14ac:dyDescent="0.25">
      <c r="B26" s="76" t="s">
        <v>147</v>
      </c>
      <c r="C26" s="76">
        <v>1</v>
      </c>
      <c r="D26" s="76">
        <v>2</v>
      </c>
      <c r="E26" s="76">
        <v>3</v>
      </c>
      <c r="F26" s="76">
        <v>4</v>
      </c>
      <c r="G26" s="76">
        <v>5</v>
      </c>
      <c r="H26" s="76">
        <v>6</v>
      </c>
      <c r="I26" s="76">
        <v>7</v>
      </c>
      <c r="J26" s="76">
        <v>8</v>
      </c>
      <c r="K26" s="76">
        <v>9</v>
      </c>
      <c r="L26" s="76">
        <v>10</v>
      </c>
      <c r="M26" s="76">
        <v>11</v>
      </c>
      <c r="N26" s="76">
        <v>12</v>
      </c>
      <c r="O26" s="76" t="s">
        <v>154</v>
      </c>
    </row>
    <row r="27" spans="2:18" ht="15.75" customHeight="1" x14ac:dyDescent="0.25">
      <c r="B27" s="84" t="s">
        <v>36</v>
      </c>
      <c r="C27" s="66">
        <v>2141</v>
      </c>
      <c r="D27" s="66">
        <v>2216</v>
      </c>
      <c r="E27" s="66">
        <v>2354</v>
      </c>
      <c r="F27" s="66">
        <v>3301</v>
      </c>
      <c r="G27" s="66">
        <v>3326</v>
      </c>
      <c r="H27" s="66">
        <v>3307</v>
      </c>
      <c r="I27" s="66">
        <v>2745</v>
      </c>
      <c r="J27" s="66">
        <v>3021</v>
      </c>
      <c r="K27" s="66">
        <v>3052</v>
      </c>
      <c r="L27" s="66">
        <v>3293</v>
      </c>
      <c r="M27" s="66">
        <v>3403</v>
      </c>
      <c r="N27" s="66">
        <v>3081</v>
      </c>
      <c r="O27" s="66">
        <f>MEDIAN(C27:N27)</f>
        <v>3066.5</v>
      </c>
    </row>
    <row r="28" spans="2:18" ht="15.75" customHeight="1" x14ac:dyDescent="0.25">
      <c r="B28" s="84" t="s">
        <v>113</v>
      </c>
      <c r="C28" s="66">
        <v>13</v>
      </c>
      <c r="D28" s="66">
        <v>14</v>
      </c>
      <c r="E28" s="66">
        <v>15</v>
      </c>
      <c r="F28" s="66">
        <v>20</v>
      </c>
      <c r="G28" s="66">
        <v>20</v>
      </c>
      <c r="H28" s="66">
        <v>20</v>
      </c>
      <c r="I28" s="66">
        <v>17</v>
      </c>
      <c r="J28" s="66">
        <v>18</v>
      </c>
      <c r="K28" s="66">
        <v>19</v>
      </c>
      <c r="L28" s="66">
        <v>20</v>
      </c>
      <c r="M28" s="66">
        <v>21</v>
      </c>
      <c r="N28" s="66">
        <v>19</v>
      </c>
      <c r="O28" s="66">
        <v>19</v>
      </c>
    </row>
    <row r="29" spans="2:18" ht="15.75" customHeight="1" x14ac:dyDescent="0.25">
      <c r="B29" s="84" t="s">
        <v>114</v>
      </c>
      <c r="C29" s="66">
        <v>6</v>
      </c>
      <c r="D29" s="66">
        <v>6</v>
      </c>
      <c r="E29" s="66">
        <v>6</v>
      </c>
      <c r="F29" s="66">
        <v>8</v>
      </c>
      <c r="G29" s="66">
        <v>8</v>
      </c>
      <c r="H29" s="66">
        <v>8</v>
      </c>
      <c r="I29" s="66">
        <v>7</v>
      </c>
      <c r="J29" s="66">
        <v>8</v>
      </c>
      <c r="K29" s="66">
        <v>8</v>
      </c>
      <c r="L29" s="66">
        <v>8</v>
      </c>
      <c r="M29" s="66">
        <v>9</v>
      </c>
      <c r="N29" s="66">
        <v>8</v>
      </c>
      <c r="O29" s="66">
        <v>8</v>
      </c>
    </row>
    <row r="30" spans="2:18" ht="15.75" customHeight="1" x14ac:dyDescent="0.25">
      <c r="B30" s="84" t="s">
        <v>155</v>
      </c>
      <c r="C30" s="66">
        <v>3</v>
      </c>
      <c r="D30" s="66">
        <v>3</v>
      </c>
      <c r="E30" s="66">
        <v>4</v>
      </c>
      <c r="F30" s="66">
        <v>5</v>
      </c>
      <c r="G30" s="66">
        <v>5</v>
      </c>
      <c r="H30" s="66">
        <v>5</v>
      </c>
      <c r="I30" s="66">
        <v>4</v>
      </c>
      <c r="J30" s="66">
        <v>4</v>
      </c>
      <c r="K30" s="66">
        <v>4</v>
      </c>
      <c r="L30" s="66">
        <v>5</v>
      </c>
      <c r="M30" s="66">
        <v>5</v>
      </c>
      <c r="N30" s="66">
        <v>5</v>
      </c>
      <c r="O30" s="66">
        <v>5</v>
      </c>
    </row>
    <row r="31" spans="2:18" ht="15.75" customHeight="1" x14ac:dyDescent="0.25">
      <c r="B31" s="84" t="s">
        <v>156</v>
      </c>
      <c r="C31" s="66">
        <v>5</v>
      </c>
      <c r="D31" s="66">
        <v>6</v>
      </c>
      <c r="E31" s="66">
        <v>6</v>
      </c>
      <c r="F31" s="66">
        <v>8</v>
      </c>
      <c r="G31" s="66">
        <v>8</v>
      </c>
      <c r="H31" s="66">
        <v>8</v>
      </c>
      <c r="I31" s="66">
        <v>7</v>
      </c>
      <c r="J31" s="66">
        <v>7</v>
      </c>
      <c r="K31" s="66">
        <v>8</v>
      </c>
      <c r="L31" s="66">
        <v>8</v>
      </c>
      <c r="M31" s="66">
        <v>8</v>
      </c>
      <c r="N31" s="66">
        <v>8</v>
      </c>
      <c r="O31" s="66">
        <v>8</v>
      </c>
    </row>
    <row r="32" spans="2:18" ht="15.75" customHeight="1" x14ac:dyDescent="0.25"/>
    <row r="33" spans="2:18" ht="15.75" customHeight="1" x14ac:dyDescent="0.25">
      <c r="B33" s="76" t="s">
        <v>121</v>
      </c>
    </row>
    <row r="34" spans="2:18" ht="15.75" customHeight="1" x14ac:dyDescent="0.25">
      <c r="B34" s="76" t="s">
        <v>147</v>
      </c>
      <c r="C34" s="76">
        <v>1</v>
      </c>
      <c r="D34" s="76">
        <v>2</v>
      </c>
      <c r="E34" s="76">
        <v>3</v>
      </c>
      <c r="F34" s="76">
        <v>4</v>
      </c>
      <c r="G34" s="76">
        <v>5</v>
      </c>
      <c r="H34" s="76">
        <v>6</v>
      </c>
      <c r="I34" s="76">
        <v>7</v>
      </c>
      <c r="J34" s="76">
        <v>8</v>
      </c>
      <c r="K34" s="76">
        <v>9</v>
      </c>
      <c r="L34" s="76">
        <v>10</v>
      </c>
      <c r="M34" s="76">
        <v>11</v>
      </c>
      <c r="N34" s="76">
        <v>12</v>
      </c>
      <c r="O34" s="76" t="s">
        <v>154</v>
      </c>
    </row>
    <row r="35" spans="2:18" ht="15.75" customHeight="1" x14ac:dyDescent="0.25">
      <c r="B35" s="84" t="s">
        <v>36</v>
      </c>
      <c r="C35" s="66">
        <v>3536</v>
      </c>
      <c r="D35" s="66">
        <v>3619</v>
      </c>
      <c r="E35" s="66">
        <v>3832</v>
      </c>
      <c r="F35" s="66">
        <v>3347</v>
      </c>
      <c r="G35" s="66">
        <v>3169</v>
      </c>
      <c r="H35" s="66">
        <v>2897</v>
      </c>
      <c r="I35" s="66">
        <v>2014</v>
      </c>
      <c r="J35" s="66">
        <v>2164</v>
      </c>
      <c r="K35" s="66">
        <v>2499</v>
      </c>
      <c r="L35" s="66">
        <v>2444</v>
      </c>
      <c r="M35" s="66">
        <v>2913</v>
      </c>
      <c r="N35" s="66">
        <v>3187</v>
      </c>
      <c r="O35" s="66">
        <f>MEDIAN(C35:N35)</f>
        <v>3041</v>
      </c>
      <c r="Q35"/>
    </row>
    <row r="36" spans="2:18" ht="15.75" customHeight="1" x14ac:dyDescent="0.25">
      <c r="B36" s="84" t="s">
        <v>113</v>
      </c>
      <c r="C36" s="66">
        <v>22</v>
      </c>
      <c r="D36" s="66">
        <v>22</v>
      </c>
      <c r="E36" s="66">
        <v>23</v>
      </c>
      <c r="F36" s="66">
        <v>20</v>
      </c>
      <c r="G36" s="66">
        <v>19</v>
      </c>
      <c r="H36" s="66">
        <v>18</v>
      </c>
      <c r="I36" s="66">
        <v>12</v>
      </c>
      <c r="J36" s="66">
        <v>13</v>
      </c>
      <c r="K36" s="66">
        <v>15</v>
      </c>
      <c r="L36" s="66">
        <v>15</v>
      </c>
      <c r="M36" s="66">
        <v>18</v>
      </c>
      <c r="N36" s="66">
        <v>19</v>
      </c>
      <c r="O36" s="66">
        <v>19</v>
      </c>
    </row>
    <row r="37" spans="2:18" ht="15.75" customHeight="1" x14ac:dyDescent="0.25">
      <c r="B37" s="84" t="s">
        <v>114</v>
      </c>
      <c r="C37" s="66">
        <v>9</v>
      </c>
      <c r="D37" s="66">
        <v>9</v>
      </c>
      <c r="E37" s="66">
        <v>10</v>
      </c>
      <c r="F37" s="66">
        <v>9</v>
      </c>
      <c r="G37" s="66">
        <v>8</v>
      </c>
      <c r="H37" s="66">
        <v>7</v>
      </c>
      <c r="I37" s="66">
        <v>5</v>
      </c>
      <c r="J37" s="66">
        <v>6</v>
      </c>
      <c r="K37" s="66">
        <v>7</v>
      </c>
      <c r="L37" s="66">
        <v>6</v>
      </c>
      <c r="M37" s="66">
        <v>8</v>
      </c>
      <c r="N37" s="66">
        <v>8</v>
      </c>
      <c r="O37" s="66">
        <v>8</v>
      </c>
    </row>
    <row r="38" spans="2:18" ht="15.75" customHeight="1" x14ac:dyDescent="0.25">
      <c r="B38" s="84" t="s">
        <v>155</v>
      </c>
      <c r="C38" s="66">
        <v>5</v>
      </c>
      <c r="D38" s="66">
        <v>5</v>
      </c>
      <c r="E38" s="66">
        <v>5</v>
      </c>
      <c r="F38" s="66">
        <v>5</v>
      </c>
      <c r="G38" s="66">
        <v>5</v>
      </c>
      <c r="H38" s="66">
        <v>4</v>
      </c>
      <c r="I38" s="66">
        <v>3</v>
      </c>
      <c r="J38" s="66">
        <v>3</v>
      </c>
      <c r="K38" s="66">
        <v>4</v>
      </c>
      <c r="L38" s="66">
        <v>4</v>
      </c>
      <c r="M38" s="66">
        <v>4</v>
      </c>
      <c r="N38" s="66">
        <v>5</v>
      </c>
      <c r="O38" s="66">
        <v>5</v>
      </c>
    </row>
    <row r="39" spans="2:18" ht="15.75" customHeight="1" x14ac:dyDescent="0.25">
      <c r="B39" s="84" t="s">
        <v>156</v>
      </c>
      <c r="C39" s="66">
        <v>9</v>
      </c>
      <c r="D39" s="66">
        <v>9</v>
      </c>
      <c r="E39" s="66">
        <v>9</v>
      </c>
      <c r="F39" s="66">
        <v>8</v>
      </c>
      <c r="G39" s="66">
        <v>8</v>
      </c>
      <c r="H39" s="66">
        <v>7</v>
      </c>
      <c r="I39" s="66">
        <v>5</v>
      </c>
      <c r="J39" s="66">
        <v>6</v>
      </c>
      <c r="K39" s="66">
        <v>6</v>
      </c>
      <c r="L39" s="66">
        <v>6</v>
      </c>
      <c r="M39" s="66">
        <v>7</v>
      </c>
      <c r="N39" s="66">
        <v>8</v>
      </c>
      <c r="O39" s="66">
        <v>8</v>
      </c>
    </row>
    <row r="40" spans="2:18" ht="15.75" customHeight="1" x14ac:dyDescent="0.25"/>
    <row r="41" spans="2:18" ht="15.75" customHeight="1" x14ac:dyDescent="0.25">
      <c r="B41" s="173" t="s">
        <v>157</v>
      </c>
      <c r="C41" s="159"/>
      <c r="D41" s="159"/>
      <c r="E41" s="159"/>
      <c r="F41" s="160"/>
      <c r="H41" s="175" t="s">
        <v>158</v>
      </c>
      <c r="I41" s="159"/>
      <c r="J41" s="159"/>
      <c r="K41" s="159"/>
      <c r="L41" s="160"/>
      <c r="N41" s="175" t="s">
        <v>159</v>
      </c>
      <c r="O41" s="159"/>
      <c r="P41" s="159"/>
      <c r="Q41" s="159"/>
      <c r="R41" s="160"/>
    </row>
    <row r="42" spans="2:18" ht="15.75" customHeight="1" x14ac:dyDescent="0.25">
      <c r="B42" s="76" t="s">
        <v>160</v>
      </c>
      <c r="C42" s="76" t="s">
        <v>161</v>
      </c>
      <c r="D42" s="76" t="s">
        <v>162</v>
      </c>
      <c r="E42" s="76" t="s">
        <v>163</v>
      </c>
      <c r="F42" s="76" t="s">
        <v>164</v>
      </c>
      <c r="H42" s="76" t="s">
        <v>160</v>
      </c>
      <c r="I42" s="76" t="s">
        <v>161</v>
      </c>
      <c r="J42" s="76" t="s">
        <v>162</v>
      </c>
      <c r="K42" s="76" t="s">
        <v>163</v>
      </c>
      <c r="L42" s="76" t="s">
        <v>164</v>
      </c>
      <c r="N42" s="76" t="s">
        <v>160</v>
      </c>
      <c r="O42" s="76" t="s">
        <v>161</v>
      </c>
      <c r="P42" s="76" t="s">
        <v>162</v>
      </c>
      <c r="Q42" s="76" t="s">
        <v>163</v>
      </c>
      <c r="R42" s="76" t="s">
        <v>164</v>
      </c>
    </row>
    <row r="43" spans="2:18" ht="15.75" customHeight="1" x14ac:dyDescent="0.25">
      <c r="B43" s="85" t="s">
        <v>165</v>
      </c>
      <c r="C43" s="85" t="s">
        <v>113</v>
      </c>
      <c r="D43" s="85">
        <f t="shared" ref="D43:D44" si="1">O20+O28+O36</f>
        <v>53</v>
      </c>
      <c r="E43" s="86">
        <f>I4</f>
        <v>10935</v>
      </c>
      <c r="F43" s="87">
        <f t="shared" ref="F43:F44" si="2">D43*E43</f>
        <v>579555</v>
      </c>
      <c r="H43" s="85" t="s">
        <v>166</v>
      </c>
      <c r="I43" s="85" t="s">
        <v>167</v>
      </c>
      <c r="J43" s="85">
        <f t="shared" ref="J43:J44" si="3">O22+O30+O38</f>
        <v>14</v>
      </c>
      <c r="K43" s="86">
        <f>H8</f>
        <v>1085</v>
      </c>
      <c r="L43" s="87">
        <f t="shared" ref="L43:L48" si="4">J43*K43</f>
        <v>15190</v>
      </c>
      <c r="N43" s="85" t="s">
        <v>166</v>
      </c>
      <c r="O43" s="85" t="s">
        <v>167</v>
      </c>
      <c r="P43" s="85">
        <f t="shared" ref="P43:P44" si="5">O22+O30+O38</f>
        <v>14</v>
      </c>
      <c r="Q43" s="86">
        <f>N8</f>
        <v>3326</v>
      </c>
      <c r="R43" s="86">
        <f t="shared" ref="R43:R48" si="6">P43*Q43</f>
        <v>46564</v>
      </c>
    </row>
    <row r="44" spans="2:18" ht="15.75" customHeight="1" x14ac:dyDescent="0.25">
      <c r="B44" s="85" t="s">
        <v>165</v>
      </c>
      <c r="C44" s="85" t="s">
        <v>114</v>
      </c>
      <c r="D44" s="85">
        <f t="shared" si="1"/>
        <v>22</v>
      </c>
      <c r="E44" s="86">
        <f>J4</f>
        <v>17890</v>
      </c>
      <c r="F44" s="87">
        <f t="shared" si="2"/>
        <v>393580</v>
      </c>
      <c r="H44" s="85" t="s">
        <v>166</v>
      </c>
      <c r="I44" s="85" t="s">
        <v>168</v>
      </c>
      <c r="J44" s="85">
        <f t="shared" si="3"/>
        <v>22</v>
      </c>
      <c r="K44" s="86">
        <f>G8</f>
        <v>655</v>
      </c>
      <c r="L44" s="87">
        <f t="shared" si="4"/>
        <v>14410</v>
      </c>
      <c r="N44" s="85" t="s">
        <v>166</v>
      </c>
      <c r="O44" s="85" t="s">
        <v>168</v>
      </c>
      <c r="P44" s="85">
        <f t="shared" si="5"/>
        <v>22</v>
      </c>
      <c r="Q44" s="86">
        <f>M8</f>
        <v>1768</v>
      </c>
      <c r="R44" s="86">
        <f t="shared" si="6"/>
        <v>38896</v>
      </c>
    </row>
    <row r="45" spans="2:18" ht="15.75" customHeight="1" x14ac:dyDescent="0.25">
      <c r="H45" s="85" t="s">
        <v>169</v>
      </c>
      <c r="I45" s="85" t="s">
        <v>170</v>
      </c>
      <c r="J45" s="85">
        <f t="shared" ref="J45:J46" si="7">O22+O30+O38</f>
        <v>14</v>
      </c>
      <c r="K45" s="86">
        <f>H9</f>
        <v>2800</v>
      </c>
      <c r="L45" s="87">
        <f t="shared" si="4"/>
        <v>39200</v>
      </c>
      <c r="N45" s="85" t="s">
        <v>171</v>
      </c>
      <c r="O45" s="85" t="s">
        <v>170</v>
      </c>
      <c r="P45" s="85">
        <f t="shared" ref="P45:P46" si="8">O22+O30+O38</f>
        <v>14</v>
      </c>
      <c r="Q45" s="86">
        <f>H10</f>
        <v>13200</v>
      </c>
      <c r="R45" s="86">
        <f t="shared" si="6"/>
        <v>184800</v>
      </c>
    </row>
    <row r="46" spans="2:18" ht="15.75" customHeight="1" x14ac:dyDescent="0.25">
      <c r="H46" s="85" t="s">
        <v>169</v>
      </c>
      <c r="I46" s="85" t="s">
        <v>172</v>
      </c>
      <c r="J46" s="85">
        <f t="shared" si="7"/>
        <v>22</v>
      </c>
      <c r="K46" s="86">
        <f>G9</f>
        <v>1625</v>
      </c>
      <c r="L46" s="87">
        <f t="shared" si="4"/>
        <v>35750</v>
      </c>
      <c r="N46" s="85" t="s">
        <v>171</v>
      </c>
      <c r="O46" s="85" t="s">
        <v>172</v>
      </c>
      <c r="P46" s="85">
        <f t="shared" si="8"/>
        <v>22</v>
      </c>
      <c r="Q46" s="86">
        <f>G10</f>
        <v>8680</v>
      </c>
      <c r="R46" s="86">
        <f t="shared" si="6"/>
        <v>190960</v>
      </c>
    </row>
    <row r="47" spans="2:18" ht="15.75" customHeight="1" x14ac:dyDescent="0.25">
      <c r="H47" s="85" t="s">
        <v>173</v>
      </c>
      <c r="I47" s="85" t="s">
        <v>167</v>
      </c>
      <c r="J47" s="85">
        <f t="shared" ref="J47:J48" si="9">O22+O30+O38</f>
        <v>14</v>
      </c>
      <c r="K47" s="86">
        <f>H12</f>
        <v>3010</v>
      </c>
      <c r="L47" s="87">
        <f t="shared" si="4"/>
        <v>42140</v>
      </c>
      <c r="N47" s="85" t="s">
        <v>174</v>
      </c>
      <c r="O47" s="85" t="s">
        <v>167</v>
      </c>
      <c r="P47" s="85">
        <f t="shared" ref="P47:P48" si="10">O22+O30+O38</f>
        <v>14</v>
      </c>
      <c r="Q47" s="86">
        <f>H11</f>
        <v>13695</v>
      </c>
      <c r="R47" s="86">
        <f t="shared" si="6"/>
        <v>191730</v>
      </c>
    </row>
    <row r="48" spans="2:18" ht="15.75" customHeight="1" x14ac:dyDescent="0.25">
      <c r="B48" s="76" t="s">
        <v>175</v>
      </c>
      <c r="C48" s="76" t="s">
        <v>176</v>
      </c>
      <c r="D48" s="76" t="s">
        <v>177</v>
      </c>
      <c r="H48" s="85" t="s">
        <v>173</v>
      </c>
      <c r="I48" s="85" t="s">
        <v>168</v>
      </c>
      <c r="J48" s="85">
        <f t="shared" si="9"/>
        <v>22</v>
      </c>
      <c r="K48" s="86">
        <f>G12</f>
        <v>1630</v>
      </c>
      <c r="L48" s="87">
        <f t="shared" si="4"/>
        <v>35860</v>
      </c>
      <c r="N48" s="85" t="s">
        <v>174</v>
      </c>
      <c r="O48" s="85" t="s">
        <v>168</v>
      </c>
      <c r="P48" s="85">
        <f t="shared" si="10"/>
        <v>22</v>
      </c>
      <c r="Q48" s="86">
        <f>G11</f>
        <v>7615</v>
      </c>
      <c r="R48" s="86">
        <f t="shared" si="6"/>
        <v>167530</v>
      </c>
    </row>
    <row r="49" spans="2:18" ht="15.75" customHeight="1" x14ac:dyDescent="0.25">
      <c r="B49" s="66">
        <v>1</v>
      </c>
      <c r="C49" s="88">
        <v>393580</v>
      </c>
      <c r="D49" s="66">
        <v>4</v>
      </c>
      <c r="J49" s="177" t="s">
        <v>164</v>
      </c>
      <c r="K49" s="89" t="s">
        <v>178</v>
      </c>
      <c r="L49" s="90">
        <f t="shared" ref="L49:L50" si="11">L43+L45+L47</f>
        <v>96530</v>
      </c>
      <c r="P49" s="177" t="s">
        <v>164</v>
      </c>
      <c r="Q49" s="89" t="s">
        <v>178</v>
      </c>
      <c r="R49" s="90">
        <f t="shared" ref="R49:R50" si="12">R43+R45+R47</f>
        <v>423094</v>
      </c>
    </row>
    <row r="50" spans="2:18" ht="15.75" customHeight="1" x14ac:dyDescent="0.25">
      <c r="B50" s="91">
        <v>2</v>
      </c>
      <c r="C50" s="92">
        <v>86020</v>
      </c>
      <c r="D50" s="91">
        <f>F8+F9+F12</f>
        <v>9</v>
      </c>
      <c r="J50" s="157"/>
      <c r="K50" s="89" t="s">
        <v>179</v>
      </c>
      <c r="L50" s="90">
        <f t="shared" si="11"/>
        <v>86020</v>
      </c>
      <c r="P50" s="157"/>
      <c r="Q50" s="89" t="s">
        <v>179</v>
      </c>
      <c r="R50" s="90">
        <f t="shared" si="12"/>
        <v>397386</v>
      </c>
    </row>
    <row r="51" spans="2:18" ht="15.75" customHeight="1" x14ac:dyDescent="0.25">
      <c r="B51" s="66">
        <v>3</v>
      </c>
      <c r="C51" s="88">
        <v>397386</v>
      </c>
      <c r="D51" s="66">
        <f>F8+F10+F11</f>
        <v>28</v>
      </c>
    </row>
    <row r="52" spans="2:18" ht="15.75" customHeight="1" x14ac:dyDescent="0.25">
      <c r="B52" s="93"/>
    </row>
    <row r="53" spans="2:18" ht="15.75" customHeight="1" x14ac:dyDescent="0.25">
      <c r="B53" s="172" t="s">
        <v>180</v>
      </c>
      <c r="C53" s="159"/>
      <c r="D53" s="159"/>
      <c r="E53" s="159"/>
      <c r="F53" s="159"/>
      <c r="G53" s="159"/>
      <c r="H53" s="159"/>
      <c r="I53" s="159"/>
      <c r="J53" s="159"/>
      <c r="K53" s="159"/>
      <c r="L53" s="159"/>
      <c r="M53" s="159"/>
      <c r="N53" s="160"/>
    </row>
    <row r="54" spans="2:18" ht="15.75" customHeight="1" x14ac:dyDescent="0.25"/>
    <row r="55" spans="2:18" ht="15.75" customHeight="1" x14ac:dyDescent="0.25">
      <c r="B55" s="173" t="s">
        <v>181</v>
      </c>
      <c r="C55" s="159"/>
      <c r="D55" s="159"/>
      <c r="E55" s="159"/>
      <c r="F55" s="159"/>
      <c r="G55" s="159"/>
      <c r="H55" s="159"/>
      <c r="I55" s="159"/>
      <c r="J55" s="159"/>
      <c r="K55" s="159"/>
      <c r="L55" s="159"/>
      <c r="M55" s="159"/>
      <c r="N55" s="160"/>
    </row>
    <row r="56" spans="2:18" ht="15.75" customHeight="1" x14ac:dyDescent="0.25">
      <c r="B56" s="76" t="s">
        <v>147</v>
      </c>
      <c r="C56" s="76">
        <v>1</v>
      </c>
      <c r="D56" s="76">
        <v>2</v>
      </c>
      <c r="E56" s="76">
        <v>3</v>
      </c>
      <c r="F56" s="76">
        <v>4</v>
      </c>
      <c r="G56" s="76">
        <v>5</v>
      </c>
      <c r="H56" s="76">
        <v>6</v>
      </c>
      <c r="I56" s="76">
        <v>7</v>
      </c>
      <c r="J56" s="76">
        <v>8</v>
      </c>
      <c r="K56" s="76">
        <v>9</v>
      </c>
      <c r="L56" s="76">
        <v>10</v>
      </c>
      <c r="M56" s="76">
        <v>11</v>
      </c>
      <c r="N56" s="76">
        <v>12</v>
      </c>
    </row>
    <row r="57" spans="2:18" ht="15.75" customHeight="1" x14ac:dyDescent="0.25">
      <c r="B57" s="94" t="s">
        <v>119</v>
      </c>
      <c r="C57" s="85">
        <f t="shared" ref="C57:N57" si="13">C23</f>
        <v>7</v>
      </c>
      <c r="D57" s="85">
        <f t="shared" si="13"/>
        <v>6</v>
      </c>
      <c r="E57" s="85">
        <f t="shared" si="13"/>
        <v>7</v>
      </c>
      <c r="F57" s="85">
        <f t="shared" si="13"/>
        <v>6</v>
      </c>
      <c r="G57" s="85">
        <f t="shared" si="13"/>
        <v>5</v>
      </c>
      <c r="H57" s="85">
        <f t="shared" si="13"/>
        <v>5</v>
      </c>
      <c r="I57" s="85">
        <f t="shared" si="13"/>
        <v>5</v>
      </c>
      <c r="J57" s="85">
        <f t="shared" si="13"/>
        <v>6</v>
      </c>
      <c r="K57" s="85">
        <f t="shared" si="13"/>
        <v>5</v>
      </c>
      <c r="L57" s="85">
        <f t="shared" si="13"/>
        <v>6</v>
      </c>
      <c r="M57" s="85">
        <f t="shared" si="13"/>
        <v>7</v>
      </c>
      <c r="N57" s="85">
        <f t="shared" si="13"/>
        <v>8</v>
      </c>
    </row>
    <row r="58" spans="2:18" ht="15.75" customHeight="1" x14ac:dyDescent="0.25">
      <c r="B58" s="95" t="s">
        <v>120</v>
      </c>
      <c r="C58" s="85">
        <f t="shared" ref="C58:N58" si="14">C31</f>
        <v>5</v>
      </c>
      <c r="D58" s="85">
        <f t="shared" si="14"/>
        <v>6</v>
      </c>
      <c r="E58" s="85">
        <f t="shared" si="14"/>
        <v>6</v>
      </c>
      <c r="F58" s="85">
        <f t="shared" si="14"/>
        <v>8</v>
      </c>
      <c r="G58" s="85">
        <f t="shared" si="14"/>
        <v>8</v>
      </c>
      <c r="H58" s="85">
        <f t="shared" si="14"/>
        <v>8</v>
      </c>
      <c r="I58" s="85">
        <f t="shared" si="14"/>
        <v>7</v>
      </c>
      <c r="J58" s="85">
        <f t="shared" si="14"/>
        <v>7</v>
      </c>
      <c r="K58" s="85">
        <f t="shared" si="14"/>
        <v>8</v>
      </c>
      <c r="L58" s="85">
        <f t="shared" si="14"/>
        <v>8</v>
      </c>
      <c r="M58" s="85">
        <f t="shared" si="14"/>
        <v>8</v>
      </c>
      <c r="N58" s="85">
        <f t="shared" si="14"/>
        <v>8</v>
      </c>
    </row>
    <row r="59" spans="2:18" ht="15.75" customHeight="1" x14ac:dyDescent="0.25">
      <c r="B59" s="95" t="s">
        <v>121</v>
      </c>
      <c r="C59" s="85">
        <f t="shared" ref="C59:N59" si="15">C39</f>
        <v>9</v>
      </c>
      <c r="D59" s="85">
        <f t="shared" si="15"/>
        <v>9</v>
      </c>
      <c r="E59" s="85">
        <f t="shared" si="15"/>
        <v>9</v>
      </c>
      <c r="F59" s="85">
        <f t="shared" si="15"/>
        <v>8</v>
      </c>
      <c r="G59" s="85">
        <f t="shared" si="15"/>
        <v>8</v>
      </c>
      <c r="H59" s="85">
        <f t="shared" si="15"/>
        <v>7</v>
      </c>
      <c r="I59" s="85">
        <f t="shared" si="15"/>
        <v>5</v>
      </c>
      <c r="J59" s="85">
        <f t="shared" si="15"/>
        <v>6</v>
      </c>
      <c r="K59" s="85">
        <f t="shared" si="15"/>
        <v>6</v>
      </c>
      <c r="L59" s="85">
        <f t="shared" si="15"/>
        <v>6</v>
      </c>
      <c r="M59" s="85">
        <f t="shared" si="15"/>
        <v>7</v>
      </c>
      <c r="N59" s="85">
        <f t="shared" si="15"/>
        <v>8</v>
      </c>
    </row>
    <row r="60" spans="2:18" ht="15.75" customHeight="1" x14ac:dyDescent="0.25"/>
    <row r="61" spans="2:18" ht="15.75" customHeight="1" x14ac:dyDescent="0.25">
      <c r="B61" s="173" t="s">
        <v>182</v>
      </c>
      <c r="C61" s="159"/>
      <c r="D61" s="159"/>
      <c r="E61" s="159"/>
      <c r="F61" s="159"/>
      <c r="G61" s="159"/>
      <c r="H61" s="159"/>
      <c r="I61" s="159"/>
      <c r="J61" s="159"/>
      <c r="K61" s="159"/>
      <c r="L61" s="159"/>
      <c r="M61" s="159"/>
      <c r="N61" s="159"/>
      <c r="O61" s="159"/>
      <c r="P61" s="159"/>
      <c r="Q61" s="160"/>
    </row>
    <row r="62" spans="2:18" ht="15.75" customHeight="1" x14ac:dyDescent="0.25">
      <c r="B62" s="76" t="s">
        <v>147</v>
      </c>
      <c r="C62" s="76">
        <v>1</v>
      </c>
      <c r="D62" s="76">
        <v>2</v>
      </c>
      <c r="E62" s="76">
        <v>3</v>
      </c>
      <c r="F62" s="76">
        <v>4</v>
      </c>
      <c r="G62" s="76">
        <v>5</v>
      </c>
      <c r="H62" s="76">
        <v>6</v>
      </c>
      <c r="I62" s="76">
        <v>7</v>
      </c>
      <c r="J62" s="76">
        <v>8</v>
      </c>
      <c r="K62" s="76">
        <v>9</v>
      </c>
      <c r="L62" s="76">
        <v>10</v>
      </c>
      <c r="M62" s="76">
        <v>11</v>
      </c>
      <c r="N62" s="76">
        <v>12</v>
      </c>
      <c r="O62" s="76" t="s">
        <v>154</v>
      </c>
      <c r="P62" s="174" t="s">
        <v>183</v>
      </c>
      <c r="Q62" s="160"/>
    </row>
    <row r="63" spans="2:18" ht="15.75" customHeight="1" x14ac:dyDescent="0.25">
      <c r="B63" s="94" t="s">
        <v>119</v>
      </c>
      <c r="C63" s="85">
        <f t="shared" ref="C63:N65" si="16">30/C57</f>
        <v>4.2857142857142856</v>
      </c>
      <c r="D63" s="85">
        <f t="shared" si="16"/>
        <v>5</v>
      </c>
      <c r="E63" s="85">
        <f t="shared" si="16"/>
        <v>4.2857142857142856</v>
      </c>
      <c r="F63" s="85">
        <f t="shared" si="16"/>
        <v>5</v>
      </c>
      <c r="G63" s="85">
        <f t="shared" si="16"/>
        <v>6</v>
      </c>
      <c r="H63" s="85">
        <f t="shared" si="16"/>
        <v>6</v>
      </c>
      <c r="I63" s="85">
        <f t="shared" si="16"/>
        <v>6</v>
      </c>
      <c r="J63" s="85">
        <f t="shared" si="16"/>
        <v>5</v>
      </c>
      <c r="K63" s="85">
        <f t="shared" si="16"/>
        <v>6</v>
      </c>
      <c r="L63" s="85">
        <f t="shared" si="16"/>
        <v>5</v>
      </c>
      <c r="M63" s="85">
        <f t="shared" si="16"/>
        <v>4.2857142857142856</v>
      </c>
      <c r="N63" s="85">
        <f t="shared" si="16"/>
        <v>3.75</v>
      </c>
      <c r="O63" s="85">
        <f t="shared" ref="O63:O65" si="17">MEDIAN(C63:N63)</f>
        <v>5</v>
      </c>
      <c r="P63" s="171" t="s">
        <v>184</v>
      </c>
      <c r="Q63" s="160"/>
    </row>
    <row r="64" spans="2:18" ht="15.75" customHeight="1" x14ac:dyDescent="0.25">
      <c r="B64" s="95" t="s">
        <v>120</v>
      </c>
      <c r="C64" s="85">
        <f t="shared" si="16"/>
        <v>6</v>
      </c>
      <c r="D64" s="85">
        <f t="shared" si="16"/>
        <v>5</v>
      </c>
      <c r="E64" s="85">
        <f t="shared" si="16"/>
        <v>5</v>
      </c>
      <c r="F64" s="85">
        <f t="shared" si="16"/>
        <v>3.75</v>
      </c>
      <c r="G64" s="85">
        <f t="shared" si="16"/>
        <v>3.75</v>
      </c>
      <c r="H64" s="85">
        <f t="shared" si="16"/>
        <v>3.75</v>
      </c>
      <c r="I64" s="85">
        <f t="shared" si="16"/>
        <v>4.2857142857142856</v>
      </c>
      <c r="J64" s="85">
        <f t="shared" si="16"/>
        <v>4.2857142857142856</v>
      </c>
      <c r="K64" s="85">
        <f t="shared" si="16"/>
        <v>3.75</v>
      </c>
      <c r="L64" s="85">
        <f t="shared" si="16"/>
        <v>3.75</v>
      </c>
      <c r="M64" s="85">
        <f t="shared" si="16"/>
        <v>3.75</v>
      </c>
      <c r="N64" s="85">
        <f t="shared" si="16"/>
        <v>3.75</v>
      </c>
      <c r="O64" s="85">
        <f t="shared" si="17"/>
        <v>3.75</v>
      </c>
      <c r="P64" s="171" t="s">
        <v>185</v>
      </c>
      <c r="Q64" s="160"/>
    </row>
    <row r="65" spans="2:17" ht="15.75" customHeight="1" x14ac:dyDescent="0.25">
      <c r="B65" s="95" t="s">
        <v>121</v>
      </c>
      <c r="C65" s="85">
        <f t="shared" si="16"/>
        <v>3.3333333333333335</v>
      </c>
      <c r="D65" s="85">
        <f t="shared" si="16"/>
        <v>3.3333333333333335</v>
      </c>
      <c r="E65" s="85">
        <f t="shared" si="16"/>
        <v>3.3333333333333335</v>
      </c>
      <c r="F65" s="85">
        <f t="shared" si="16"/>
        <v>3.75</v>
      </c>
      <c r="G65" s="85">
        <f t="shared" si="16"/>
        <v>3.75</v>
      </c>
      <c r="H65" s="85">
        <f t="shared" si="16"/>
        <v>4.2857142857142856</v>
      </c>
      <c r="I65" s="85">
        <f t="shared" si="16"/>
        <v>6</v>
      </c>
      <c r="J65" s="85">
        <f t="shared" si="16"/>
        <v>5</v>
      </c>
      <c r="K65" s="85">
        <f t="shared" si="16"/>
        <v>5</v>
      </c>
      <c r="L65" s="85">
        <f t="shared" si="16"/>
        <v>5</v>
      </c>
      <c r="M65" s="85">
        <f t="shared" si="16"/>
        <v>4.2857142857142856</v>
      </c>
      <c r="N65" s="85">
        <f t="shared" si="16"/>
        <v>3.75</v>
      </c>
      <c r="O65" s="85">
        <f t="shared" si="17"/>
        <v>4.0178571428571423</v>
      </c>
      <c r="P65" s="171" t="s">
        <v>186</v>
      </c>
      <c r="Q65" s="160"/>
    </row>
    <row r="66" spans="2:17" ht="15.75" customHeight="1" x14ac:dyDescent="0.25"/>
    <row r="67" spans="2:17" ht="15.75" customHeight="1" x14ac:dyDescent="0.25"/>
    <row r="68" spans="2:17" ht="15.75" customHeight="1" x14ac:dyDescent="0.25"/>
    <row r="69" spans="2:17" ht="15.75" customHeight="1" x14ac:dyDescent="0.25"/>
    <row r="70" spans="2:17" ht="15.75" customHeight="1" x14ac:dyDescent="0.25"/>
    <row r="71" spans="2:17" ht="15.75" customHeight="1" x14ac:dyDescent="0.25"/>
    <row r="72" spans="2:17" ht="15.75" customHeight="1" x14ac:dyDescent="0.25"/>
    <row r="73" spans="2:17" ht="15.75" customHeight="1" x14ac:dyDescent="0.25"/>
    <row r="74" spans="2:17" ht="15.75" customHeight="1" x14ac:dyDescent="0.25"/>
    <row r="75" spans="2:17" ht="15.75" customHeight="1" x14ac:dyDescent="0.25"/>
    <row r="76" spans="2:17" ht="15.75" customHeight="1" x14ac:dyDescent="0.25"/>
    <row r="77" spans="2:17" ht="15.75" customHeight="1" x14ac:dyDescent="0.25"/>
    <row r="78" spans="2:17" ht="15.75" customHeight="1" x14ac:dyDescent="0.25"/>
    <row r="79" spans="2:17" ht="15.75" customHeight="1" x14ac:dyDescent="0.25"/>
    <row r="80" spans="2:1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</sheetData>
  <mergeCells count="14">
    <mergeCell ref="J49:J50"/>
    <mergeCell ref="P49:P50"/>
    <mergeCell ref="B2:J2"/>
    <mergeCell ref="L2:O2"/>
    <mergeCell ref="B41:F41"/>
    <mergeCell ref="H41:L41"/>
    <mergeCell ref="N41:R41"/>
    <mergeCell ref="P65:Q65"/>
    <mergeCell ref="B53:N53"/>
    <mergeCell ref="B55:N55"/>
    <mergeCell ref="B61:Q61"/>
    <mergeCell ref="P62:Q62"/>
    <mergeCell ref="P63:Q63"/>
    <mergeCell ref="P64:Q64"/>
  </mergeCells>
  <pageMargins left="0.511811024" right="0.511811024" top="0.78740157499999996" bottom="0.78740157499999996" header="0" footer="0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:W1000"/>
  <sheetViews>
    <sheetView showGridLines="0" workbookViewId="0">
      <selection activeCell="D10" sqref="D10"/>
    </sheetView>
  </sheetViews>
  <sheetFormatPr defaultColWidth="14.42578125" defaultRowHeight="15" customHeight="1" x14ac:dyDescent="0.25"/>
  <cols>
    <col min="1" max="1" width="1.28515625" style="55" customWidth="1"/>
    <col min="2" max="2" width="25.28515625" style="55" customWidth="1"/>
    <col min="3" max="3" width="15.7109375" style="55" customWidth="1"/>
    <col min="4" max="4" width="23.140625" style="55" customWidth="1"/>
    <col min="5" max="5" width="11.7109375" style="55" customWidth="1"/>
    <col min="6" max="6" width="23.140625" style="55" customWidth="1"/>
    <col min="7" max="7" width="16" style="55" customWidth="1"/>
    <col min="8" max="9" width="8.7109375" style="55" customWidth="1"/>
    <col min="10" max="10" width="16" style="55" customWidth="1"/>
    <col min="11" max="13" width="8.7109375" style="55" customWidth="1"/>
    <col min="14" max="14" width="26.7109375" style="55" bestFit="1" customWidth="1"/>
    <col min="15" max="26" width="8.7109375" style="55" customWidth="1"/>
    <col min="27" max="16384" width="14.42578125" style="55"/>
  </cols>
  <sheetData>
    <row r="2" spans="2:23" ht="65.25" customHeight="1" x14ac:dyDescent="0.25">
      <c r="B2" s="185" t="s">
        <v>195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60"/>
    </row>
    <row r="4" spans="2:23" x14ac:dyDescent="0.25">
      <c r="B4" s="178" t="s">
        <v>196</v>
      </c>
      <c r="C4" s="159"/>
      <c r="D4" s="159"/>
      <c r="E4" s="159"/>
      <c r="F4" s="159"/>
      <c r="G4" s="160"/>
      <c r="J4" s="178" t="s">
        <v>45</v>
      </c>
      <c r="K4" s="159"/>
      <c r="L4" s="160"/>
      <c r="M4" s="178" t="s">
        <v>46</v>
      </c>
      <c r="N4" s="159"/>
      <c r="O4" s="160"/>
      <c r="P4" s="178" t="s">
        <v>49</v>
      </c>
      <c r="Q4" s="159"/>
      <c r="R4" s="160"/>
    </row>
    <row r="5" spans="2:23" x14ac:dyDescent="0.25">
      <c r="B5" s="186" t="s">
        <v>49</v>
      </c>
      <c r="C5" s="169"/>
      <c r="D5" s="186" t="s">
        <v>197</v>
      </c>
      <c r="E5" s="169"/>
      <c r="F5" s="186" t="s">
        <v>45</v>
      </c>
      <c r="G5" s="169"/>
      <c r="J5" s="97" t="str">
        <f>"0021"</f>
        <v>0021</v>
      </c>
      <c r="K5" s="97" t="str">
        <f>"0671"</f>
        <v>0671</v>
      </c>
      <c r="L5" s="97">
        <v>1324</v>
      </c>
      <c r="M5" s="97" t="str">
        <f>"0021"</f>
        <v>0021</v>
      </c>
      <c r="N5" s="97" t="str">
        <f>"0671"</f>
        <v>0671</v>
      </c>
      <c r="O5" s="97">
        <v>1324</v>
      </c>
      <c r="P5" s="97" t="str">
        <f>"0021"</f>
        <v>0021</v>
      </c>
      <c r="Q5" s="97" t="str">
        <f>"0671"</f>
        <v>0671</v>
      </c>
      <c r="R5" s="97">
        <v>1324</v>
      </c>
    </row>
    <row r="6" spans="2:23" x14ac:dyDescent="0.25">
      <c r="B6" s="98" t="s">
        <v>198</v>
      </c>
      <c r="C6" s="99">
        <v>0.95</v>
      </c>
      <c r="D6" s="98" t="s">
        <v>198</v>
      </c>
      <c r="E6" s="99">
        <v>0.99</v>
      </c>
      <c r="F6" s="98" t="s">
        <v>198</v>
      </c>
      <c r="G6" s="99">
        <v>0.97</v>
      </c>
      <c r="I6" s="100" t="s">
        <v>199</v>
      </c>
      <c r="J6" s="78">
        <f>$G$9*SQRT((($G$7*(E31^2))+((E30^2)*($G$8^2))))</f>
        <v>2921.3595921667679</v>
      </c>
      <c r="K6" s="78">
        <f>$G$9*SQRT($G$7*(H31^2)+(H30^2)*($G$8^2))</f>
        <v>2605.3552179209241</v>
      </c>
      <c r="L6" s="78">
        <f>$G$9*SQRT($G$7*(K31^2)+(K30^2)*($G$8^2))</f>
        <v>5156.9619166556604</v>
      </c>
      <c r="M6" s="78">
        <f>$E9*SQRT($E$7*(D31^2)+(D30^2)*($E$8^2))</f>
        <v>1702.5283193496034</v>
      </c>
      <c r="N6" s="78">
        <f>$E9*SQRT($E$7*(G31^2)+(G30^2)*($E$8^2))</f>
        <v>1536.4229118189364</v>
      </c>
      <c r="O6" s="78">
        <f>$E9*SQRT($E$7*(J31^2)+(J30^2)*($E$8^2))</f>
        <v>1048.2465923898581</v>
      </c>
      <c r="P6" s="78">
        <f>$C9*SQRT($C$7*(C31^2)+(C30^2)*($C$8^2))</f>
        <v>182.31739224763979</v>
      </c>
      <c r="Q6" s="78">
        <f>$C9*SQRT($C$7*(F31^2)+(F30^2)*($C$8^2))</f>
        <v>842.15221423146068</v>
      </c>
      <c r="R6" s="78">
        <f>$C9*SQRT($C$7*(I31^2)+(I30^2)*($C$8^2))</f>
        <v>421.18833019374125</v>
      </c>
    </row>
    <row r="7" spans="2:23" x14ac:dyDescent="0.25">
      <c r="B7" s="101" t="s">
        <v>200</v>
      </c>
      <c r="C7" s="102">
        <f>3/30</f>
        <v>0.1</v>
      </c>
      <c r="D7" s="101" t="s">
        <v>200</v>
      </c>
      <c r="E7" s="102">
        <f>4/30</f>
        <v>0.13333333333333333</v>
      </c>
      <c r="F7" s="101" t="s">
        <v>200</v>
      </c>
      <c r="G7" s="102">
        <f>11/30</f>
        <v>0.36666666666666664</v>
      </c>
      <c r="I7" s="100" t="s">
        <v>201</v>
      </c>
      <c r="J7" s="78">
        <f>J6+C36</f>
        <v>3179.1845258537705</v>
      </c>
      <c r="K7" s="78">
        <f t="shared" ref="K7:R7" si="0">K6+D35</f>
        <v>2811.7106555867067</v>
      </c>
      <c r="L7" s="78">
        <f t="shared" si="0"/>
        <v>5339.6356567087105</v>
      </c>
      <c r="M7" s="78">
        <f t="shared" si="0"/>
        <v>1867.7062765275605</v>
      </c>
      <c r="N7" s="78">
        <f t="shared" si="0"/>
        <v>1690.3969377929625</v>
      </c>
      <c r="O7" s="78">
        <f t="shared" si="0"/>
        <v>1185.0946092378749</v>
      </c>
      <c r="P7" s="78">
        <f t="shared" si="0"/>
        <v>242.35964576876654</v>
      </c>
      <c r="Q7" s="78">
        <f t="shared" si="0"/>
        <v>918.3437635272353</v>
      </c>
      <c r="R7" s="78">
        <f t="shared" si="0"/>
        <v>620.95452737683991</v>
      </c>
    </row>
    <row r="8" spans="2:23" x14ac:dyDescent="0.25">
      <c r="B8" s="101" t="s">
        <v>202</v>
      </c>
      <c r="C8" s="79">
        <v>0.49</v>
      </c>
      <c r="D8" s="101" t="s">
        <v>202</v>
      </c>
      <c r="E8" s="79">
        <v>0.67</v>
      </c>
      <c r="F8" s="101" t="s">
        <v>202</v>
      </c>
      <c r="G8" s="79">
        <v>1.62</v>
      </c>
      <c r="I8" s="100" t="s">
        <v>203</v>
      </c>
      <c r="J8" s="78">
        <f>J6+(C36/2)</f>
        <v>3050.2720590102695</v>
      </c>
      <c r="K8" s="78">
        <f t="shared" ref="K8:R8" si="1">K6+(D35/2)</f>
        <v>2708.5329367538152</v>
      </c>
      <c r="L8" s="78">
        <f t="shared" si="1"/>
        <v>5248.2987866821859</v>
      </c>
      <c r="M8" s="78">
        <f t="shared" si="1"/>
        <v>1785.1172979385819</v>
      </c>
      <c r="N8" s="78">
        <f t="shared" si="1"/>
        <v>1613.4099248059495</v>
      </c>
      <c r="O8" s="78">
        <f t="shared" si="1"/>
        <v>1116.6706008138665</v>
      </c>
      <c r="P8" s="78">
        <f t="shared" si="1"/>
        <v>212.33851900820318</v>
      </c>
      <c r="Q8" s="78">
        <f t="shared" si="1"/>
        <v>880.24798887934799</v>
      </c>
      <c r="R8" s="78">
        <f t="shared" si="1"/>
        <v>521.07142878529055</v>
      </c>
    </row>
    <row r="9" spans="2:23" x14ac:dyDescent="0.25">
      <c r="B9" s="72" t="s">
        <v>204</v>
      </c>
      <c r="C9" s="69">
        <f>NORMINV(C6,0,1)</f>
        <v>1.6448536269514715</v>
      </c>
      <c r="D9" s="72" t="s">
        <v>204</v>
      </c>
      <c r="E9" s="69">
        <f>NORMINV(E6,0,1)</f>
        <v>2.3263478740408408</v>
      </c>
      <c r="F9" s="72" t="s">
        <v>204</v>
      </c>
      <c r="G9" s="69">
        <f>NORMINV(G6,0,1)</f>
        <v>1.8807936081512504</v>
      </c>
    </row>
    <row r="10" spans="2:23" x14ac:dyDescent="0.25">
      <c r="C10" s="103"/>
      <c r="D10" s="103"/>
      <c r="E10" s="103"/>
      <c r="F10" s="103"/>
      <c r="G10" s="103"/>
    </row>
    <row r="11" spans="2:23" x14ac:dyDescent="0.25">
      <c r="B11" s="161" t="s">
        <v>205</v>
      </c>
      <c r="C11" s="162"/>
      <c r="D11" s="162"/>
      <c r="E11" s="162"/>
      <c r="F11" s="162"/>
      <c r="G11" s="162"/>
      <c r="H11" s="162"/>
      <c r="I11" s="162"/>
      <c r="J11" s="162"/>
      <c r="K11" s="163"/>
      <c r="N11" s="161" t="s">
        <v>206</v>
      </c>
      <c r="O11" s="162"/>
      <c r="P11" s="162"/>
      <c r="Q11" s="162"/>
      <c r="R11" s="162"/>
      <c r="S11" s="162"/>
      <c r="T11" s="162"/>
      <c r="U11" s="162"/>
      <c r="V11" s="162"/>
      <c r="W11" s="163"/>
    </row>
    <row r="12" spans="2:23" x14ac:dyDescent="0.25">
      <c r="B12" s="164"/>
      <c r="C12" s="165"/>
      <c r="D12" s="165"/>
      <c r="E12" s="165"/>
      <c r="F12" s="165"/>
      <c r="G12" s="165"/>
      <c r="H12" s="165"/>
      <c r="I12" s="165"/>
      <c r="J12" s="165"/>
      <c r="K12" s="166"/>
      <c r="N12" s="164"/>
      <c r="O12" s="165"/>
      <c r="P12" s="165"/>
      <c r="Q12" s="165"/>
      <c r="R12" s="165"/>
      <c r="S12" s="165"/>
      <c r="T12" s="165"/>
      <c r="U12" s="165"/>
      <c r="V12" s="165"/>
      <c r="W12" s="166"/>
    </row>
    <row r="13" spans="2:23" x14ac:dyDescent="0.25">
      <c r="B13" s="164"/>
      <c r="C13" s="165"/>
      <c r="D13" s="165"/>
      <c r="E13" s="165"/>
      <c r="F13" s="165"/>
      <c r="G13" s="165"/>
      <c r="H13" s="165"/>
      <c r="I13" s="165"/>
      <c r="J13" s="165"/>
      <c r="K13" s="166"/>
      <c r="N13" s="164"/>
      <c r="O13" s="165"/>
      <c r="P13" s="165"/>
      <c r="Q13" s="165"/>
      <c r="R13" s="165"/>
      <c r="S13" s="165"/>
      <c r="T13" s="165"/>
      <c r="U13" s="165"/>
      <c r="V13" s="165"/>
      <c r="W13" s="166"/>
    </row>
    <row r="14" spans="2:23" x14ac:dyDescent="0.25">
      <c r="B14" s="167"/>
      <c r="C14" s="168"/>
      <c r="D14" s="168"/>
      <c r="E14" s="168"/>
      <c r="F14" s="168"/>
      <c r="G14" s="168"/>
      <c r="H14" s="168"/>
      <c r="I14" s="168"/>
      <c r="J14" s="168"/>
      <c r="K14" s="169"/>
      <c r="N14" s="167"/>
      <c r="O14" s="168"/>
      <c r="P14" s="168"/>
      <c r="Q14" s="168"/>
      <c r="R14" s="168"/>
      <c r="S14" s="168"/>
      <c r="T14" s="168"/>
      <c r="U14" s="168"/>
      <c r="V14" s="168"/>
      <c r="W14" s="169"/>
    </row>
    <row r="15" spans="2:23" x14ac:dyDescent="0.25">
      <c r="P15" s="103"/>
      <c r="Q15" s="103"/>
      <c r="R15" s="103"/>
      <c r="S15" s="103"/>
      <c r="T15" s="103"/>
      <c r="U15" s="103"/>
      <c r="V15" s="103"/>
    </row>
    <row r="16" spans="2:23" x14ac:dyDescent="0.25">
      <c r="B16" s="182" t="s">
        <v>207</v>
      </c>
      <c r="C16" s="183" t="s">
        <v>119</v>
      </c>
      <c r="D16" s="159"/>
      <c r="E16" s="160"/>
      <c r="F16" s="184" t="s">
        <v>120</v>
      </c>
      <c r="G16" s="159"/>
      <c r="H16" s="160"/>
      <c r="I16" s="184" t="s">
        <v>121</v>
      </c>
      <c r="J16" s="159"/>
      <c r="K16" s="160"/>
      <c r="N16" s="180" t="s">
        <v>208</v>
      </c>
      <c r="O16" s="178" t="s">
        <v>45</v>
      </c>
      <c r="P16" s="159"/>
      <c r="Q16" s="160"/>
      <c r="R16" s="178" t="s">
        <v>46</v>
      </c>
      <c r="S16" s="159"/>
      <c r="T16" s="160"/>
      <c r="U16" s="178" t="s">
        <v>49</v>
      </c>
      <c r="V16" s="159"/>
      <c r="W16" s="160"/>
    </row>
    <row r="17" spans="2:23" x14ac:dyDescent="0.25">
      <c r="B17" s="157"/>
      <c r="C17" s="104" t="s">
        <v>209</v>
      </c>
      <c r="D17" s="61" t="s">
        <v>210</v>
      </c>
      <c r="E17" s="61" t="s">
        <v>211</v>
      </c>
      <c r="F17" s="61" t="s">
        <v>209</v>
      </c>
      <c r="G17" s="61" t="s">
        <v>210</v>
      </c>
      <c r="H17" s="61" t="s">
        <v>211</v>
      </c>
      <c r="I17" s="61" t="s">
        <v>209</v>
      </c>
      <c r="J17" s="61" t="s">
        <v>210</v>
      </c>
      <c r="K17" s="61" t="s">
        <v>211</v>
      </c>
      <c r="N17" s="157"/>
      <c r="O17" s="105" t="s">
        <v>212</v>
      </c>
      <c r="P17" s="105" t="s">
        <v>213</v>
      </c>
      <c r="Q17" s="105">
        <v>1324</v>
      </c>
      <c r="R17" s="105" t="s">
        <v>212</v>
      </c>
      <c r="S17" s="105" t="s">
        <v>213</v>
      </c>
      <c r="T17" s="105">
        <v>1324</v>
      </c>
      <c r="U17" s="105" t="s">
        <v>212</v>
      </c>
      <c r="V17" s="105" t="s">
        <v>213</v>
      </c>
      <c r="W17" s="105">
        <v>1324</v>
      </c>
    </row>
    <row r="18" spans="2:23" hidden="1" x14ac:dyDescent="0.25">
      <c r="B18" s="106">
        <v>43543</v>
      </c>
      <c r="C18" s="107">
        <v>266</v>
      </c>
      <c r="D18" s="108">
        <v>1419</v>
      </c>
      <c r="E18" s="109">
        <v>1027</v>
      </c>
      <c r="F18" s="109">
        <v>1034</v>
      </c>
      <c r="G18" s="108">
        <v>356</v>
      </c>
      <c r="H18" s="108">
        <v>751</v>
      </c>
      <c r="I18" s="109">
        <v>673</v>
      </c>
      <c r="J18" s="108">
        <v>1345</v>
      </c>
      <c r="K18" s="108">
        <v>1518</v>
      </c>
      <c r="N18" s="100" t="s">
        <v>199</v>
      </c>
      <c r="O18" s="78">
        <v>2965.3445555834996</v>
      </c>
      <c r="P18" s="78">
        <v>2605.3552149909706</v>
      </c>
      <c r="Q18" s="78">
        <v>5156.9619108561983</v>
      </c>
      <c r="R18" s="78">
        <v>1702.528319603691</v>
      </c>
      <c r="S18" s="78">
        <v>1536.4229120482341</v>
      </c>
      <c r="T18" s="78">
        <v>1048.2465925462996</v>
      </c>
      <c r="U18" s="78">
        <v>182.3173920461559</v>
      </c>
      <c r="V18" s="78">
        <v>842.15221330077532</v>
      </c>
      <c r="W18" s="78">
        <v>421.18832972827454</v>
      </c>
    </row>
    <row r="19" spans="2:23" hidden="1" x14ac:dyDescent="0.25">
      <c r="B19" s="106">
        <v>43574</v>
      </c>
      <c r="C19" s="108">
        <v>228</v>
      </c>
      <c r="D19" s="108">
        <v>1112</v>
      </c>
      <c r="E19" s="110">
        <v>1067</v>
      </c>
      <c r="F19" s="110">
        <v>905</v>
      </c>
      <c r="G19" s="108">
        <v>428</v>
      </c>
      <c r="H19" s="108">
        <v>883</v>
      </c>
      <c r="I19" s="110">
        <v>713</v>
      </c>
      <c r="J19" s="108">
        <v>1293</v>
      </c>
      <c r="K19" s="108">
        <v>1613</v>
      </c>
      <c r="N19" s="100" t="s">
        <v>201</v>
      </c>
      <c r="O19" s="78">
        <v>3223.1694892705023</v>
      </c>
      <c r="P19" s="78">
        <v>2811.7106526567532</v>
      </c>
      <c r="Q19" s="78">
        <v>5339.6356509092484</v>
      </c>
      <c r="R19" s="78">
        <v>1867.7062767816483</v>
      </c>
      <c r="S19" s="78">
        <v>1690.3969380222602</v>
      </c>
      <c r="T19" s="78">
        <v>1185.0946093943164</v>
      </c>
      <c r="U19" s="78">
        <v>242.35964556728266</v>
      </c>
      <c r="V19" s="78">
        <v>918.34376259654994</v>
      </c>
      <c r="W19" s="78">
        <v>620.95452691137314</v>
      </c>
    </row>
    <row r="20" spans="2:23" hidden="1" x14ac:dyDescent="0.25">
      <c r="B20" s="106">
        <v>43604</v>
      </c>
      <c r="C20" s="108">
        <v>222</v>
      </c>
      <c r="D20" s="108">
        <v>986</v>
      </c>
      <c r="E20" s="110">
        <v>1386</v>
      </c>
      <c r="F20" s="110">
        <v>866</v>
      </c>
      <c r="G20" s="108">
        <v>618</v>
      </c>
      <c r="H20" s="108">
        <v>870</v>
      </c>
      <c r="I20" s="110">
        <v>742</v>
      </c>
      <c r="J20" s="108">
        <v>1248</v>
      </c>
      <c r="K20" s="108">
        <v>1842</v>
      </c>
      <c r="N20" s="100" t="s">
        <v>203</v>
      </c>
      <c r="O20" s="78">
        <v>3094.2570224270012</v>
      </c>
      <c r="P20" s="78">
        <v>2708.5329338238616</v>
      </c>
      <c r="Q20" s="78">
        <v>5248.2987808827238</v>
      </c>
      <c r="R20" s="78">
        <v>1785.1172981926695</v>
      </c>
      <c r="S20" s="78">
        <v>1613.4099250352472</v>
      </c>
      <c r="T20" s="78">
        <v>1116.670600970308</v>
      </c>
      <c r="U20" s="78">
        <v>212.33851880671929</v>
      </c>
      <c r="V20" s="78">
        <v>880.24798794866263</v>
      </c>
      <c r="W20" s="78">
        <v>521.07142831982378</v>
      </c>
    </row>
    <row r="21" spans="2:23" hidden="1" x14ac:dyDescent="0.25">
      <c r="B21" s="106">
        <v>43635</v>
      </c>
      <c r="C21" s="108">
        <v>240</v>
      </c>
      <c r="D21" s="108">
        <v>989</v>
      </c>
      <c r="E21" s="110">
        <v>1184</v>
      </c>
      <c r="F21" s="110">
        <v>1030</v>
      </c>
      <c r="G21" s="108">
        <v>1436</v>
      </c>
      <c r="H21" s="108">
        <v>835</v>
      </c>
      <c r="I21" s="110">
        <v>853</v>
      </c>
      <c r="J21" s="108">
        <v>794</v>
      </c>
      <c r="K21" s="108">
        <v>1700</v>
      </c>
    </row>
    <row r="22" spans="2:23" hidden="1" x14ac:dyDescent="0.25">
      <c r="B22" s="106">
        <v>43665</v>
      </c>
      <c r="C22" s="108">
        <v>202</v>
      </c>
      <c r="D22" s="108">
        <v>560</v>
      </c>
      <c r="E22" s="110">
        <v>1006</v>
      </c>
      <c r="F22" s="110">
        <v>922</v>
      </c>
      <c r="G22" s="108">
        <v>1541</v>
      </c>
      <c r="H22" s="108">
        <v>863</v>
      </c>
      <c r="I22" s="110">
        <v>559</v>
      </c>
      <c r="J22" s="108">
        <v>736</v>
      </c>
      <c r="K22" s="108">
        <v>1874</v>
      </c>
    </row>
    <row r="23" spans="2:23" hidden="1" x14ac:dyDescent="0.25">
      <c r="B23" s="106">
        <v>43696</v>
      </c>
      <c r="C23" s="108">
        <v>203</v>
      </c>
      <c r="D23" s="108">
        <v>775</v>
      </c>
      <c r="E23" s="110">
        <v>847</v>
      </c>
      <c r="F23" s="110">
        <v>896</v>
      </c>
      <c r="G23" s="108">
        <v>1555</v>
      </c>
      <c r="H23" s="108">
        <v>856</v>
      </c>
      <c r="I23" s="110">
        <v>460</v>
      </c>
      <c r="J23" s="108">
        <v>677</v>
      </c>
      <c r="K23" s="108">
        <v>1760</v>
      </c>
    </row>
    <row r="24" spans="2:23" hidden="1" x14ac:dyDescent="0.25">
      <c r="B24" s="106">
        <v>43727</v>
      </c>
      <c r="C24" s="108">
        <v>181</v>
      </c>
      <c r="D24" s="108">
        <v>1072</v>
      </c>
      <c r="E24" s="110">
        <v>860</v>
      </c>
      <c r="F24" s="110">
        <v>904</v>
      </c>
      <c r="G24" s="108">
        <v>990</v>
      </c>
      <c r="H24" s="108">
        <v>851</v>
      </c>
      <c r="I24" s="110">
        <v>543</v>
      </c>
      <c r="J24" s="108">
        <v>342</v>
      </c>
      <c r="K24" s="108">
        <v>1129</v>
      </c>
    </row>
    <row r="25" spans="2:23" hidden="1" x14ac:dyDescent="0.25">
      <c r="B25" s="106">
        <v>43757</v>
      </c>
      <c r="C25" s="108">
        <v>185</v>
      </c>
      <c r="D25" s="108">
        <v>1089</v>
      </c>
      <c r="E25" s="110">
        <v>907</v>
      </c>
      <c r="F25" s="110">
        <v>1093</v>
      </c>
      <c r="G25" s="108">
        <v>1071</v>
      </c>
      <c r="H25" s="108">
        <v>857</v>
      </c>
      <c r="I25" s="110">
        <v>472</v>
      </c>
      <c r="J25" s="108">
        <v>352</v>
      </c>
      <c r="K25" s="108">
        <v>1340</v>
      </c>
    </row>
    <row r="26" spans="2:23" hidden="1" x14ac:dyDescent="0.25">
      <c r="B26" s="106">
        <v>43788</v>
      </c>
      <c r="C26" s="108">
        <v>215</v>
      </c>
      <c r="D26" s="108">
        <v>1038</v>
      </c>
      <c r="E26" s="110">
        <v>892</v>
      </c>
      <c r="F26" s="110">
        <v>1329</v>
      </c>
      <c r="G26" s="108">
        <v>868</v>
      </c>
      <c r="H26" s="108">
        <v>855</v>
      </c>
      <c r="I26" s="110">
        <v>371</v>
      </c>
      <c r="J26" s="108">
        <v>611</v>
      </c>
      <c r="K26" s="108">
        <v>1517</v>
      </c>
    </row>
    <row r="27" spans="2:23" ht="15.75" hidden="1" customHeight="1" x14ac:dyDescent="0.25">
      <c r="B27" s="106">
        <v>43818</v>
      </c>
      <c r="C27" s="108">
        <v>258</v>
      </c>
      <c r="D27" s="108">
        <v>1419</v>
      </c>
      <c r="E27" s="110">
        <v>859</v>
      </c>
      <c r="F27" s="110">
        <v>1488</v>
      </c>
      <c r="G27" s="108">
        <v>951</v>
      </c>
      <c r="H27" s="108">
        <v>854</v>
      </c>
      <c r="I27" s="110">
        <v>288</v>
      </c>
      <c r="J27" s="108">
        <v>479</v>
      </c>
      <c r="K27" s="108">
        <v>1677</v>
      </c>
    </row>
    <row r="28" spans="2:23" ht="15.75" hidden="1" customHeight="1" x14ac:dyDescent="0.25">
      <c r="B28" s="106">
        <v>43485</v>
      </c>
      <c r="C28" s="108">
        <v>306</v>
      </c>
      <c r="D28" s="108">
        <v>1411</v>
      </c>
      <c r="E28" s="110">
        <v>907</v>
      </c>
      <c r="F28" s="110">
        <v>1575</v>
      </c>
      <c r="G28" s="108">
        <v>973</v>
      </c>
      <c r="H28" s="108">
        <v>855</v>
      </c>
      <c r="I28" s="110">
        <v>239</v>
      </c>
      <c r="J28" s="108">
        <v>569</v>
      </c>
      <c r="K28" s="108">
        <v>2105</v>
      </c>
    </row>
    <row r="29" spans="2:23" ht="15.75" hidden="1" customHeight="1" x14ac:dyDescent="0.25">
      <c r="B29" s="106">
        <v>43516</v>
      </c>
      <c r="C29" s="107">
        <v>244</v>
      </c>
      <c r="D29" s="110">
        <v>1577</v>
      </c>
      <c r="E29" s="110">
        <v>1266</v>
      </c>
      <c r="F29" s="110">
        <v>1360</v>
      </c>
      <c r="G29" s="110">
        <v>866</v>
      </c>
      <c r="H29" s="110">
        <v>855</v>
      </c>
      <c r="I29" s="110">
        <v>357</v>
      </c>
      <c r="J29" s="110">
        <v>559</v>
      </c>
      <c r="K29" s="110">
        <v>2271</v>
      </c>
    </row>
    <row r="30" spans="2:23" ht="15.75" customHeight="1" x14ac:dyDescent="0.25">
      <c r="B30" s="111" t="s">
        <v>214</v>
      </c>
      <c r="C30" s="66">
        <f t="shared" ref="C30:K30" si="2">MEDIAN(C18:C29)</f>
        <v>225</v>
      </c>
      <c r="D30" s="66">
        <f t="shared" si="2"/>
        <v>1080.5</v>
      </c>
      <c r="E30" s="66">
        <f t="shared" si="2"/>
        <v>956.5</v>
      </c>
      <c r="F30" s="66">
        <f t="shared" si="2"/>
        <v>1032</v>
      </c>
      <c r="G30" s="66">
        <f t="shared" si="2"/>
        <v>962</v>
      </c>
      <c r="H30" s="66">
        <f t="shared" si="2"/>
        <v>855</v>
      </c>
      <c r="I30" s="66">
        <f t="shared" si="2"/>
        <v>507.5</v>
      </c>
      <c r="J30" s="66">
        <f t="shared" si="2"/>
        <v>644</v>
      </c>
      <c r="K30" s="66">
        <f t="shared" si="2"/>
        <v>1688.5</v>
      </c>
      <c r="N30" s="112" t="s">
        <v>199</v>
      </c>
      <c r="O30" s="113">
        <f t="shared" ref="O30:W32" si="3">J6/30</f>
        <v>97.378653072225603</v>
      </c>
      <c r="P30" s="113">
        <f t="shared" si="3"/>
        <v>86.84517393069747</v>
      </c>
      <c r="Q30" s="113">
        <f t="shared" si="3"/>
        <v>171.89873055518868</v>
      </c>
      <c r="R30" s="113">
        <f t="shared" si="3"/>
        <v>56.750943978320116</v>
      </c>
      <c r="S30" s="113">
        <f t="shared" si="3"/>
        <v>51.214097060631211</v>
      </c>
      <c r="T30" s="113">
        <f t="shared" si="3"/>
        <v>34.941553079661936</v>
      </c>
      <c r="U30" s="113">
        <f t="shared" si="3"/>
        <v>6.07724640825466</v>
      </c>
      <c r="V30" s="113">
        <f t="shared" si="3"/>
        <v>28.071740474382022</v>
      </c>
      <c r="W30" s="113">
        <f t="shared" si="3"/>
        <v>14.039611006458042</v>
      </c>
    </row>
    <row r="31" spans="2:23" ht="15.75" customHeight="1" x14ac:dyDescent="0.25">
      <c r="B31" s="85" t="s">
        <v>215</v>
      </c>
      <c r="C31" s="114">
        <f t="shared" ref="C31:K31" si="4">STDEV(C18:C29)</f>
        <v>36.150778523826901</v>
      </c>
      <c r="D31" s="114">
        <f t="shared" si="4"/>
        <v>293.8959179812822</v>
      </c>
      <c r="E31" s="114">
        <f t="shared" si="4"/>
        <v>177.63820910303414</v>
      </c>
      <c r="F31" s="114">
        <f t="shared" si="4"/>
        <v>253.45102927868371</v>
      </c>
      <c r="G31" s="114">
        <f t="shared" si="4"/>
        <v>394.53804018309199</v>
      </c>
      <c r="H31" s="114">
        <f t="shared" si="4"/>
        <v>32.811098454915857</v>
      </c>
      <c r="I31" s="114">
        <f t="shared" si="4"/>
        <v>193.12384156757597</v>
      </c>
      <c r="J31" s="114">
        <f t="shared" si="4"/>
        <v>355.63118237689434</v>
      </c>
      <c r="K31" s="114">
        <f t="shared" si="4"/>
        <v>312.49945454497851</v>
      </c>
      <c r="N31" s="112" t="s">
        <v>201</v>
      </c>
      <c r="O31" s="113">
        <f t="shared" si="3"/>
        <v>105.97281752845902</v>
      </c>
      <c r="P31" s="113">
        <f t="shared" si="3"/>
        <v>93.723688519556887</v>
      </c>
      <c r="Q31" s="113">
        <f t="shared" si="3"/>
        <v>177.98785522362368</v>
      </c>
      <c r="R31" s="113">
        <f t="shared" si="3"/>
        <v>62.256875884252018</v>
      </c>
      <c r="S31" s="113">
        <f t="shared" si="3"/>
        <v>56.346564593098748</v>
      </c>
      <c r="T31" s="113">
        <f t="shared" si="3"/>
        <v>39.5031536412625</v>
      </c>
      <c r="U31" s="113">
        <f t="shared" si="3"/>
        <v>8.0786548589588847</v>
      </c>
      <c r="V31" s="113">
        <f t="shared" si="3"/>
        <v>30.611458784241176</v>
      </c>
      <c r="W31" s="113">
        <f t="shared" si="3"/>
        <v>20.698484245894665</v>
      </c>
    </row>
    <row r="32" spans="2:23" ht="15.75" customHeight="1" x14ac:dyDescent="0.25">
      <c r="B32" s="72" t="s">
        <v>216</v>
      </c>
      <c r="C32" s="179">
        <v>5</v>
      </c>
      <c r="D32" s="159"/>
      <c r="E32" s="160"/>
      <c r="F32" s="179">
        <v>3</v>
      </c>
      <c r="G32" s="159"/>
      <c r="H32" s="160"/>
      <c r="I32" s="179">
        <v>4</v>
      </c>
      <c r="J32" s="159"/>
      <c r="K32" s="160"/>
      <c r="N32" s="112" t="s">
        <v>203</v>
      </c>
      <c r="O32" s="113">
        <f t="shared" si="3"/>
        <v>101.67573530034231</v>
      </c>
      <c r="P32" s="113">
        <f t="shared" si="3"/>
        <v>90.284431225127179</v>
      </c>
      <c r="Q32" s="113">
        <f t="shared" si="3"/>
        <v>174.94329288940619</v>
      </c>
      <c r="R32" s="113">
        <f t="shared" si="3"/>
        <v>59.503909931286067</v>
      </c>
      <c r="S32" s="113">
        <f t="shared" si="3"/>
        <v>53.780330826864983</v>
      </c>
      <c r="T32" s="113">
        <f t="shared" si="3"/>
        <v>37.222353360462215</v>
      </c>
      <c r="U32" s="113">
        <f t="shared" si="3"/>
        <v>7.0779506336067728</v>
      </c>
      <c r="V32" s="113">
        <f t="shared" si="3"/>
        <v>29.341599629311599</v>
      </c>
      <c r="W32" s="113">
        <f t="shared" si="3"/>
        <v>17.36904762617635</v>
      </c>
    </row>
    <row r="33" spans="2:23" ht="15.75" customHeight="1" x14ac:dyDescent="0.25">
      <c r="B33" s="72" t="s">
        <v>217</v>
      </c>
      <c r="C33" s="181">
        <f>1/(C32/30)</f>
        <v>6</v>
      </c>
      <c r="D33" s="159"/>
      <c r="E33" s="160"/>
      <c r="F33" s="181">
        <f>1/(F32/30)</f>
        <v>10</v>
      </c>
      <c r="G33" s="159"/>
      <c r="H33" s="160"/>
      <c r="I33" s="181">
        <f>ROUNDUP(1/(I32/30),0)</f>
        <v>8</v>
      </c>
      <c r="J33" s="159"/>
      <c r="K33" s="160"/>
    </row>
    <row r="34" spans="2:23" ht="15.75" customHeight="1" x14ac:dyDescent="0.25">
      <c r="B34" s="72" t="s">
        <v>218</v>
      </c>
      <c r="C34" s="179">
        <v>432</v>
      </c>
      <c r="D34" s="159"/>
      <c r="E34" s="160"/>
      <c r="F34" s="179">
        <v>456</v>
      </c>
      <c r="G34" s="159"/>
      <c r="H34" s="160"/>
      <c r="I34" s="179">
        <v>336</v>
      </c>
      <c r="J34" s="159"/>
      <c r="K34" s="160"/>
      <c r="N34" s="180" t="s">
        <v>207</v>
      </c>
      <c r="O34" s="178" t="s">
        <v>45</v>
      </c>
      <c r="P34" s="159"/>
      <c r="Q34" s="160"/>
      <c r="R34" s="178" t="s">
        <v>46</v>
      </c>
      <c r="S34" s="159"/>
      <c r="T34" s="160"/>
      <c r="U34" s="178" t="s">
        <v>49</v>
      </c>
      <c r="V34" s="159"/>
      <c r="W34" s="160"/>
    </row>
    <row r="35" spans="2:23" ht="15.75" customHeight="1" x14ac:dyDescent="0.25">
      <c r="B35" s="72" t="s">
        <v>219</v>
      </c>
      <c r="C35" s="115">
        <f t="shared" ref="C35:E35" si="5">(C30/SUM($C$30:$E$30))*$C$34</f>
        <v>42.970822281167109</v>
      </c>
      <c r="D35" s="115">
        <f t="shared" si="5"/>
        <v>206.35543766578249</v>
      </c>
      <c r="E35" s="115">
        <f t="shared" si="5"/>
        <v>182.67374005305041</v>
      </c>
      <c r="F35" s="115">
        <f t="shared" ref="F35:H35" si="6">(F30/SUM($F$30:$H$30))*$F$34</f>
        <v>165.17795717795718</v>
      </c>
      <c r="G35" s="115">
        <f t="shared" si="6"/>
        <v>153.97402597402598</v>
      </c>
      <c r="H35" s="115">
        <f t="shared" si="6"/>
        <v>136.84801684801687</v>
      </c>
      <c r="I35" s="115">
        <f t="shared" ref="I35:K35" si="7">(I30/SUM($I$30:$K$30))*$I$34</f>
        <v>60.042253521126767</v>
      </c>
      <c r="J35" s="115">
        <f t="shared" si="7"/>
        <v>76.191549295774649</v>
      </c>
      <c r="K35" s="115">
        <f t="shared" si="7"/>
        <v>199.7661971830986</v>
      </c>
      <c r="N35" s="157"/>
      <c r="O35" s="105" t="s">
        <v>212</v>
      </c>
      <c r="P35" s="105" t="s">
        <v>213</v>
      </c>
      <c r="Q35" s="105">
        <v>1324</v>
      </c>
      <c r="R35" s="105" t="s">
        <v>212</v>
      </c>
      <c r="S35" s="105" t="s">
        <v>213</v>
      </c>
      <c r="T35" s="105">
        <v>1324</v>
      </c>
      <c r="U35" s="105" t="s">
        <v>212</v>
      </c>
      <c r="V35" s="105" t="s">
        <v>213</v>
      </c>
      <c r="W35" s="105">
        <v>1324</v>
      </c>
    </row>
    <row r="36" spans="2:23" ht="15.75" customHeight="1" x14ac:dyDescent="0.25">
      <c r="B36" s="72" t="s">
        <v>220</v>
      </c>
      <c r="C36" s="115">
        <f t="shared" ref="C36:K36" si="8">C35*$C$33</f>
        <v>257.82493368700267</v>
      </c>
      <c r="D36" s="115">
        <f t="shared" si="8"/>
        <v>1238.132625994695</v>
      </c>
      <c r="E36" s="115">
        <f t="shared" si="8"/>
        <v>1096.0424403183024</v>
      </c>
      <c r="F36" s="115">
        <f t="shared" si="8"/>
        <v>991.06774306774309</v>
      </c>
      <c r="G36" s="115">
        <f t="shared" si="8"/>
        <v>923.84415584415592</v>
      </c>
      <c r="H36" s="115">
        <f t="shared" si="8"/>
        <v>821.08810108810121</v>
      </c>
      <c r="I36" s="115">
        <f t="shared" si="8"/>
        <v>360.25352112676057</v>
      </c>
      <c r="J36" s="115">
        <f t="shared" si="8"/>
        <v>457.1492957746479</v>
      </c>
      <c r="K36" s="115">
        <f t="shared" si="8"/>
        <v>1198.5971830985916</v>
      </c>
      <c r="N36" s="116" t="s">
        <v>221</v>
      </c>
      <c r="O36" s="71">
        <v>31.883333333333333</v>
      </c>
      <c r="P36" s="71">
        <v>28.5</v>
      </c>
      <c r="Q36" s="71">
        <v>56.283333333333331</v>
      </c>
      <c r="R36" s="71">
        <v>36.016666666666666</v>
      </c>
      <c r="S36" s="71">
        <v>32.06666666666667</v>
      </c>
      <c r="T36" s="71">
        <v>21.466666666666665</v>
      </c>
      <c r="U36" s="71">
        <v>7.5</v>
      </c>
      <c r="V36" s="71">
        <v>34.4</v>
      </c>
      <c r="W36" s="71">
        <v>16.916666666666668</v>
      </c>
    </row>
    <row r="37" spans="2:23" ht="15.75" customHeight="1" x14ac:dyDescent="0.25">
      <c r="N37" s="66" t="s">
        <v>222</v>
      </c>
      <c r="O37" s="66">
        <f t="shared" ref="O37:W37" si="9">ROUNDUP(J6/O36,0)</f>
        <v>92</v>
      </c>
      <c r="P37" s="66">
        <f t="shared" si="9"/>
        <v>92</v>
      </c>
      <c r="Q37" s="66">
        <f t="shared" si="9"/>
        <v>92</v>
      </c>
      <c r="R37" s="66">
        <f t="shared" si="9"/>
        <v>48</v>
      </c>
      <c r="S37" s="66">
        <f t="shared" si="9"/>
        <v>48</v>
      </c>
      <c r="T37" s="66">
        <f t="shared" si="9"/>
        <v>49</v>
      </c>
      <c r="U37" s="66">
        <f t="shared" si="9"/>
        <v>25</v>
      </c>
      <c r="V37" s="66">
        <f t="shared" si="9"/>
        <v>25</v>
      </c>
      <c r="W37" s="66">
        <f t="shared" si="9"/>
        <v>25</v>
      </c>
    </row>
    <row r="38" spans="2:23" ht="15.75" customHeight="1" x14ac:dyDescent="0.25">
      <c r="N38" s="117" t="s">
        <v>223</v>
      </c>
      <c r="O38" s="66">
        <v>12</v>
      </c>
      <c r="P38" s="66">
        <v>12</v>
      </c>
      <c r="Q38" s="66">
        <v>12</v>
      </c>
      <c r="R38" s="66">
        <v>5</v>
      </c>
      <c r="S38" s="66">
        <v>5</v>
      </c>
      <c r="T38" s="66">
        <v>5</v>
      </c>
      <c r="U38" s="66">
        <v>4</v>
      </c>
      <c r="V38" s="66">
        <v>4</v>
      </c>
      <c r="W38" s="66">
        <v>4</v>
      </c>
    </row>
    <row r="39" spans="2:23" ht="15.75" customHeight="1" x14ac:dyDescent="0.2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N39" s="116" t="s">
        <v>224</v>
      </c>
      <c r="O39" s="119">
        <f t="shared" ref="O39:W39" si="10">O30*O38</f>
        <v>1168.5438368667074</v>
      </c>
      <c r="P39" s="119">
        <f t="shared" si="10"/>
        <v>1042.1420871683697</v>
      </c>
      <c r="Q39" s="119">
        <f t="shared" si="10"/>
        <v>2062.7847666622642</v>
      </c>
      <c r="R39" s="119">
        <f t="shared" si="10"/>
        <v>283.75471989160059</v>
      </c>
      <c r="S39" s="119">
        <f t="shared" si="10"/>
        <v>256.07048530315603</v>
      </c>
      <c r="T39" s="119">
        <f t="shared" si="10"/>
        <v>174.70776539830968</v>
      </c>
      <c r="U39" s="119">
        <f t="shared" si="10"/>
        <v>24.30898563301864</v>
      </c>
      <c r="V39" s="119">
        <f t="shared" si="10"/>
        <v>112.28696189752809</v>
      </c>
      <c r="W39" s="119">
        <f t="shared" si="10"/>
        <v>56.158444025832168</v>
      </c>
    </row>
    <row r="40" spans="2:23" ht="15.75" customHeight="1" x14ac:dyDescent="0.25">
      <c r="N40" s="116" t="s">
        <v>225</v>
      </c>
      <c r="O40" s="119">
        <f t="shared" ref="O40:W40" si="11">J6-O39</f>
        <v>1752.8157553000606</v>
      </c>
      <c r="P40" s="119">
        <f t="shared" si="11"/>
        <v>1563.2131307525544</v>
      </c>
      <c r="Q40" s="119">
        <f t="shared" si="11"/>
        <v>3094.1771499933961</v>
      </c>
      <c r="R40" s="119">
        <f t="shared" si="11"/>
        <v>1418.7735994580028</v>
      </c>
      <c r="S40" s="119">
        <f t="shared" si="11"/>
        <v>1280.3524265157803</v>
      </c>
      <c r="T40" s="119">
        <f t="shared" si="11"/>
        <v>873.53882699154838</v>
      </c>
      <c r="U40" s="119">
        <f t="shared" si="11"/>
        <v>158.00840661462115</v>
      </c>
      <c r="V40" s="119">
        <f t="shared" si="11"/>
        <v>729.86525233393263</v>
      </c>
      <c r="W40" s="119">
        <f t="shared" si="11"/>
        <v>365.02988616790907</v>
      </c>
    </row>
    <row r="41" spans="2:23" ht="15.75" customHeight="1" x14ac:dyDescent="0.25">
      <c r="N41" s="103"/>
      <c r="O41" s="120"/>
      <c r="P41" s="120"/>
      <c r="Q41" s="120"/>
      <c r="R41" s="120"/>
      <c r="S41" s="120"/>
      <c r="T41" s="120"/>
      <c r="U41" s="120"/>
      <c r="V41" s="120"/>
      <c r="W41" s="120"/>
    </row>
    <row r="42" spans="2:23" ht="15.75" customHeight="1" x14ac:dyDescent="0.25"/>
    <row r="43" spans="2:23" ht="15.75" customHeight="1" x14ac:dyDescent="0.25"/>
    <row r="44" spans="2:23" ht="15.75" customHeight="1" x14ac:dyDescent="0.25"/>
    <row r="45" spans="2:23" ht="15.75" customHeight="1" x14ac:dyDescent="0.25">
      <c r="N45" s="93"/>
      <c r="O45" s="93"/>
      <c r="R45" s="93"/>
      <c r="U45" s="93"/>
    </row>
    <row r="46" spans="2:23" ht="15.75" customHeight="1" x14ac:dyDescent="0.25">
      <c r="O46" s="93"/>
      <c r="P46" s="93"/>
      <c r="Q46" s="93"/>
      <c r="R46" s="93"/>
      <c r="S46" s="93"/>
      <c r="T46" s="93"/>
      <c r="U46" s="93"/>
      <c r="V46" s="93"/>
      <c r="W46" s="93"/>
    </row>
    <row r="47" spans="2:23" ht="15.75" customHeight="1" x14ac:dyDescent="0.25">
      <c r="N47" s="93"/>
    </row>
    <row r="48" spans="2:2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1">
    <mergeCell ref="B5:C5"/>
    <mergeCell ref="D5:E5"/>
    <mergeCell ref="F5:G5"/>
    <mergeCell ref="B2:R2"/>
    <mergeCell ref="B4:G4"/>
    <mergeCell ref="J4:L4"/>
    <mergeCell ref="M4:O4"/>
    <mergeCell ref="P4:R4"/>
    <mergeCell ref="B11:K14"/>
    <mergeCell ref="N11:W14"/>
    <mergeCell ref="B16:B17"/>
    <mergeCell ref="C16:E16"/>
    <mergeCell ref="F16:H16"/>
    <mergeCell ref="I16:K16"/>
    <mergeCell ref="N16:N17"/>
    <mergeCell ref="O16:Q16"/>
    <mergeCell ref="R16:T16"/>
    <mergeCell ref="U16:W16"/>
    <mergeCell ref="C32:E32"/>
    <mergeCell ref="F32:H32"/>
    <mergeCell ref="I32:K32"/>
    <mergeCell ref="C33:E33"/>
    <mergeCell ref="F33:H33"/>
    <mergeCell ref="I33:K33"/>
    <mergeCell ref="U34:W34"/>
    <mergeCell ref="C34:E34"/>
    <mergeCell ref="F34:H34"/>
    <mergeCell ref="I34:K34"/>
    <mergeCell ref="N34:N35"/>
    <mergeCell ref="O34:Q34"/>
    <mergeCell ref="R34:T34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2"/>
  <sheetViews>
    <sheetView showGridLines="0" zoomScale="70" zoomScaleNormal="70" workbookViewId="0">
      <selection activeCell="L3" sqref="L3:L22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9" style="23" bestFit="1" customWidth="1"/>
    <col min="4" max="4" width="9.140625" style="23" customWidth="1"/>
    <col min="5" max="5" width="8.42578125" style="23" customWidth="1"/>
    <col min="6" max="6" width="7" style="23" customWidth="1"/>
    <col min="7" max="7" width="7.5703125" style="23" customWidth="1"/>
    <col min="8" max="8" width="7.85546875" style="23" customWidth="1"/>
    <col min="9" max="9" width="9" style="23" customWidth="1"/>
    <col min="10" max="10" width="8.140625" style="23" customWidth="1"/>
    <col min="11" max="11" width="7.140625" style="23" customWidth="1"/>
    <col min="12" max="13" width="8.140625" style="23" customWidth="1"/>
    <col min="14" max="14" width="8.5703125" style="23" customWidth="1"/>
    <col min="15" max="15" width="9.28515625" style="23" customWidth="1"/>
    <col min="16" max="16" width="9" style="23" customWidth="1"/>
    <col min="17" max="17" width="8.5703125" style="23" customWidth="1"/>
    <col min="18" max="18" width="8.140625" style="23" customWidth="1"/>
    <col min="19" max="19" width="8.7109375" style="23" customWidth="1"/>
    <col min="20" max="20" width="7.7109375" style="23" customWidth="1"/>
    <col min="21" max="21" width="8" style="23" customWidth="1"/>
    <col min="22" max="22" width="9.7109375" style="23" customWidth="1"/>
    <col min="23" max="23" width="8.28515625" style="23" customWidth="1"/>
    <col min="24" max="24" width="18.85546875" style="23" bestFit="1" customWidth="1"/>
    <col min="25" max="25" width="14.7109375" style="23" customWidth="1"/>
    <col min="26" max="26" width="13.7109375" style="23" bestFit="1" customWidth="1"/>
    <col min="27" max="16384" width="9.140625" style="23"/>
  </cols>
  <sheetData>
    <row r="2" spans="2:26" s="22" customFormat="1" ht="15.75" thickBot="1" x14ac:dyDescent="0.3">
      <c r="B2" s="2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23"/>
      <c r="X2" s="5" t="s">
        <v>17</v>
      </c>
      <c r="Y2" s="5" t="s">
        <v>37</v>
      </c>
      <c r="Z2" s="5" t="s">
        <v>39</v>
      </c>
    </row>
    <row r="3" spans="2:26" x14ac:dyDescent="0.25">
      <c r="B3" s="14" t="s">
        <v>8</v>
      </c>
      <c r="C3" s="4">
        <v>0</v>
      </c>
      <c r="D3" s="4">
        <v>33</v>
      </c>
      <c r="E3" s="4">
        <v>48</v>
      </c>
      <c r="F3" s="4">
        <v>17</v>
      </c>
      <c r="G3" s="4">
        <v>43</v>
      </c>
      <c r="H3" s="4">
        <v>132</v>
      </c>
      <c r="I3" s="4">
        <v>266</v>
      </c>
      <c r="J3" s="4">
        <v>247</v>
      </c>
      <c r="K3" s="4">
        <v>128</v>
      </c>
      <c r="L3" s="4">
        <v>267</v>
      </c>
      <c r="M3" s="4">
        <v>203</v>
      </c>
      <c r="N3" s="4">
        <v>145</v>
      </c>
      <c r="O3" s="4">
        <v>168</v>
      </c>
      <c r="P3" s="4">
        <v>179</v>
      </c>
      <c r="Q3" s="4">
        <v>198</v>
      </c>
      <c r="R3" s="4">
        <v>216</v>
      </c>
      <c r="S3" s="4">
        <v>222</v>
      </c>
      <c r="T3" s="4">
        <v>166</v>
      </c>
      <c r="U3" s="4">
        <v>143</v>
      </c>
      <c r="V3" s="4">
        <v>284</v>
      </c>
      <c r="X3" s="14" t="s">
        <v>8</v>
      </c>
      <c r="Y3" s="24"/>
      <c r="Z3" s="24"/>
    </row>
    <row r="4" spans="2:26" x14ac:dyDescent="0.25">
      <c r="B4" s="14" t="s">
        <v>9</v>
      </c>
      <c r="C4" s="35">
        <v>30</v>
      </c>
      <c r="D4" s="35">
        <v>0</v>
      </c>
      <c r="E4" s="35">
        <v>25</v>
      </c>
      <c r="F4" s="35">
        <v>37</v>
      </c>
      <c r="G4" s="35">
        <v>54</v>
      </c>
      <c r="H4" s="35">
        <v>144</v>
      </c>
      <c r="I4" s="35">
        <v>269</v>
      </c>
      <c r="J4" s="35">
        <v>260</v>
      </c>
      <c r="K4" s="35">
        <v>261</v>
      </c>
      <c r="L4" s="35">
        <v>280</v>
      </c>
      <c r="M4" s="35">
        <v>215</v>
      </c>
      <c r="N4" s="35">
        <v>157</v>
      </c>
      <c r="O4" s="35">
        <v>179</v>
      </c>
      <c r="P4" s="35">
        <v>190</v>
      </c>
      <c r="Q4" s="35">
        <v>208</v>
      </c>
      <c r="R4" s="35">
        <v>227</v>
      </c>
      <c r="S4" s="35">
        <v>233</v>
      </c>
      <c r="T4" s="35">
        <v>118</v>
      </c>
      <c r="U4" s="35">
        <v>94</v>
      </c>
      <c r="V4" s="35">
        <v>235</v>
      </c>
      <c r="X4" s="14" t="s">
        <v>9</v>
      </c>
      <c r="Y4" s="25"/>
      <c r="Z4" s="25"/>
    </row>
    <row r="5" spans="2:26" x14ac:dyDescent="0.25">
      <c r="B5" s="14" t="s">
        <v>10</v>
      </c>
      <c r="C5" s="4">
        <v>50</v>
      </c>
      <c r="D5" s="4">
        <v>25</v>
      </c>
      <c r="E5" s="4">
        <v>0</v>
      </c>
      <c r="F5" s="4">
        <v>57</v>
      </c>
      <c r="G5" s="4">
        <v>75</v>
      </c>
      <c r="H5" s="4">
        <v>164</v>
      </c>
      <c r="I5" s="4">
        <v>290</v>
      </c>
      <c r="J5" s="4">
        <v>280</v>
      </c>
      <c r="K5" s="4">
        <v>161</v>
      </c>
      <c r="L5" s="4">
        <v>300</v>
      </c>
      <c r="M5" s="4">
        <v>234</v>
      </c>
      <c r="N5" s="4">
        <v>176</v>
      </c>
      <c r="O5" s="4">
        <v>199</v>
      </c>
      <c r="P5" s="4">
        <v>209</v>
      </c>
      <c r="Q5" s="4">
        <f>3*60+48</f>
        <v>228</v>
      </c>
      <c r="R5" s="4">
        <v>246</v>
      </c>
      <c r="S5" s="4">
        <v>253</v>
      </c>
      <c r="T5" s="4">
        <v>138</v>
      </c>
      <c r="U5" s="4">
        <v>115</v>
      </c>
      <c r="V5" s="4">
        <v>256</v>
      </c>
      <c r="X5" s="14" t="s">
        <v>10</v>
      </c>
      <c r="Y5" s="25"/>
      <c r="Z5" s="25"/>
    </row>
    <row r="6" spans="2:26" x14ac:dyDescent="0.25">
      <c r="B6" s="14" t="s">
        <v>11</v>
      </c>
      <c r="C6" s="35">
        <v>18</v>
      </c>
      <c r="D6" s="35">
        <v>40</v>
      </c>
      <c r="E6" s="35">
        <v>54</v>
      </c>
      <c r="F6" s="35">
        <v>0</v>
      </c>
      <c r="G6" s="35">
        <v>53</v>
      </c>
      <c r="H6" s="35">
        <v>142</v>
      </c>
      <c r="I6" s="35">
        <f>4*60+32</f>
        <v>272</v>
      </c>
      <c r="J6" s="35">
        <v>257</v>
      </c>
      <c r="K6" s="35">
        <v>138</v>
      </c>
      <c r="L6" s="35">
        <v>277</v>
      </c>
      <c r="M6" s="35">
        <v>211</v>
      </c>
      <c r="N6" s="35">
        <v>154</v>
      </c>
      <c r="O6" s="35">
        <v>176</v>
      </c>
      <c r="P6" s="35">
        <v>187</v>
      </c>
      <c r="Q6" s="35">
        <v>205</v>
      </c>
      <c r="R6" s="35">
        <v>224</v>
      </c>
      <c r="S6" s="35">
        <v>39</v>
      </c>
      <c r="T6" s="35">
        <v>115</v>
      </c>
      <c r="U6" s="35">
        <v>92</v>
      </c>
      <c r="V6" s="35">
        <v>233</v>
      </c>
      <c r="X6" s="14" t="s">
        <v>11</v>
      </c>
      <c r="Y6" s="25"/>
      <c r="Z6" s="25"/>
    </row>
    <row r="7" spans="2:26" x14ac:dyDescent="0.25">
      <c r="B7" s="14" t="s">
        <v>12</v>
      </c>
      <c r="C7" s="4">
        <v>43</v>
      </c>
      <c r="D7" s="4">
        <v>57</v>
      </c>
      <c r="E7" s="4">
        <v>72</v>
      </c>
      <c r="F7" s="4">
        <v>52</v>
      </c>
      <c r="G7" s="4">
        <v>0</v>
      </c>
      <c r="H7" s="4">
        <v>92</v>
      </c>
      <c r="I7" s="4">
        <v>222</v>
      </c>
      <c r="J7" s="4">
        <v>107</v>
      </c>
      <c r="K7" s="4">
        <v>84</v>
      </c>
      <c r="L7" s="4">
        <v>236</v>
      </c>
      <c r="M7" s="4">
        <v>166</v>
      </c>
      <c r="N7" s="4">
        <v>108</v>
      </c>
      <c r="O7" s="4">
        <v>129</v>
      </c>
      <c r="P7" s="4">
        <v>140</v>
      </c>
      <c r="Q7" s="4">
        <v>169</v>
      </c>
      <c r="R7" s="4">
        <v>178</v>
      </c>
      <c r="S7" s="4">
        <v>184</v>
      </c>
      <c r="T7" s="4">
        <v>64</v>
      </c>
      <c r="U7" s="4">
        <v>40</v>
      </c>
      <c r="V7" s="4">
        <v>184</v>
      </c>
      <c r="X7" s="14" t="s">
        <v>12</v>
      </c>
      <c r="Y7" s="25"/>
      <c r="Z7" s="25"/>
    </row>
    <row r="8" spans="2:26" x14ac:dyDescent="0.25">
      <c r="B8" s="14" t="s">
        <v>13</v>
      </c>
      <c r="C8" s="35">
        <v>132</v>
      </c>
      <c r="D8" s="35">
        <v>147</v>
      </c>
      <c r="E8" s="35">
        <v>162</v>
      </c>
      <c r="F8" s="35">
        <v>141</v>
      </c>
      <c r="G8" s="35">
        <v>92</v>
      </c>
      <c r="H8" s="35">
        <v>0</v>
      </c>
      <c r="I8" s="35">
        <v>135</v>
      </c>
      <c r="J8" s="35">
        <v>122</v>
      </c>
      <c r="K8" s="35">
        <v>11</v>
      </c>
      <c r="L8" s="35">
        <v>140</v>
      </c>
      <c r="M8" s="35">
        <v>74</v>
      </c>
      <c r="N8" s="35">
        <v>16</v>
      </c>
      <c r="O8" s="35">
        <v>37</v>
      </c>
      <c r="P8" s="35">
        <v>48</v>
      </c>
      <c r="Q8" s="35">
        <v>67</v>
      </c>
      <c r="R8" s="35">
        <v>87</v>
      </c>
      <c r="S8" s="35">
        <v>93</v>
      </c>
      <c r="T8" s="35">
        <v>69</v>
      </c>
      <c r="U8" s="35">
        <v>61</v>
      </c>
      <c r="V8" s="35">
        <v>91</v>
      </c>
      <c r="X8" s="14" t="s">
        <v>13</v>
      </c>
      <c r="Y8" s="25"/>
      <c r="Z8" s="25"/>
    </row>
    <row r="9" spans="2:26" x14ac:dyDescent="0.25">
      <c r="B9" s="14" t="s">
        <v>14</v>
      </c>
      <c r="C9" s="4">
        <v>263</v>
      </c>
      <c r="D9" s="4">
        <v>275</v>
      </c>
      <c r="E9" s="4">
        <v>290</v>
      </c>
      <c r="F9" s="4">
        <v>265</v>
      </c>
      <c r="G9" s="4">
        <v>212</v>
      </c>
      <c r="H9" s="4">
        <v>135</v>
      </c>
      <c r="I9" s="4">
        <v>0</v>
      </c>
      <c r="J9" s="4">
        <v>97</v>
      </c>
      <c r="K9" s="4">
        <v>132</v>
      </c>
      <c r="L9" s="4">
        <v>51</v>
      </c>
      <c r="M9" s="4">
        <v>74</v>
      </c>
      <c r="N9" s="4">
        <v>119</v>
      </c>
      <c r="O9" s="4">
        <v>98</v>
      </c>
      <c r="P9" s="4">
        <v>88</v>
      </c>
      <c r="Q9" s="4">
        <v>81</v>
      </c>
      <c r="R9" s="4">
        <v>62</v>
      </c>
      <c r="S9" s="4">
        <v>44</v>
      </c>
      <c r="T9" s="4">
        <v>193</v>
      </c>
      <c r="U9" s="4">
        <v>184</v>
      </c>
      <c r="V9" s="4">
        <v>92</v>
      </c>
      <c r="X9" s="14" t="s">
        <v>14</v>
      </c>
      <c r="Y9" s="25"/>
      <c r="Z9" s="25"/>
    </row>
    <row r="10" spans="2:26" x14ac:dyDescent="0.25">
      <c r="B10" s="14" t="s">
        <v>15</v>
      </c>
      <c r="C10" s="35">
        <v>247</v>
      </c>
      <c r="D10" s="35">
        <v>259</v>
      </c>
      <c r="E10" s="35">
        <v>273</v>
      </c>
      <c r="F10" s="35">
        <v>254</v>
      </c>
      <c r="G10" s="35">
        <v>203</v>
      </c>
      <c r="H10" s="35">
        <v>124</v>
      </c>
      <c r="I10" s="35">
        <v>91</v>
      </c>
      <c r="J10" s="35">
        <v>0</v>
      </c>
      <c r="K10" s="35">
        <v>119</v>
      </c>
      <c r="L10" s="35">
        <v>80</v>
      </c>
      <c r="M10" s="35">
        <v>66</v>
      </c>
      <c r="N10" s="35">
        <v>143</v>
      </c>
      <c r="O10" s="35">
        <v>90</v>
      </c>
      <c r="P10" s="35">
        <v>80</v>
      </c>
      <c r="Q10" s="35">
        <v>74</v>
      </c>
      <c r="R10" s="35">
        <v>64</v>
      </c>
      <c r="S10" s="35">
        <v>70</v>
      </c>
      <c r="T10" s="35">
        <v>185</v>
      </c>
      <c r="U10" s="35">
        <v>176</v>
      </c>
      <c r="V10" s="35">
        <v>53</v>
      </c>
      <c r="X10" s="14" t="s">
        <v>15</v>
      </c>
      <c r="Y10" s="25"/>
      <c r="Z10" s="25"/>
    </row>
    <row r="11" spans="2:26" x14ac:dyDescent="0.25">
      <c r="B11" s="14" t="s">
        <v>16</v>
      </c>
      <c r="C11" s="4">
        <v>129</v>
      </c>
      <c r="D11" s="4">
        <v>263</v>
      </c>
      <c r="E11" s="4">
        <v>159</v>
      </c>
      <c r="F11" s="4">
        <v>138</v>
      </c>
      <c r="G11" s="4">
        <v>84</v>
      </c>
      <c r="H11" s="4">
        <v>10</v>
      </c>
      <c r="I11" s="4">
        <v>140</v>
      </c>
      <c r="J11" s="4">
        <v>118</v>
      </c>
      <c r="K11" s="4">
        <v>0</v>
      </c>
      <c r="L11" s="4">
        <v>138</v>
      </c>
      <c r="M11" s="4">
        <v>81</v>
      </c>
      <c r="N11" s="4">
        <v>24</v>
      </c>
      <c r="O11" s="4">
        <v>44</v>
      </c>
      <c r="P11" s="4">
        <v>55</v>
      </c>
      <c r="Q11" s="4">
        <v>74</v>
      </c>
      <c r="R11" s="4">
        <v>94</v>
      </c>
      <c r="S11" s="4">
        <v>100</v>
      </c>
      <c r="T11" s="4">
        <v>66</v>
      </c>
      <c r="U11" s="4">
        <v>58</v>
      </c>
      <c r="V11" s="4">
        <v>95</v>
      </c>
      <c r="X11" s="14" t="s">
        <v>16</v>
      </c>
      <c r="Y11" s="25"/>
      <c r="Z11" s="25"/>
    </row>
    <row r="12" spans="2:26" x14ac:dyDescent="0.25">
      <c r="B12" s="14" t="s">
        <v>25</v>
      </c>
      <c r="C12" s="35">
        <v>270</v>
      </c>
      <c r="D12" s="35">
        <v>282</v>
      </c>
      <c r="E12" s="35">
        <v>296</v>
      </c>
      <c r="F12" s="35">
        <v>279</v>
      </c>
      <c r="G12" s="35">
        <v>283</v>
      </c>
      <c r="H12" s="35">
        <v>141</v>
      </c>
      <c r="I12" s="35">
        <v>49</v>
      </c>
      <c r="J12" s="35">
        <v>77</v>
      </c>
      <c r="K12" s="35">
        <v>143</v>
      </c>
      <c r="L12" s="35">
        <v>0</v>
      </c>
      <c r="M12" s="35">
        <v>81</v>
      </c>
      <c r="N12" s="35">
        <v>128</v>
      </c>
      <c r="O12" s="35">
        <v>107</v>
      </c>
      <c r="P12" s="35">
        <v>97</v>
      </c>
      <c r="Q12" s="35">
        <v>92</v>
      </c>
      <c r="R12" s="35">
        <v>73</v>
      </c>
      <c r="S12" s="35">
        <v>55</v>
      </c>
      <c r="T12" s="35">
        <v>203</v>
      </c>
      <c r="U12" s="35">
        <v>205</v>
      </c>
      <c r="V12" s="35">
        <v>108</v>
      </c>
      <c r="X12" s="14" t="s">
        <v>25</v>
      </c>
      <c r="Y12" s="25"/>
      <c r="Z12" s="25"/>
    </row>
    <row r="13" spans="2:26" x14ac:dyDescent="0.25">
      <c r="B13" s="14" t="s">
        <v>26</v>
      </c>
      <c r="C13" s="4">
        <v>203</v>
      </c>
      <c r="D13" s="4">
        <v>216</v>
      </c>
      <c r="E13" s="4">
        <v>231</v>
      </c>
      <c r="F13" s="4">
        <v>212</v>
      </c>
      <c r="G13" s="4">
        <v>155</v>
      </c>
      <c r="H13" s="4">
        <v>74</v>
      </c>
      <c r="I13" s="4">
        <v>73</v>
      </c>
      <c r="J13" s="4">
        <v>68</v>
      </c>
      <c r="K13" s="4">
        <v>76</v>
      </c>
      <c r="L13" s="4">
        <v>81</v>
      </c>
      <c r="M13" s="4">
        <v>0</v>
      </c>
      <c r="N13" s="4">
        <v>62</v>
      </c>
      <c r="O13" s="4">
        <v>41</v>
      </c>
      <c r="P13" s="4">
        <v>31</v>
      </c>
      <c r="Q13" s="4">
        <v>24</v>
      </c>
      <c r="R13" s="4">
        <v>32</v>
      </c>
      <c r="S13" s="4">
        <v>37</v>
      </c>
      <c r="T13" s="4">
        <v>135</v>
      </c>
      <c r="U13" s="4">
        <v>127</v>
      </c>
      <c r="V13" s="4">
        <v>41</v>
      </c>
      <c r="X13" s="14" t="s">
        <v>26</v>
      </c>
      <c r="Y13" s="25"/>
      <c r="Z13" s="25"/>
    </row>
    <row r="14" spans="2:26" x14ac:dyDescent="0.25">
      <c r="B14" s="14" t="s">
        <v>27</v>
      </c>
      <c r="C14" s="35">
        <v>146</v>
      </c>
      <c r="D14" s="35">
        <v>160</v>
      </c>
      <c r="E14" s="35">
        <v>175</v>
      </c>
      <c r="F14" s="35">
        <v>154</v>
      </c>
      <c r="G14" s="35">
        <v>101</v>
      </c>
      <c r="H14" s="35">
        <v>20</v>
      </c>
      <c r="I14" s="35">
        <v>117</v>
      </c>
      <c r="J14" s="35">
        <v>111</v>
      </c>
      <c r="K14" s="35">
        <v>22</v>
      </c>
      <c r="L14" s="35">
        <v>128</v>
      </c>
      <c r="M14" s="35">
        <v>60</v>
      </c>
      <c r="N14" s="35">
        <v>0</v>
      </c>
      <c r="O14" s="35">
        <v>24</v>
      </c>
      <c r="P14" s="35">
        <v>35</v>
      </c>
      <c r="Q14" s="35">
        <v>54</v>
      </c>
      <c r="R14" s="35">
        <v>74</v>
      </c>
      <c r="S14" s="35">
        <v>81</v>
      </c>
      <c r="T14" s="35">
        <v>81</v>
      </c>
      <c r="U14" s="35">
        <v>35</v>
      </c>
      <c r="V14" s="35">
        <v>80</v>
      </c>
      <c r="X14" s="14" t="s">
        <v>27</v>
      </c>
      <c r="Y14" s="25"/>
      <c r="Z14" s="25"/>
    </row>
    <row r="15" spans="2:26" x14ac:dyDescent="0.25">
      <c r="B15" s="14" t="s">
        <v>28</v>
      </c>
      <c r="C15" s="4">
        <v>168</v>
      </c>
      <c r="D15" s="4">
        <v>181</v>
      </c>
      <c r="E15" s="4">
        <v>196</v>
      </c>
      <c r="F15" s="4">
        <v>177</v>
      </c>
      <c r="G15" s="4">
        <v>121</v>
      </c>
      <c r="H15" s="4">
        <v>40</v>
      </c>
      <c r="I15" s="4">
        <v>99</v>
      </c>
      <c r="J15" s="4">
        <v>93</v>
      </c>
      <c r="K15" s="4">
        <v>42</v>
      </c>
      <c r="L15" s="4">
        <v>118</v>
      </c>
      <c r="M15" s="4">
        <v>43</v>
      </c>
      <c r="N15" s="4">
        <v>28</v>
      </c>
      <c r="O15" s="4">
        <v>0</v>
      </c>
      <c r="P15" s="4">
        <v>18</v>
      </c>
      <c r="Q15" s="4">
        <v>37</v>
      </c>
      <c r="R15" s="4">
        <v>56</v>
      </c>
      <c r="S15" s="4">
        <v>62</v>
      </c>
      <c r="T15" s="4">
        <v>101</v>
      </c>
      <c r="U15" s="4">
        <v>93</v>
      </c>
      <c r="V15" s="4">
        <v>56</v>
      </c>
      <c r="X15" s="14" t="s">
        <v>28</v>
      </c>
      <c r="Y15" s="25"/>
      <c r="Z15" s="25"/>
    </row>
    <row r="16" spans="2:26" x14ac:dyDescent="0.25">
      <c r="B16" s="14" t="s">
        <v>29</v>
      </c>
      <c r="C16" s="35">
        <v>180</v>
      </c>
      <c r="D16" s="35">
        <v>193</v>
      </c>
      <c r="E16" s="35">
        <v>208</v>
      </c>
      <c r="F16" s="35">
        <v>188</v>
      </c>
      <c r="G16" s="35">
        <v>132</v>
      </c>
      <c r="H16" s="35">
        <v>51</v>
      </c>
      <c r="I16" s="35">
        <v>84</v>
      </c>
      <c r="J16" s="35">
        <v>78</v>
      </c>
      <c r="K16" s="35">
        <v>53</v>
      </c>
      <c r="L16" s="35">
        <v>100</v>
      </c>
      <c r="M16" s="35">
        <v>29</v>
      </c>
      <c r="N16" s="35">
        <v>39</v>
      </c>
      <c r="O16" s="35">
        <v>17</v>
      </c>
      <c r="P16" s="35">
        <v>0</v>
      </c>
      <c r="Q16" s="35">
        <v>22</v>
      </c>
      <c r="R16" s="35">
        <v>42</v>
      </c>
      <c r="S16" s="35">
        <v>47</v>
      </c>
      <c r="T16" s="35">
        <v>121</v>
      </c>
      <c r="U16" s="35">
        <v>104</v>
      </c>
      <c r="V16" s="35">
        <v>52</v>
      </c>
      <c r="X16" s="14" t="s">
        <v>29</v>
      </c>
      <c r="Y16" s="25"/>
      <c r="Z16" s="25"/>
    </row>
    <row r="17" spans="2:26" x14ac:dyDescent="0.25">
      <c r="B17" s="14" t="s">
        <v>30</v>
      </c>
      <c r="C17" s="4">
        <v>196</v>
      </c>
      <c r="D17" s="4">
        <v>209</v>
      </c>
      <c r="E17" s="4">
        <v>228</v>
      </c>
      <c r="F17" s="4">
        <v>205</v>
      </c>
      <c r="G17" s="4">
        <v>158</v>
      </c>
      <c r="H17" s="4">
        <v>66</v>
      </c>
      <c r="I17" s="4">
        <v>82</v>
      </c>
      <c r="J17" s="4">
        <v>76</v>
      </c>
      <c r="K17" s="4">
        <v>68</v>
      </c>
      <c r="L17" s="4">
        <v>97</v>
      </c>
      <c r="M17" s="4">
        <v>26</v>
      </c>
      <c r="N17" s="4">
        <v>54</v>
      </c>
      <c r="O17" s="4">
        <v>32</v>
      </c>
      <c r="P17" s="4">
        <v>22</v>
      </c>
      <c r="Q17" s="4">
        <v>0</v>
      </c>
      <c r="R17" s="4">
        <v>36</v>
      </c>
      <c r="S17" s="4">
        <v>39</v>
      </c>
      <c r="T17" s="4">
        <v>127</v>
      </c>
      <c r="U17" s="4">
        <v>36</v>
      </c>
      <c r="V17" s="4">
        <v>48</v>
      </c>
      <c r="X17" s="14" t="s">
        <v>30</v>
      </c>
      <c r="Y17" s="25"/>
      <c r="Z17" s="25"/>
    </row>
    <row r="18" spans="2:26" x14ac:dyDescent="0.25">
      <c r="B18" s="14" t="s">
        <v>31</v>
      </c>
      <c r="C18" s="35">
        <v>219</v>
      </c>
      <c r="D18" s="35">
        <v>232</v>
      </c>
      <c r="E18" s="35">
        <v>247</v>
      </c>
      <c r="F18" s="35">
        <v>225</v>
      </c>
      <c r="G18" s="35">
        <v>171</v>
      </c>
      <c r="H18" s="35">
        <v>90</v>
      </c>
      <c r="I18" s="35">
        <v>61</v>
      </c>
      <c r="J18" s="35">
        <v>65</v>
      </c>
      <c r="K18" s="35">
        <v>91</v>
      </c>
      <c r="L18" s="35">
        <v>99</v>
      </c>
      <c r="M18" s="35">
        <v>32</v>
      </c>
      <c r="N18" s="35">
        <v>77</v>
      </c>
      <c r="O18" s="35">
        <v>55</v>
      </c>
      <c r="P18" s="35">
        <v>46</v>
      </c>
      <c r="Q18" s="35">
        <v>37</v>
      </c>
      <c r="R18" s="35">
        <v>0</v>
      </c>
      <c r="S18" s="35">
        <v>25</v>
      </c>
      <c r="T18" s="35">
        <v>26</v>
      </c>
      <c r="U18" s="35">
        <v>142</v>
      </c>
      <c r="V18" s="35">
        <v>56</v>
      </c>
      <c r="X18" s="14" t="s">
        <v>31</v>
      </c>
      <c r="Y18" s="25"/>
      <c r="Z18" s="25"/>
    </row>
    <row r="19" spans="2:26" x14ac:dyDescent="0.25">
      <c r="B19" s="14" t="s">
        <v>32</v>
      </c>
      <c r="C19" s="4">
        <v>227</v>
      </c>
      <c r="D19" s="4">
        <v>239</v>
      </c>
      <c r="E19" s="4">
        <v>252</v>
      </c>
      <c r="F19" s="4">
        <v>39</v>
      </c>
      <c r="G19" s="4">
        <v>176</v>
      </c>
      <c r="H19" s="4">
        <v>95</v>
      </c>
      <c r="I19" s="4">
        <v>41</v>
      </c>
      <c r="J19" s="4">
        <v>70</v>
      </c>
      <c r="K19" s="4">
        <v>96</v>
      </c>
      <c r="L19" s="4">
        <v>61</v>
      </c>
      <c r="M19" s="4">
        <v>37</v>
      </c>
      <c r="N19" s="4">
        <v>82</v>
      </c>
      <c r="O19" s="4">
        <v>61</v>
      </c>
      <c r="P19" s="4">
        <v>51</v>
      </c>
      <c r="Q19" s="4">
        <v>40</v>
      </c>
      <c r="R19" s="4">
        <v>27</v>
      </c>
      <c r="S19" s="4">
        <v>0</v>
      </c>
      <c r="T19" s="4">
        <v>160</v>
      </c>
      <c r="U19" s="4">
        <v>209</v>
      </c>
      <c r="V19" s="4">
        <v>64</v>
      </c>
      <c r="X19" s="14" t="s">
        <v>32</v>
      </c>
      <c r="Y19" s="25"/>
      <c r="Z19" s="25"/>
    </row>
    <row r="20" spans="2:26" x14ac:dyDescent="0.25">
      <c r="B20" s="14" t="s">
        <v>33</v>
      </c>
      <c r="C20" s="35">
        <v>166</v>
      </c>
      <c r="D20" s="35">
        <v>119</v>
      </c>
      <c r="E20" s="35">
        <v>136</v>
      </c>
      <c r="F20" s="35">
        <v>115</v>
      </c>
      <c r="G20" s="35">
        <v>62</v>
      </c>
      <c r="H20" s="35">
        <v>76</v>
      </c>
      <c r="I20" s="35">
        <v>204</v>
      </c>
      <c r="J20" s="35">
        <v>194</v>
      </c>
      <c r="K20" s="35">
        <v>65</v>
      </c>
      <c r="L20" s="35">
        <v>218</v>
      </c>
      <c r="M20" s="35">
        <v>148</v>
      </c>
      <c r="N20" s="35">
        <v>89</v>
      </c>
      <c r="O20" s="35">
        <v>110</v>
      </c>
      <c r="P20" s="35">
        <v>121</v>
      </c>
      <c r="Q20" s="35">
        <v>139</v>
      </c>
      <c r="R20" s="35">
        <v>26</v>
      </c>
      <c r="S20" s="35">
        <v>161</v>
      </c>
      <c r="T20" s="35">
        <v>0</v>
      </c>
      <c r="U20" s="35">
        <v>36</v>
      </c>
      <c r="V20" s="35">
        <v>158</v>
      </c>
      <c r="X20" s="14" t="s">
        <v>33</v>
      </c>
      <c r="Y20" s="25"/>
      <c r="Z20" s="25"/>
    </row>
    <row r="21" spans="2:26" x14ac:dyDescent="0.25">
      <c r="B21" s="14" t="s">
        <v>34</v>
      </c>
      <c r="C21" s="4">
        <v>141</v>
      </c>
      <c r="D21" s="4">
        <v>95</v>
      </c>
      <c r="E21" s="4">
        <v>110</v>
      </c>
      <c r="F21" s="4">
        <v>90</v>
      </c>
      <c r="G21" s="4">
        <v>40</v>
      </c>
      <c r="H21" s="4">
        <v>64</v>
      </c>
      <c r="I21" s="4">
        <v>192</v>
      </c>
      <c r="J21" s="4">
        <v>187</v>
      </c>
      <c r="K21" s="4">
        <v>56</v>
      </c>
      <c r="L21" s="4">
        <v>205</v>
      </c>
      <c r="M21" s="4">
        <v>136</v>
      </c>
      <c r="N21" s="4">
        <v>36</v>
      </c>
      <c r="O21" s="4">
        <v>98</v>
      </c>
      <c r="P21" s="4">
        <v>109</v>
      </c>
      <c r="Q21" s="4">
        <v>36</v>
      </c>
      <c r="R21" s="4">
        <v>147</v>
      </c>
      <c r="S21" s="4">
        <v>214</v>
      </c>
      <c r="T21" s="4">
        <v>34</v>
      </c>
      <c r="U21" s="4">
        <v>0</v>
      </c>
      <c r="V21" s="4">
        <v>151</v>
      </c>
      <c r="X21" s="14" t="s">
        <v>34</v>
      </c>
      <c r="Y21" s="25"/>
      <c r="Z21" s="25"/>
    </row>
    <row r="22" spans="2:26" ht="15.75" thickBot="1" x14ac:dyDescent="0.3">
      <c r="B22" s="14" t="s">
        <v>35</v>
      </c>
      <c r="C22" s="35">
        <v>287</v>
      </c>
      <c r="D22" s="35">
        <v>239</v>
      </c>
      <c r="E22" s="35">
        <v>252</v>
      </c>
      <c r="F22" s="35">
        <v>231</v>
      </c>
      <c r="G22" s="35">
        <v>182</v>
      </c>
      <c r="H22" s="35">
        <v>96</v>
      </c>
      <c r="I22" s="35">
        <v>94</v>
      </c>
      <c r="J22" s="35">
        <v>51</v>
      </c>
      <c r="K22" s="35">
        <v>98</v>
      </c>
      <c r="L22" s="35">
        <v>104</v>
      </c>
      <c r="M22" s="35">
        <v>39</v>
      </c>
      <c r="N22" s="35">
        <v>84</v>
      </c>
      <c r="O22" s="35">
        <v>60</v>
      </c>
      <c r="P22" s="35">
        <v>52</v>
      </c>
      <c r="Q22" s="35">
        <v>44</v>
      </c>
      <c r="R22" s="35">
        <v>53</v>
      </c>
      <c r="S22" s="35">
        <v>59</v>
      </c>
      <c r="T22" s="35">
        <v>163</v>
      </c>
      <c r="U22" s="35">
        <v>151</v>
      </c>
      <c r="V22" s="35">
        <v>0</v>
      </c>
      <c r="X22" s="14" t="s">
        <v>35</v>
      </c>
      <c r="Y22" s="26"/>
      <c r="Z22" s="26"/>
    </row>
  </sheetData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1"/>
  <sheetViews>
    <sheetView workbookViewId="0">
      <selection activeCell="E13" sqref="E13"/>
    </sheetView>
  </sheetViews>
  <sheetFormatPr defaultColWidth="8.85546875" defaultRowHeight="15" x14ac:dyDescent="0.25"/>
  <cols>
    <col min="1" max="1" width="6.7109375" style="1" customWidth="1"/>
    <col min="2" max="2" width="13.85546875" style="1" bestFit="1" customWidth="1"/>
    <col min="3" max="3" width="13.28515625" style="1" bestFit="1" customWidth="1"/>
    <col min="4" max="5" width="21.5703125" style="1" bestFit="1" customWidth="1"/>
    <col min="6" max="6" width="15.42578125" style="1" bestFit="1" customWidth="1"/>
    <col min="7" max="7" width="15.28515625" style="1" bestFit="1" customWidth="1"/>
    <col min="8" max="8" width="8.85546875" style="1"/>
    <col min="9" max="9" width="12.85546875" style="1" bestFit="1" customWidth="1"/>
    <col min="10" max="10" width="12.140625" style="1" bestFit="1" customWidth="1"/>
    <col min="11" max="13" width="8.85546875" style="1"/>
    <col min="14" max="14" width="10.28515625" style="1" bestFit="1" customWidth="1"/>
    <col min="15" max="16384" width="8.85546875" style="1"/>
  </cols>
  <sheetData>
    <row r="2" spans="2:14" x14ac:dyDescent="0.25">
      <c r="B2" s="2"/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</row>
    <row r="3" spans="2:14" x14ac:dyDescent="0.25">
      <c r="B3" s="15" t="s">
        <v>19</v>
      </c>
      <c r="C3" s="19">
        <v>23166</v>
      </c>
      <c r="D3" s="33">
        <v>-28.713699999999999</v>
      </c>
      <c r="E3" s="33">
        <v>-49.309139999999999</v>
      </c>
      <c r="F3" s="6">
        <f>C3*D3</f>
        <v>-665181.57420000003</v>
      </c>
      <c r="G3" s="6">
        <f>C3*E3</f>
        <v>-1142295.53724</v>
      </c>
    </row>
    <row r="4" spans="2:14" x14ac:dyDescent="0.25">
      <c r="B4" s="15" t="s">
        <v>24</v>
      </c>
      <c r="C4" s="20">
        <v>51840</v>
      </c>
      <c r="D4" s="34">
        <v>-28.93131</v>
      </c>
      <c r="E4" s="34">
        <v>-49.493670000000002</v>
      </c>
      <c r="F4" s="6">
        <f t="shared" ref="F4:F11" si="0">C4*D4</f>
        <v>-1499799.1103999999</v>
      </c>
      <c r="G4" s="6">
        <f t="shared" ref="G4:G11" si="1">C4*E4</f>
        <v>-2565751.8528</v>
      </c>
      <c r="N4" s="32"/>
    </row>
    <row r="5" spans="2:14" x14ac:dyDescent="0.25">
      <c r="B5" s="15" t="s">
        <v>10</v>
      </c>
      <c r="C5" s="19">
        <v>26514</v>
      </c>
      <c r="D5" s="33">
        <v>-29.09787</v>
      </c>
      <c r="E5" s="33">
        <v>-49.640099999999997</v>
      </c>
      <c r="F5" s="6">
        <f t="shared" si="0"/>
        <v>-771500.92518000002</v>
      </c>
      <c r="G5" s="6">
        <f t="shared" si="1"/>
        <v>-1316157.6113999998</v>
      </c>
    </row>
    <row r="6" spans="2:14" x14ac:dyDescent="0.25">
      <c r="B6" s="15" t="s">
        <v>20</v>
      </c>
      <c r="C6" s="20">
        <v>73602</v>
      </c>
      <c r="D6" s="34">
        <v>-28.67277</v>
      </c>
      <c r="E6" s="34">
        <v>-49.373370000000001</v>
      </c>
      <c r="F6" s="6">
        <f t="shared" si="0"/>
        <v>-2110373.2175400001</v>
      </c>
      <c r="G6" s="6">
        <f t="shared" si="1"/>
        <v>-3633978.77874</v>
      </c>
    </row>
    <row r="7" spans="2:14" x14ac:dyDescent="0.25">
      <c r="B7" s="15" t="s">
        <v>21</v>
      </c>
      <c r="C7" s="19">
        <v>66798</v>
      </c>
      <c r="D7" s="33">
        <v>-28.471810000000001</v>
      </c>
      <c r="E7" s="33">
        <v>-49.014850000000003</v>
      </c>
      <c r="F7" s="6">
        <f t="shared" si="0"/>
        <v>-1901859.96438</v>
      </c>
      <c r="G7" s="6">
        <f t="shared" si="1"/>
        <v>-3274093.9503000001</v>
      </c>
    </row>
    <row r="8" spans="2:14" x14ac:dyDescent="0.25">
      <c r="B8" s="15" t="s">
        <v>22</v>
      </c>
      <c r="C8" s="20">
        <v>101952</v>
      </c>
      <c r="D8" s="34">
        <v>-27.614070000000002</v>
      </c>
      <c r="E8" s="34">
        <v>-48.637079999999997</v>
      </c>
      <c r="F8" s="6">
        <f t="shared" si="0"/>
        <v>-2815309.6646400001</v>
      </c>
      <c r="G8" s="6">
        <f t="shared" si="1"/>
        <v>-4958647.5801599994</v>
      </c>
    </row>
    <row r="9" spans="2:14" x14ac:dyDescent="0.25">
      <c r="B9" s="15" t="s">
        <v>14</v>
      </c>
      <c r="C9" s="19">
        <v>96336</v>
      </c>
      <c r="D9" s="33">
        <v>-26.304400000000001</v>
      </c>
      <c r="E9" s="33">
        <v>-48.84637</v>
      </c>
      <c r="F9" s="6">
        <f t="shared" si="0"/>
        <v>-2534060.6784000001</v>
      </c>
      <c r="G9" s="6">
        <f t="shared" si="1"/>
        <v>-4705663.90032</v>
      </c>
    </row>
    <row r="10" spans="2:14" x14ac:dyDescent="0.25">
      <c r="B10" s="15" t="s">
        <v>15</v>
      </c>
      <c r="C10" s="20">
        <v>41526</v>
      </c>
      <c r="D10" s="34">
        <v>-26.91657</v>
      </c>
      <c r="E10" s="34">
        <v>-49.071730000000002</v>
      </c>
      <c r="F10" s="6">
        <f t="shared" si="0"/>
        <v>-1117737.4858200001</v>
      </c>
      <c r="G10" s="6">
        <f t="shared" si="1"/>
        <v>-2037752.65998</v>
      </c>
    </row>
    <row r="11" spans="2:14" x14ac:dyDescent="0.25">
      <c r="B11" s="15" t="s">
        <v>23</v>
      </c>
      <c r="C11" s="19">
        <v>58212</v>
      </c>
      <c r="D11" s="33">
        <v>-27.64602</v>
      </c>
      <c r="E11" s="33">
        <v>-48.670140000000004</v>
      </c>
      <c r="F11" s="6">
        <f t="shared" si="0"/>
        <v>-1609330.1162399999</v>
      </c>
      <c r="G11" s="6">
        <f t="shared" si="1"/>
        <v>-2833186.1896800003</v>
      </c>
    </row>
    <row r="12" spans="2:14" x14ac:dyDescent="0.25">
      <c r="B12" s="12"/>
      <c r="C12" s="8">
        <f>SUM(C3:C11)</f>
        <v>539946</v>
      </c>
      <c r="D12" s="21"/>
      <c r="E12" s="8"/>
      <c r="F12" s="4">
        <f>SUM(F3:F11)</f>
        <v>-15025152.736800002</v>
      </c>
      <c r="G12" s="4">
        <f>SUM(G3:G11)</f>
        <v>-26467528.060619999</v>
      </c>
    </row>
    <row r="13" spans="2:14" x14ac:dyDescent="0.25">
      <c r="B13" s="3"/>
      <c r="C13" s="3"/>
      <c r="D13" s="3"/>
      <c r="E13" s="3"/>
    </row>
    <row r="14" spans="2:14" x14ac:dyDescent="0.25">
      <c r="B14" s="3"/>
      <c r="C14" s="3"/>
      <c r="D14" s="3"/>
      <c r="E14" s="3"/>
    </row>
    <row r="15" spans="2:14" ht="21.6" customHeight="1" x14ac:dyDescent="0.25">
      <c r="C15" s="9" t="s">
        <v>5</v>
      </c>
      <c r="D15" s="10">
        <f>F12/SUM(C3:C11)</f>
        <v>-27.827139633963402</v>
      </c>
    </row>
    <row r="16" spans="2:14" ht="30.6" customHeight="1" x14ac:dyDescent="0.25">
      <c r="C16" s="9" t="s">
        <v>6</v>
      </c>
      <c r="D16" s="10">
        <f>G12/SUM(C3:C11)</f>
        <v>-49.018842737273722</v>
      </c>
    </row>
    <row r="17" spans="2:5" ht="22.15" customHeight="1" x14ac:dyDescent="0.25">
      <c r="E17" s="11"/>
    </row>
    <row r="18" spans="2:5" ht="22.5" customHeight="1" thickBot="1" x14ac:dyDescent="0.3"/>
    <row r="19" spans="2:5" x14ac:dyDescent="0.25">
      <c r="B19" s="121" t="s">
        <v>7</v>
      </c>
      <c r="C19" s="122"/>
      <c r="D19" s="121" t="s">
        <v>40</v>
      </c>
      <c r="E19" s="122"/>
    </row>
    <row r="20" spans="2:5" x14ac:dyDescent="0.25">
      <c r="B20" s="123"/>
      <c r="C20" s="124"/>
      <c r="D20" s="123"/>
      <c r="E20" s="124"/>
    </row>
    <row r="21" spans="2:5" ht="15.75" thickBot="1" x14ac:dyDescent="0.3">
      <c r="B21" s="125"/>
      <c r="C21" s="126"/>
      <c r="D21" s="125"/>
      <c r="E21" s="126"/>
    </row>
  </sheetData>
  <mergeCells count="2">
    <mergeCell ref="B19:C21"/>
    <mergeCell ref="D19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G14"/>
  <sheetViews>
    <sheetView zoomScale="120" zoomScaleNormal="120" workbookViewId="0">
      <selection activeCell="D9" sqref="D9"/>
    </sheetView>
  </sheetViews>
  <sheetFormatPr defaultColWidth="8.85546875" defaultRowHeight="15" x14ac:dyDescent="0.25"/>
  <cols>
    <col min="1" max="1" width="6.7109375" style="1" customWidth="1"/>
    <col min="2" max="2" width="13.85546875" style="1" bestFit="1" customWidth="1"/>
    <col min="3" max="3" width="13.28515625" style="1" bestFit="1" customWidth="1"/>
    <col min="4" max="5" width="21.5703125" style="1" bestFit="1" customWidth="1"/>
    <col min="6" max="6" width="15.42578125" style="1" bestFit="1" customWidth="1"/>
    <col min="7" max="7" width="15.28515625" style="1" bestFit="1" customWidth="1"/>
    <col min="8" max="16384" width="8.85546875" style="1"/>
  </cols>
  <sheetData>
    <row r="2" spans="2:7" x14ac:dyDescent="0.25">
      <c r="B2" s="2"/>
      <c r="C2" s="5" t="s">
        <v>100</v>
      </c>
      <c r="D2" s="5" t="s">
        <v>1</v>
      </c>
      <c r="E2" s="5" t="s">
        <v>2</v>
      </c>
      <c r="F2" s="5" t="s">
        <v>3</v>
      </c>
      <c r="G2" s="5" t="s">
        <v>4</v>
      </c>
    </row>
    <row r="3" spans="2:7" x14ac:dyDescent="0.25">
      <c r="B3" s="15" t="s">
        <v>51</v>
      </c>
      <c r="C3" s="19">
        <v>129.25130141714726</v>
      </c>
      <c r="D3" s="44">
        <v>-48.17</v>
      </c>
      <c r="E3" s="44">
        <v>-10.19</v>
      </c>
      <c r="F3" s="6">
        <f>C3*D3</f>
        <v>-6226.0351892639837</v>
      </c>
      <c r="G3" s="6">
        <f>C3*E3</f>
        <v>-1317.0707614407306</v>
      </c>
    </row>
    <row r="4" spans="2:7" x14ac:dyDescent="0.25">
      <c r="B4" s="15" t="s">
        <v>52</v>
      </c>
      <c r="C4" s="20">
        <v>138.36342252525648</v>
      </c>
      <c r="D4" s="45">
        <v>-64.540000000000006</v>
      </c>
      <c r="E4" s="45">
        <v>-4.13</v>
      </c>
      <c r="F4" s="6">
        <f t="shared" ref="F4:F5" si="0">C4*D4</f>
        <v>-8929.9752897800536</v>
      </c>
      <c r="G4" s="6">
        <f t="shared" ref="G4:G5" si="1">C4*E4</f>
        <v>-571.44093502930923</v>
      </c>
    </row>
    <row r="5" spans="2:7" x14ac:dyDescent="0.25">
      <c r="B5" s="15" t="s">
        <v>49</v>
      </c>
      <c r="C5" s="19">
        <v>208.76754399432178</v>
      </c>
      <c r="D5" s="44">
        <v>-49.207500000000003</v>
      </c>
      <c r="E5" s="44">
        <v>-21.829722</v>
      </c>
      <c r="F5" s="6">
        <f t="shared" si="0"/>
        <v>-10272.928921100591</v>
      </c>
      <c r="G5" s="6">
        <f t="shared" si="1"/>
        <v>-4557.337448018814</v>
      </c>
    </row>
    <row r="6" spans="2:7" x14ac:dyDescent="0.25">
      <c r="B6" s="3"/>
      <c r="C6" s="3"/>
      <c r="D6" s="3"/>
      <c r="E6" s="3"/>
      <c r="F6" s="9" t="s">
        <v>5</v>
      </c>
      <c r="G6" s="10">
        <f>SUM(F3:F5)/SUM(C3:C5)</f>
        <v>-53.379273561714875</v>
      </c>
    </row>
    <row r="7" spans="2:7" x14ac:dyDescent="0.25">
      <c r="B7" s="3"/>
      <c r="C7" s="3"/>
      <c r="D7" s="3"/>
      <c r="E7" s="3"/>
      <c r="F7" s="9" t="s">
        <v>6</v>
      </c>
      <c r="G7" s="10">
        <f>SUM(G3:G5)/SUM(C3:C5)</f>
        <v>-13.530833488842221</v>
      </c>
    </row>
    <row r="8" spans="2:7" ht="21.6" customHeight="1" x14ac:dyDescent="0.25"/>
    <row r="9" spans="2:7" ht="30.6" customHeight="1" x14ac:dyDescent="0.25"/>
    <row r="10" spans="2:7" ht="22.15" customHeight="1" x14ac:dyDescent="0.25">
      <c r="E10" s="11"/>
    </row>
    <row r="11" spans="2:7" ht="22.5" customHeight="1" thickBot="1" x14ac:dyDescent="0.3"/>
    <row r="12" spans="2:7" x14ac:dyDescent="0.25">
      <c r="B12" s="121" t="s">
        <v>7</v>
      </c>
      <c r="C12" s="122"/>
      <c r="D12" s="121" t="s">
        <v>66</v>
      </c>
      <c r="E12" s="122"/>
    </row>
    <row r="13" spans="2:7" x14ac:dyDescent="0.25">
      <c r="B13" s="123"/>
      <c r="C13" s="124"/>
      <c r="D13" s="123"/>
      <c r="E13" s="124"/>
    </row>
    <row r="14" spans="2:7" ht="15.75" thickBot="1" x14ac:dyDescent="0.3">
      <c r="B14" s="125"/>
      <c r="C14" s="126"/>
      <c r="D14" s="125"/>
      <c r="E14" s="126"/>
    </row>
  </sheetData>
  <mergeCells count="2">
    <mergeCell ref="B12:C14"/>
    <mergeCell ref="D12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42"/>
  <sheetViews>
    <sheetView topLeftCell="A34" workbookViewId="0">
      <selection activeCell="A9" sqref="A9"/>
    </sheetView>
  </sheetViews>
  <sheetFormatPr defaultColWidth="8.85546875" defaultRowHeight="15" x14ac:dyDescent="0.25"/>
  <cols>
    <col min="1" max="1" width="33.85546875" style="1" bestFit="1" customWidth="1"/>
    <col min="2" max="2" width="10.28515625" style="1" bestFit="1" customWidth="1"/>
    <col min="3" max="3" width="7.140625" style="1" bestFit="1" customWidth="1"/>
    <col min="4" max="4" width="7" style="1" bestFit="1" customWidth="1"/>
    <col min="5" max="5" width="5.28515625" style="1" bestFit="1" customWidth="1"/>
    <col min="6" max="6" width="7" style="1" bestFit="1" customWidth="1"/>
    <col min="7" max="7" width="5.28515625" style="1" bestFit="1" customWidth="1"/>
    <col min="8" max="8" width="7" style="1" bestFit="1" customWidth="1"/>
    <col min="9" max="9" width="5.28515625" style="1" bestFit="1" customWidth="1"/>
    <col min="10" max="10" width="6" style="1" bestFit="1" customWidth="1"/>
    <col min="11" max="11" width="5.5703125" style="1" customWidth="1"/>
    <col min="12" max="12" width="7.42578125" style="1" customWidth="1"/>
    <col min="13" max="13" width="5.28515625" style="1" bestFit="1" customWidth="1"/>
    <col min="14" max="14" width="7" style="1" bestFit="1" customWidth="1"/>
    <col min="15" max="15" width="5.28515625" style="1" bestFit="1" customWidth="1"/>
    <col min="16" max="16" width="7" style="1" bestFit="1" customWidth="1"/>
    <col min="17" max="17" width="5.28515625" style="1" bestFit="1" customWidth="1"/>
    <col min="18" max="18" width="7" style="1" bestFit="1" customWidth="1"/>
    <col min="19" max="19" width="5.28515625" style="1" bestFit="1" customWidth="1"/>
    <col min="20" max="20" width="7" style="1" bestFit="1" customWidth="1"/>
    <col min="21" max="21" width="33.85546875" style="1" bestFit="1" customWidth="1"/>
    <col min="22" max="22" width="7" style="1" bestFit="1" customWidth="1"/>
    <col min="23" max="23" width="2" style="1" bestFit="1" customWidth="1"/>
    <col min="24" max="24" width="7" style="1" bestFit="1" customWidth="1"/>
    <col min="25" max="25" width="2" style="1" bestFit="1" customWidth="1"/>
    <col min="26" max="26" width="7" style="1" bestFit="1" customWidth="1"/>
    <col min="27" max="27" width="2" style="1" bestFit="1" customWidth="1"/>
    <col min="28" max="28" width="7" style="1" bestFit="1" customWidth="1"/>
    <col min="29" max="29" width="2" style="1" bestFit="1" customWidth="1"/>
    <col min="30" max="30" width="7" style="1" bestFit="1" customWidth="1"/>
    <col min="31" max="31" width="2" style="1" bestFit="1" customWidth="1"/>
    <col min="32" max="16384" width="8.85546875" style="1"/>
  </cols>
  <sheetData>
    <row r="1" spans="1:31" ht="18.75" x14ac:dyDescent="0.3">
      <c r="A1" s="127" t="s">
        <v>191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</row>
    <row r="2" spans="1:31" x14ac:dyDescent="0.25">
      <c r="B2" s="96" t="s">
        <v>190</v>
      </c>
      <c r="C2" s="136" t="s">
        <v>100</v>
      </c>
      <c r="D2" s="136"/>
      <c r="E2" s="136" t="s">
        <v>188</v>
      </c>
      <c r="F2" s="136"/>
      <c r="G2" s="136"/>
      <c r="H2" s="136" t="s">
        <v>189</v>
      </c>
      <c r="I2" s="136"/>
      <c r="J2" s="136"/>
      <c r="K2" s="136" t="s">
        <v>3</v>
      </c>
      <c r="L2" s="136"/>
      <c r="M2" s="136" t="s">
        <v>4</v>
      </c>
      <c r="N2" s="136"/>
    </row>
    <row r="3" spans="1:31" x14ac:dyDescent="0.25">
      <c r="B3" s="15" t="s">
        <v>51</v>
      </c>
      <c r="C3" s="141">
        <v>129.25130141714726</v>
      </c>
      <c r="D3" s="141"/>
      <c r="E3" s="139">
        <v>-48.17</v>
      </c>
      <c r="F3" s="139"/>
      <c r="G3" s="139"/>
      <c r="H3" s="139">
        <v>-10.19</v>
      </c>
      <c r="I3" s="139"/>
      <c r="J3" s="139"/>
      <c r="K3" s="137">
        <f>C3*E3</f>
        <v>-6226.0351892639837</v>
      </c>
      <c r="L3" s="137"/>
      <c r="M3" s="137">
        <f>C3*H3</f>
        <v>-1317.0707614407306</v>
      </c>
      <c r="N3" s="137"/>
    </row>
    <row r="4" spans="1:31" x14ac:dyDescent="0.25">
      <c r="B4" s="15" t="s">
        <v>52</v>
      </c>
      <c r="C4" s="142">
        <v>138.36342252525648</v>
      </c>
      <c r="D4" s="142"/>
      <c r="E4" s="140">
        <v>-64.540000000000006</v>
      </c>
      <c r="F4" s="140"/>
      <c r="G4" s="140"/>
      <c r="H4" s="140">
        <v>-4.13</v>
      </c>
      <c r="I4" s="140"/>
      <c r="J4" s="140"/>
      <c r="K4" s="138">
        <f t="shared" ref="K4:K5" si="0">C4*E4</f>
        <v>-8929.9752897800536</v>
      </c>
      <c r="L4" s="138"/>
      <c r="M4" s="138">
        <f t="shared" ref="M4:M5" si="1">C4*H4</f>
        <v>-571.44093502930923</v>
      </c>
      <c r="N4" s="138"/>
    </row>
    <row r="5" spans="1:31" x14ac:dyDescent="0.25">
      <c r="B5" s="15" t="s">
        <v>49</v>
      </c>
      <c r="C5" s="141">
        <v>208.76754399432178</v>
      </c>
      <c r="D5" s="141"/>
      <c r="E5" s="139">
        <v>-49.207500000000003</v>
      </c>
      <c r="F5" s="139"/>
      <c r="G5" s="139"/>
      <c r="H5" s="139">
        <v>-21.829722</v>
      </c>
      <c r="I5" s="139"/>
      <c r="J5" s="139"/>
      <c r="K5" s="137">
        <f t="shared" si="0"/>
        <v>-10272.928921100591</v>
      </c>
      <c r="L5" s="137"/>
      <c r="M5" s="137">
        <f t="shared" si="1"/>
        <v>-4557.337448018814</v>
      </c>
      <c r="N5" s="137"/>
    </row>
    <row r="6" spans="1:31" x14ac:dyDescent="0.25">
      <c r="K6" s="129" t="s">
        <v>5</v>
      </c>
      <c r="L6" s="129"/>
      <c r="M6" s="128">
        <f>SUM(K3:L5)/SUM(C3:D5)</f>
        <v>-53.379273561714875</v>
      </c>
      <c r="N6" s="128"/>
    </row>
    <row r="7" spans="1:31" x14ac:dyDescent="0.25">
      <c r="K7" s="129" t="s">
        <v>6</v>
      </c>
      <c r="L7" s="129"/>
      <c r="M7" s="128">
        <f>SUM(M3:N5)/SUM(C3:D5)</f>
        <v>-13.530833488842221</v>
      </c>
      <c r="N7" s="128"/>
    </row>
    <row r="8" spans="1:31" ht="15.75" thickBot="1" x14ac:dyDescent="0.3"/>
    <row r="9" spans="1:31" x14ac:dyDescent="0.25">
      <c r="B9" s="121" t="s">
        <v>7</v>
      </c>
      <c r="C9" s="122"/>
      <c r="D9" s="130" t="s">
        <v>66</v>
      </c>
      <c r="E9" s="131"/>
    </row>
    <row r="10" spans="1:31" x14ac:dyDescent="0.25">
      <c r="B10" s="123"/>
      <c r="C10" s="124"/>
      <c r="D10" s="132"/>
      <c r="E10" s="133"/>
    </row>
    <row r="11" spans="1:31" ht="15.75" thickBot="1" x14ac:dyDescent="0.3">
      <c r="B11" s="125"/>
      <c r="C11" s="126"/>
      <c r="D11" s="134"/>
      <c r="E11" s="135"/>
    </row>
    <row r="13" spans="1:31" ht="18.75" x14ac:dyDescent="0.3">
      <c r="A13" s="127" t="s">
        <v>192</v>
      </c>
      <c r="B13" s="127"/>
      <c r="C13" s="127"/>
      <c r="D13" s="127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</row>
    <row r="14" spans="1:31" ht="15" customHeight="1" x14ac:dyDescent="0.25">
      <c r="A14" s="145" t="s">
        <v>53</v>
      </c>
      <c r="B14" s="147" t="s">
        <v>43</v>
      </c>
      <c r="C14" s="148"/>
      <c r="D14" s="147" t="s">
        <v>58</v>
      </c>
      <c r="E14" s="148"/>
      <c r="F14" s="147" t="s">
        <v>41</v>
      </c>
      <c r="G14" s="148"/>
      <c r="H14" s="144" t="s">
        <v>45</v>
      </c>
      <c r="I14" s="144"/>
      <c r="J14" s="144" t="s">
        <v>46</v>
      </c>
      <c r="K14" s="144"/>
      <c r="L14" s="144" t="s">
        <v>47</v>
      </c>
      <c r="M14" s="144"/>
      <c r="N14" s="144" t="s">
        <v>48</v>
      </c>
      <c r="O14" s="144"/>
      <c r="P14" s="144" t="s">
        <v>49</v>
      </c>
      <c r="Q14" s="144"/>
      <c r="R14" s="144" t="s">
        <v>50</v>
      </c>
      <c r="S14" s="144"/>
      <c r="U14" s="143" t="s">
        <v>53</v>
      </c>
      <c r="V14" s="143" t="s">
        <v>67</v>
      </c>
      <c r="W14" s="143"/>
      <c r="X14" s="143"/>
      <c r="Y14" s="143"/>
      <c r="Z14" s="143"/>
      <c r="AA14" s="143"/>
      <c r="AB14" s="143"/>
      <c r="AC14" s="143"/>
      <c r="AD14" s="143"/>
      <c r="AE14" s="143"/>
    </row>
    <row r="15" spans="1:31" x14ac:dyDescent="0.25">
      <c r="A15" s="146"/>
      <c r="B15" s="46" t="s">
        <v>64</v>
      </c>
      <c r="C15" s="46" t="s">
        <v>55</v>
      </c>
      <c r="D15" s="46" t="s">
        <v>64</v>
      </c>
      <c r="E15" s="46" t="s">
        <v>55</v>
      </c>
      <c r="F15" s="46" t="s">
        <v>64</v>
      </c>
      <c r="G15" s="46" t="s">
        <v>55</v>
      </c>
      <c r="H15" s="46" t="s">
        <v>64</v>
      </c>
      <c r="I15" s="46" t="s">
        <v>55</v>
      </c>
      <c r="J15" s="46" t="s">
        <v>64</v>
      </c>
      <c r="K15" s="46" t="s">
        <v>55</v>
      </c>
      <c r="L15" s="46" t="s">
        <v>64</v>
      </c>
      <c r="M15" s="46" t="s">
        <v>55</v>
      </c>
      <c r="N15" s="46" t="s">
        <v>64</v>
      </c>
      <c r="O15" s="46" t="s">
        <v>55</v>
      </c>
      <c r="P15" s="46" t="s">
        <v>64</v>
      </c>
      <c r="Q15" s="46" t="s">
        <v>55</v>
      </c>
      <c r="R15" s="46" t="s">
        <v>64</v>
      </c>
      <c r="S15" s="46" t="s">
        <v>55</v>
      </c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</row>
    <row r="16" spans="1:31" s="50" customFormat="1" x14ac:dyDescent="0.25">
      <c r="A16" s="13" t="s">
        <v>187</v>
      </c>
      <c r="B16" s="10">
        <v>1882</v>
      </c>
      <c r="C16" s="50">
        <v>3</v>
      </c>
      <c r="D16" s="10">
        <v>832</v>
      </c>
      <c r="E16" s="50">
        <v>3</v>
      </c>
      <c r="F16" s="10">
        <v>2118</v>
      </c>
      <c r="G16" s="50">
        <v>2</v>
      </c>
      <c r="H16" s="10">
        <v>2870</v>
      </c>
      <c r="I16" s="50">
        <v>1</v>
      </c>
      <c r="J16" s="10">
        <v>1036</v>
      </c>
      <c r="K16" s="10">
        <v>4</v>
      </c>
      <c r="L16" s="10">
        <v>2153</v>
      </c>
      <c r="M16" s="10">
        <v>2</v>
      </c>
      <c r="N16" s="10">
        <v>1777</v>
      </c>
      <c r="O16" s="10">
        <v>3</v>
      </c>
      <c r="P16" s="10">
        <v>1700</v>
      </c>
      <c r="Q16" s="10">
        <v>3</v>
      </c>
      <c r="R16" s="10">
        <v>2418</v>
      </c>
      <c r="S16" s="10">
        <v>2</v>
      </c>
      <c r="U16" s="13" t="s">
        <v>187</v>
      </c>
      <c r="V16" s="10" t="s">
        <v>71</v>
      </c>
      <c r="W16" s="10">
        <v>5</v>
      </c>
      <c r="X16" s="10" t="s">
        <v>69</v>
      </c>
      <c r="Y16" s="10">
        <v>4</v>
      </c>
      <c r="Z16" s="10" t="s">
        <v>70</v>
      </c>
      <c r="AA16" s="10">
        <v>3</v>
      </c>
      <c r="AB16" s="10" t="s">
        <v>72</v>
      </c>
      <c r="AC16" s="10">
        <v>2</v>
      </c>
      <c r="AD16" s="10" t="s">
        <v>73</v>
      </c>
      <c r="AE16" s="10">
        <v>1</v>
      </c>
    </row>
    <row r="17" spans="1:31" x14ac:dyDescent="0.25">
      <c r="A17" s="47" t="s">
        <v>59</v>
      </c>
      <c r="B17" s="47">
        <v>82.899999999999991</v>
      </c>
      <c r="C17" s="47">
        <v>5</v>
      </c>
      <c r="D17" s="47">
        <v>105.52999999999999</v>
      </c>
      <c r="E17" s="47">
        <v>5</v>
      </c>
      <c r="F17" s="47">
        <v>122.54</v>
      </c>
      <c r="G17" s="47">
        <v>4</v>
      </c>
      <c r="H17" s="47">
        <v>106.11</v>
      </c>
      <c r="I17" s="47">
        <v>4</v>
      </c>
      <c r="J17" s="47">
        <v>90.65</v>
      </c>
      <c r="K17" s="47">
        <v>5</v>
      </c>
      <c r="L17" s="47">
        <v>104.71</v>
      </c>
      <c r="M17" s="47">
        <v>4</v>
      </c>
      <c r="N17" s="47">
        <v>131.86000000000001</v>
      </c>
      <c r="O17" s="47">
        <v>1</v>
      </c>
      <c r="P17" s="47">
        <v>119.85999999999999</v>
      </c>
      <c r="Q17" s="47">
        <v>3</v>
      </c>
      <c r="R17" s="47">
        <v>87.69</v>
      </c>
      <c r="S17" s="47">
        <v>5</v>
      </c>
      <c r="U17" s="47" t="s">
        <v>59</v>
      </c>
      <c r="V17" s="47" t="s">
        <v>68</v>
      </c>
      <c r="W17" s="47">
        <v>5</v>
      </c>
      <c r="X17" s="47" t="s">
        <v>75</v>
      </c>
      <c r="Y17" s="47">
        <v>4</v>
      </c>
      <c r="Z17" s="47" t="s">
        <v>74</v>
      </c>
      <c r="AA17" s="47">
        <v>3</v>
      </c>
      <c r="AB17" s="47" t="s">
        <v>76</v>
      </c>
      <c r="AC17" s="47">
        <v>2</v>
      </c>
      <c r="AD17" s="47" t="s">
        <v>77</v>
      </c>
      <c r="AE17" s="47">
        <v>1</v>
      </c>
    </row>
    <row r="18" spans="1:31" x14ac:dyDescent="0.25">
      <c r="A18" s="10" t="s">
        <v>60</v>
      </c>
      <c r="B18" s="10">
        <v>17.66</v>
      </c>
      <c r="C18" s="10">
        <v>4</v>
      </c>
      <c r="D18" s="10">
        <v>24.42</v>
      </c>
      <c r="E18" s="10">
        <v>4</v>
      </c>
      <c r="F18" s="10">
        <v>26.37</v>
      </c>
      <c r="G18" s="10">
        <v>2</v>
      </c>
      <c r="H18" s="10">
        <v>23.86</v>
      </c>
      <c r="I18" s="10">
        <v>3</v>
      </c>
      <c r="J18" s="10">
        <v>21.91</v>
      </c>
      <c r="K18" s="10">
        <v>3</v>
      </c>
      <c r="L18" s="10">
        <v>22.8</v>
      </c>
      <c r="M18" s="10">
        <v>3</v>
      </c>
      <c r="N18" s="10">
        <v>30.4</v>
      </c>
      <c r="O18" s="10">
        <v>1</v>
      </c>
      <c r="P18" s="10">
        <v>27.24</v>
      </c>
      <c r="Q18" s="10">
        <v>2</v>
      </c>
      <c r="R18" s="10">
        <v>19.38</v>
      </c>
      <c r="S18" s="10">
        <v>4</v>
      </c>
      <c r="U18" s="10" t="s">
        <v>60</v>
      </c>
      <c r="V18" s="10" t="s">
        <v>78</v>
      </c>
      <c r="W18" s="10">
        <v>5</v>
      </c>
      <c r="X18" s="10" t="s">
        <v>79</v>
      </c>
      <c r="Y18" s="10">
        <v>4</v>
      </c>
      <c r="Z18" s="10" t="s">
        <v>80</v>
      </c>
      <c r="AA18" s="10">
        <v>3</v>
      </c>
      <c r="AB18" s="10" t="s">
        <v>81</v>
      </c>
      <c r="AC18" s="10">
        <v>2</v>
      </c>
      <c r="AD18" s="10" t="s">
        <v>82</v>
      </c>
      <c r="AE18" s="10">
        <v>1</v>
      </c>
    </row>
    <row r="19" spans="1:31" x14ac:dyDescent="0.25">
      <c r="A19" s="47" t="s">
        <v>61</v>
      </c>
      <c r="B19" s="47">
        <v>86.16</v>
      </c>
      <c r="C19" s="47">
        <v>5</v>
      </c>
      <c r="D19" s="47">
        <v>105.44999999999999</v>
      </c>
      <c r="E19" s="47">
        <v>5</v>
      </c>
      <c r="F19" s="47">
        <v>128.04</v>
      </c>
      <c r="G19" s="47">
        <v>2</v>
      </c>
      <c r="H19" s="47">
        <v>104.69</v>
      </c>
      <c r="I19" s="47">
        <v>4</v>
      </c>
      <c r="J19" s="47">
        <v>90.1</v>
      </c>
      <c r="K19" s="47">
        <v>5</v>
      </c>
      <c r="L19" s="47">
        <v>108.76</v>
      </c>
      <c r="M19" s="47">
        <v>4</v>
      </c>
      <c r="N19" s="47">
        <v>135.77000000000001</v>
      </c>
      <c r="O19" s="47">
        <v>1</v>
      </c>
      <c r="P19" s="47">
        <v>122.57</v>
      </c>
      <c r="Q19" s="47">
        <v>2</v>
      </c>
      <c r="R19" s="47">
        <v>86.649999999999991</v>
      </c>
      <c r="S19" s="47">
        <v>5</v>
      </c>
      <c r="U19" s="47" t="s">
        <v>61</v>
      </c>
      <c r="V19" s="47" t="s">
        <v>68</v>
      </c>
      <c r="W19" s="47">
        <v>5</v>
      </c>
      <c r="X19" s="47" t="s">
        <v>75</v>
      </c>
      <c r="Y19" s="47">
        <v>4</v>
      </c>
      <c r="Z19" s="47" t="s">
        <v>74</v>
      </c>
      <c r="AA19" s="47">
        <v>3</v>
      </c>
      <c r="AB19" s="47" t="s">
        <v>76</v>
      </c>
      <c r="AC19" s="47">
        <v>2</v>
      </c>
      <c r="AD19" s="47" t="s">
        <v>77</v>
      </c>
      <c r="AE19" s="47">
        <v>1</v>
      </c>
    </row>
    <row r="20" spans="1:31" x14ac:dyDescent="0.25">
      <c r="A20" s="10" t="s">
        <v>62</v>
      </c>
      <c r="B20" s="10">
        <v>16330</v>
      </c>
      <c r="C20" s="10">
        <v>3</v>
      </c>
      <c r="D20" s="10">
        <v>14250</v>
      </c>
      <c r="E20" s="10">
        <v>3</v>
      </c>
      <c r="F20" s="10">
        <v>18565</v>
      </c>
      <c r="G20" s="10">
        <v>3</v>
      </c>
      <c r="H20" s="10">
        <v>21770</v>
      </c>
      <c r="I20" s="10">
        <v>2</v>
      </c>
      <c r="J20" s="10">
        <v>16150</v>
      </c>
      <c r="K20" s="10">
        <v>3</v>
      </c>
      <c r="L20" s="10">
        <v>17955</v>
      </c>
      <c r="M20" s="10">
        <v>3</v>
      </c>
      <c r="N20" s="10">
        <v>11260</v>
      </c>
      <c r="O20" s="10">
        <v>4</v>
      </c>
      <c r="P20" s="10">
        <v>16495</v>
      </c>
      <c r="Q20" s="10">
        <v>3</v>
      </c>
      <c r="R20" s="10">
        <v>21835</v>
      </c>
      <c r="S20" s="10">
        <v>2</v>
      </c>
      <c r="U20" s="10" t="s">
        <v>62</v>
      </c>
      <c r="V20" s="10" t="s">
        <v>83</v>
      </c>
      <c r="W20" s="10">
        <v>5</v>
      </c>
      <c r="X20" s="10" t="s">
        <v>84</v>
      </c>
      <c r="Y20" s="10">
        <v>4</v>
      </c>
      <c r="Z20" s="10" t="s">
        <v>85</v>
      </c>
      <c r="AA20" s="10">
        <v>3</v>
      </c>
      <c r="AB20" s="10" t="s">
        <v>86</v>
      </c>
      <c r="AC20" s="10">
        <v>2</v>
      </c>
      <c r="AD20" s="10" t="s">
        <v>87</v>
      </c>
      <c r="AE20" s="10">
        <v>1</v>
      </c>
    </row>
    <row r="21" spans="1:31" x14ac:dyDescent="0.25">
      <c r="A21" s="47" t="s">
        <v>65</v>
      </c>
      <c r="B21" s="47">
        <v>19</v>
      </c>
      <c r="C21" s="47">
        <v>3</v>
      </c>
      <c r="D21" s="47">
        <v>13</v>
      </c>
      <c r="E21" s="47">
        <v>3</v>
      </c>
      <c r="F21" s="47">
        <v>19</v>
      </c>
      <c r="G21" s="47">
        <v>3</v>
      </c>
      <c r="H21" s="47">
        <v>26</v>
      </c>
      <c r="I21" s="47">
        <v>1</v>
      </c>
      <c r="J21" s="47">
        <v>17</v>
      </c>
      <c r="K21" s="47">
        <v>4</v>
      </c>
      <c r="L21" s="47">
        <v>18</v>
      </c>
      <c r="M21" s="47">
        <v>4</v>
      </c>
      <c r="N21" s="47">
        <v>23</v>
      </c>
      <c r="O21" s="47">
        <v>2</v>
      </c>
      <c r="P21" s="47">
        <v>18</v>
      </c>
      <c r="Q21" s="47">
        <v>4</v>
      </c>
      <c r="R21" s="47">
        <v>25</v>
      </c>
      <c r="S21" s="47">
        <v>1</v>
      </c>
      <c r="U21" s="47" t="s">
        <v>65</v>
      </c>
      <c r="V21" s="47" t="s">
        <v>78</v>
      </c>
      <c r="W21" s="47">
        <v>5</v>
      </c>
      <c r="X21" s="47" t="s">
        <v>88</v>
      </c>
      <c r="Y21" s="47">
        <v>4</v>
      </c>
      <c r="Z21" s="47" t="s">
        <v>89</v>
      </c>
      <c r="AA21" s="47">
        <v>3</v>
      </c>
      <c r="AB21" s="47" t="s">
        <v>90</v>
      </c>
      <c r="AC21" s="47">
        <v>2</v>
      </c>
      <c r="AD21" s="47" t="s">
        <v>91</v>
      </c>
      <c r="AE21" s="47">
        <v>1</v>
      </c>
    </row>
    <row r="22" spans="1:3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31" ht="15" customHeight="1" x14ac:dyDescent="0.25">
      <c r="A23" s="145" t="s">
        <v>53</v>
      </c>
      <c r="B23" s="149" t="s">
        <v>54</v>
      </c>
      <c r="C23" s="147" t="s">
        <v>43</v>
      </c>
      <c r="D23" s="148"/>
      <c r="E23" s="147" t="s">
        <v>58</v>
      </c>
      <c r="F23" s="148"/>
      <c r="G23" s="147" t="s">
        <v>41</v>
      </c>
      <c r="H23" s="148"/>
      <c r="I23" s="144" t="s">
        <v>45</v>
      </c>
      <c r="J23" s="144"/>
      <c r="K23" s="144" t="s">
        <v>46</v>
      </c>
      <c r="L23" s="144"/>
      <c r="M23" s="144" t="s">
        <v>47</v>
      </c>
      <c r="N23" s="144"/>
      <c r="O23" s="144" t="s">
        <v>48</v>
      </c>
      <c r="P23" s="144"/>
      <c r="Q23" s="144" t="s">
        <v>49</v>
      </c>
      <c r="R23" s="144"/>
      <c r="S23" s="144" t="s">
        <v>50</v>
      </c>
      <c r="T23" s="144"/>
    </row>
    <row r="24" spans="1:31" x14ac:dyDescent="0.25">
      <c r="A24" s="146"/>
      <c r="B24" s="150"/>
      <c r="C24" s="46" t="s">
        <v>55</v>
      </c>
      <c r="D24" s="46" t="s">
        <v>56</v>
      </c>
      <c r="E24" s="46" t="s">
        <v>55</v>
      </c>
      <c r="F24" s="46" t="s">
        <v>56</v>
      </c>
      <c r="G24" s="46" t="s">
        <v>55</v>
      </c>
      <c r="H24" s="46" t="s">
        <v>56</v>
      </c>
      <c r="I24" s="46" t="s">
        <v>55</v>
      </c>
      <c r="J24" s="46" t="s">
        <v>56</v>
      </c>
      <c r="K24" s="46" t="s">
        <v>55</v>
      </c>
      <c r="L24" s="46" t="s">
        <v>56</v>
      </c>
      <c r="M24" s="46" t="s">
        <v>55</v>
      </c>
      <c r="N24" s="46" t="s">
        <v>56</v>
      </c>
      <c r="O24" s="46" t="s">
        <v>55</v>
      </c>
      <c r="P24" s="46" t="s">
        <v>56</v>
      </c>
      <c r="Q24" s="46" t="s">
        <v>55</v>
      </c>
      <c r="R24" s="46" t="s">
        <v>56</v>
      </c>
      <c r="S24" s="46" t="s">
        <v>55</v>
      </c>
      <c r="T24" s="46" t="s">
        <v>56</v>
      </c>
    </row>
    <row r="25" spans="1:31" x14ac:dyDescent="0.25">
      <c r="A25" s="13" t="s">
        <v>187</v>
      </c>
      <c r="B25" s="10">
        <v>5</v>
      </c>
      <c r="C25" s="50">
        <v>3</v>
      </c>
      <c r="D25" s="10">
        <f>$B25*C25</f>
        <v>15</v>
      </c>
      <c r="E25" s="50">
        <v>3</v>
      </c>
      <c r="F25" s="10">
        <f>$B25*E25</f>
        <v>15</v>
      </c>
      <c r="G25" s="50">
        <v>2</v>
      </c>
      <c r="H25" s="10">
        <f>$B25*G25</f>
        <v>10</v>
      </c>
      <c r="I25" s="50">
        <v>1</v>
      </c>
      <c r="J25" s="10">
        <f>$B25*I25</f>
        <v>5</v>
      </c>
      <c r="K25" s="50">
        <v>4</v>
      </c>
      <c r="L25" s="10">
        <f>$B25*K25</f>
        <v>20</v>
      </c>
      <c r="M25" s="50">
        <v>2</v>
      </c>
      <c r="N25" s="10">
        <f>$B25*M25</f>
        <v>10</v>
      </c>
      <c r="O25" s="50">
        <v>3</v>
      </c>
      <c r="P25" s="10">
        <f>$B25*O25</f>
        <v>15</v>
      </c>
      <c r="Q25" s="50">
        <v>3</v>
      </c>
      <c r="R25" s="10">
        <f>$B25*Q25</f>
        <v>15</v>
      </c>
      <c r="S25" s="50">
        <v>2</v>
      </c>
      <c r="T25" s="10">
        <f>$B25*S25</f>
        <v>10</v>
      </c>
    </row>
    <row r="26" spans="1:31" x14ac:dyDescent="0.25">
      <c r="A26" s="47" t="s">
        <v>59</v>
      </c>
      <c r="B26" s="47">
        <v>4</v>
      </c>
      <c r="C26" s="47">
        <v>5</v>
      </c>
      <c r="D26" s="47">
        <f t="shared" ref="D26:F30" si="2">$B26*C26</f>
        <v>20</v>
      </c>
      <c r="E26" s="47">
        <v>5</v>
      </c>
      <c r="F26" s="47">
        <f t="shared" si="2"/>
        <v>20</v>
      </c>
      <c r="G26" s="47">
        <v>4</v>
      </c>
      <c r="H26" s="47">
        <f t="shared" ref="H26" si="3">$B26*G26</f>
        <v>16</v>
      </c>
      <c r="I26" s="47">
        <v>4</v>
      </c>
      <c r="J26" s="47">
        <f t="shared" ref="J26" si="4">$B26*I26</f>
        <v>16</v>
      </c>
      <c r="K26" s="47">
        <v>5</v>
      </c>
      <c r="L26" s="47">
        <f t="shared" ref="L26" si="5">$B26*K26</f>
        <v>20</v>
      </c>
      <c r="M26" s="47">
        <v>4</v>
      </c>
      <c r="N26" s="47">
        <f t="shared" ref="N26" si="6">$B26*M26</f>
        <v>16</v>
      </c>
      <c r="O26" s="47">
        <v>1</v>
      </c>
      <c r="P26" s="47">
        <f t="shared" ref="P26" si="7">$B26*O26</f>
        <v>4</v>
      </c>
      <c r="Q26" s="47">
        <v>3</v>
      </c>
      <c r="R26" s="47">
        <f t="shared" ref="R26" si="8">$B26*Q26</f>
        <v>12</v>
      </c>
      <c r="S26" s="47">
        <v>5</v>
      </c>
      <c r="T26" s="47">
        <f t="shared" ref="T26" si="9">$B26*S26</f>
        <v>20</v>
      </c>
    </row>
    <row r="27" spans="1:31" x14ac:dyDescent="0.25">
      <c r="A27" s="10" t="s">
        <v>60</v>
      </c>
      <c r="B27" s="10">
        <v>3</v>
      </c>
      <c r="C27" s="10">
        <v>4</v>
      </c>
      <c r="D27" s="10">
        <f t="shared" si="2"/>
        <v>12</v>
      </c>
      <c r="E27" s="10">
        <v>4</v>
      </c>
      <c r="F27" s="10">
        <f t="shared" si="2"/>
        <v>12</v>
      </c>
      <c r="G27" s="10">
        <v>2</v>
      </c>
      <c r="H27" s="10">
        <f t="shared" ref="H27" si="10">$B27*G27</f>
        <v>6</v>
      </c>
      <c r="I27" s="10">
        <v>3</v>
      </c>
      <c r="J27" s="10">
        <f t="shared" ref="J27" si="11">$B27*I27</f>
        <v>9</v>
      </c>
      <c r="K27" s="10">
        <v>3</v>
      </c>
      <c r="L27" s="10">
        <f t="shared" ref="L27" si="12">$B27*K27</f>
        <v>9</v>
      </c>
      <c r="M27" s="10">
        <v>3</v>
      </c>
      <c r="N27" s="10">
        <f t="shared" ref="N27" si="13">$B27*M27</f>
        <v>9</v>
      </c>
      <c r="O27" s="10">
        <v>1</v>
      </c>
      <c r="P27" s="10">
        <f t="shared" ref="P27" si="14">$B27*O27</f>
        <v>3</v>
      </c>
      <c r="Q27" s="10">
        <v>2</v>
      </c>
      <c r="R27" s="10">
        <f t="shared" ref="R27" si="15">$B27*Q27</f>
        <v>6</v>
      </c>
      <c r="S27" s="10">
        <v>4</v>
      </c>
      <c r="T27" s="10">
        <f t="shared" ref="T27" si="16">$B27*S27</f>
        <v>12</v>
      </c>
    </row>
    <row r="28" spans="1:31" x14ac:dyDescent="0.25">
      <c r="A28" s="47" t="s">
        <v>61</v>
      </c>
      <c r="B28" s="47">
        <v>2</v>
      </c>
      <c r="C28" s="47">
        <v>5</v>
      </c>
      <c r="D28" s="47">
        <f t="shared" si="2"/>
        <v>10</v>
      </c>
      <c r="E28" s="47">
        <v>5</v>
      </c>
      <c r="F28" s="47">
        <f t="shared" si="2"/>
        <v>10</v>
      </c>
      <c r="G28" s="47">
        <v>2</v>
      </c>
      <c r="H28" s="47">
        <f t="shared" ref="H28" si="17">$B28*G28</f>
        <v>4</v>
      </c>
      <c r="I28" s="47">
        <v>4</v>
      </c>
      <c r="J28" s="47">
        <f t="shared" ref="J28" si="18">$B28*I28</f>
        <v>8</v>
      </c>
      <c r="K28" s="47">
        <v>5</v>
      </c>
      <c r="L28" s="47">
        <f t="shared" ref="L28" si="19">$B28*K28</f>
        <v>10</v>
      </c>
      <c r="M28" s="47">
        <v>4</v>
      </c>
      <c r="N28" s="47">
        <f t="shared" ref="N28" si="20">$B28*M28</f>
        <v>8</v>
      </c>
      <c r="O28" s="47">
        <v>1</v>
      </c>
      <c r="P28" s="47">
        <f t="shared" ref="P28" si="21">$B28*O28</f>
        <v>2</v>
      </c>
      <c r="Q28" s="47">
        <v>2</v>
      </c>
      <c r="R28" s="47">
        <f t="shared" ref="R28" si="22">$B28*Q28</f>
        <v>4</v>
      </c>
      <c r="S28" s="47">
        <v>5</v>
      </c>
      <c r="T28" s="47">
        <f t="shared" ref="T28" si="23">$B28*S28</f>
        <v>10</v>
      </c>
    </row>
    <row r="29" spans="1:31" x14ac:dyDescent="0.25">
      <c r="A29" s="10" t="s">
        <v>62</v>
      </c>
      <c r="B29" s="10">
        <v>6</v>
      </c>
      <c r="C29" s="10">
        <v>3</v>
      </c>
      <c r="D29" s="10">
        <f t="shared" si="2"/>
        <v>18</v>
      </c>
      <c r="E29" s="10">
        <v>3</v>
      </c>
      <c r="F29" s="10">
        <f t="shared" si="2"/>
        <v>18</v>
      </c>
      <c r="G29" s="10">
        <v>3</v>
      </c>
      <c r="H29" s="10">
        <f t="shared" ref="H29" si="24">$B29*G29</f>
        <v>18</v>
      </c>
      <c r="I29" s="10">
        <v>2</v>
      </c>
      <c r="J29" s="10">
        <f t="shared" ref="J29" si="25">$B29*I29</f>
        <v>12</v>
      </c>
      <c r="K29" s="10">
        <v>3</v>
      </c>
      <c r="L29" s="10">
        <f t="shared" ref="L29" si="26">$B29*K29</f>
        <v>18</v>
      </c>
      <c r="M29" s="10">
        <v>3</v>
      </c>
      <c r="N29" s="10">
        <f t="shared" ref="N29" si="27">$B29*M29</f>
        <v>18</v>
      </c>
      <c r="O29" s="10">
        <v>4</v>
      </c>
      <c r="P29" s="10">
        <f t="shared" ref="P29" si="28">$B29*O29</f>
        <v>24</v>
      </c>
      <c r="Q29" s="10">
        <v>3</v>
      </c>
      <c r="R29" s="10">
        <f t="shared" ref="R29" si="29">$B29*Q29</f>
        <v>18</v>
      </c>
      <c r="S29" s="10">
        <v>2</v>
      </c>
      <c r="T29" s="10">
        <f t="shared" ref="T29" si="30">$B29*S29</f>
        <v>12</v>
      </c>
    </row>
    <row r="30" spans="1:31" x14ac:dyDescent="0.25">
      <c r="A30" s="47" t="s">
        <v>63</v>
      </c>
      <c r="B30" s="47">
        <v>5</v>
      </c>
      <c r="C30" s="47">
        <v>3</v>
      </c>
      <c r="D30" s="47">
        <f t="shared" si="2"/>
        <v>15</v>
      </c>
      <c r="E30" s="47">
        <v>3</v>
      </c>
      <c r="F30" s="47">
        <f t="shared" si="2"/>
        <v>15</v>
      </c>
      <c r="G30" s="47">
        <v>3</v>
      </c>
      <c r="H30" s="47">
        <f t="shared" ref="H30" si="31">$B30*G30</f>
        <v>15</v>
      </c>
      <c r="I30" s="47">
        <v>1</v>
      </c>
      <c r="J30" s="47">
        <f t="shared" ref="J30" si="32">$B30*I30</f>
        <v>5</v>
      </c>
      <c r="K30" s="47">
        <v>4</v>
      </c>
      <c r="L30" s="47">
        <f t="shared" ref="L30" si="33">$B30*K30</f>
        <v>20</v>
      </c>
      <c r="M30" s="47">
        <v>4</v>
      </c>
      <c r="N30" s="47">
        <f t="shared" ref="N30" si="34">$B30*M30</f>
        <v>20</v>
      </c>
      <c r="O30" s="47">
        <v>2</v>
      </c>
      <c r="P30" s="47">
        <f t="shared" ref="P30" si="35">$B30*O30</f>
        <v>10</v>
      </c>
      <c r="Q30" s="47">
        <v>4</v>
      </c>
      <c r="R30" s="47">
        <f t="shared" ref="R30" si="36">$B30*Q30</f>
        <v>20</v>
      </c>
      <c r="S30" s="47">
        <v>1</v>
      </c>
      <c r="T30" s="47">
        <f t="shared" ref="T30" si="37">$B30*S30</f>
        <v>5</v>
      </c>
    </row>
    <row r="31" spans="1:31" x14ac:dyDescent="0.25">
      <c r="A31" s="9" t="s">
        <v>57</v>
      </c>
      <c r="B31" s="3"/>
      <c r="C31" s="3"/>
      <c r="D31" s="9">
        <f>SUM(D25:D30)</f>
        <v>90</v>
      </c>
      <c r="E31" s="3"/>
      <c r="F31" s="9">
        <f>SUM(F25:F30)</f>
        <v>90</v>
      </c>
      <c r="G31" s="3"/>
      <c r="H31" s="9">
        <f>SUM(H25:H30)</f>
        <v>69</v>
      </c>
      <c r="I31" s="3"/>
      <c r="J31" s="9">
        <f>SUM(J25:J30)</f>
        <v>55</v>
      </c>
      <c r="K31" s="3"/>
      <c r="L31" s="9">
        <f>SUM(L25:L30)</f>
        <v>97</v>
      </c>
      <c r="M31" s="3"/>
      <c r="N31" s="9">
        <f>SUM(N25:N30)</f>
        <v>81</v>
      </c>
      <c r="O31" s="3"/>
      <c r="P31" s="9">
        <f>SUM(P25:P30)</f>
        <v>58</v>
      </c>
      <c r="Q31" s="3"/>
      <c r="R31" s="9">
        <f>SUM(R25:R30)</f>
        <v>75</v>
      </c>
      <c r="S31" s="3"/>
      <c r="T31" s="9">
        <f>SUM(T25:T30)</f>
        <v>69</v>
      </c>
    </row>
    <row r="32" spans="1:3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ht="15.75" thickBot="1" x14ac:dyDescent="0.3">
      <c r="A33" s="5" t="s">
        <v>17</v>
      </c>
      <c r="B33" s="5" t="s">
        <v>95</v>
      </c>
      <c r="C33" s="5" t="s">
        <v>39</v>
      </c>
      <c r="D33" s="3"/>
      <c r="E33" s="3"/>
      <c r="F33" s="3"/>
      <c r="G33" s="3"/>
      <c r="H33" s="3"/>
      <c r="I33" s="3"/>
      <c r="J33" s="3"/>
    </row>
    <row r="34" spans="1:10" ht="15.75" thickBot="1" x14ac:dyDescent="0.3">
      <c r="A34" s="14" t="s">
        <v>43</v>
      </c>
      <c r="B34" s="43">
        <v>90</v>
      </c>
      <c r="C34" s="24">
        <f>_xlfn.RANK.EQ(B34,$B$34:$B$42,)</f>
        <v>2</v>
      </c>
      <c r="D34" s="3"/>
      <c r="E34" s="3"/>
      <c r="F34" s="3"/>
      <c r="G34" s="3"/>
      <c r="H34" s="3"/>
      <c r="I34" s="3"/>
      <c r="J34" s="3"/>
    </row>
    <row r="35" spans="1:10" ht="15.75" thickBot="1" x14ac:dyDescent="0.3">
      <c r="A35" s="14" t="s">
        <v>44</v>
      </c>
      <c r="B35" s="43">
        <v>90</v>
      </c>
      <c r="C35" s="24">
        <f t="shared" ref="C35:C42" si="38">_xlfn.RANK.EQ(B35,$B$34:$B$42,)</f>
        <v>2</v>
      </c>
      <c r="E35" s="3"/>
    </row>
    <row r="36" spans="1:10" ht="15.75" thickBot="1" x14ac:dyDescent="0.3">
      <c r="A36" s="14" t="s">
        <v>41</v>
      </c>
      <c r="B36" s="43">
        <v>69</v>
      </c>
      <c r="C36" s="24">
        <f t="shared" si="38"/>
        <v>6</v>
      </c>
      <c r="D36" s="3"/>
      <c r="E36" s="3"/>
      <c r="F36" s="3"/>
      <c r="G36" s="3"/>
      <c r="H36" s="3"/>
      <c r="I36" s="3"/>
      <c r="J36" s="3"/>
    </row>
    <row r="37" spans="1:10" ht="15.75" thickBot="1" x14ac:dyDescent="0.3">
      <c r="A37" s="14" t="s">
        <v>45</v>
      </c>
      <c r="B37" s="43">
        <v>55</v>
      </c>
      <c r="C37" s="24">
        <f t="shared" si="38"/>
        <v>9</v>
      </c>
      <c r="D37" s="3"/>
      <c r="E37" s="3"/>
      <c r="F37" s="3"/>
      <c r="G37" s="3"/>
      <c r="H37" s="3"/>
      <c r="I37" s="3"/>
      <c r="J37" s="3"/>
    </row>
    <row r="38" spans="1:10" ht="15.75" thickBot="1" x14ac:dyDescent="0.3">
      <c r="A38" s="14" t="s">
        <v>46</v>
      </c>
      <c r="B38" s="43">
        <v>97</v>
      </c>
      <c r="C38" s="24">
        <f t="shared" si="38"/>
        <v>1</v>
      </c>
      <c r="D38" s="3"/>
      <c r="E38" s="3"/>
      <c r="F38" s="3"/>
      <c r="G38" s="3"/>
      <c r="H38" s="3"/>
      <c r="I38" s="3"/>
      <c r="J38" s="3"/>
    </row>
    <row r="39" spans="1:10" ht="15.75" thickBot="1" x14ac:dyDescent="0.3">
      <c r="A39" s="14" t="s">
        <v>47</v>
      </c>
      <c r="B39" s="43">
        <v>81</v>
      </c>
      <c r="C39" s="24">
        <f t="shared" si="38"/>
        <v>4</v>
      </c>
    </row>
    <row r="40" spans="1:10" ht="15.75" thickBot="1" x14ac:dyDescent="0.3">
      <c r="A40" s="14" t="s">
        <v>48</v>
      </c>
      <c r="B40" s="43">
        <v>58</v>
      </c>
      <c r="C40" s="24">
        <f t="shared" si="38"/>
        <v>8</v>
      </c>
    </row>
    <row r="41" spans="1:10" ht="15.75" thickBot="1" x14ac:dyDescent="0.3">
      <c r="A41" s="14" t="s">
        <v>49</v>
      </c>
      <c r="B41" s="43">
        <v>75</v>
      </c>
      <c r="C41" s="24">
        <f t="shared" si="38"/>
        <v>5</v>
      </c>
    </row>
    <row r="42" spans="1:10" x14ac:dyDescent="0.25">
      <c r="A42" s="14" t="s">
        <v>50</v>
      </c>
      <c r="B42" s="43">
        <v>69</v>
      </c>
      <c r="C42" s="24">
        <f t="shared" si="38"/>
        <v>6</v>
      </c>
    </row>
  </sheetData>
  <mergeCells count="51">
    <mergeCell ref="C23:D23"/>
    <mergeCell ref="O23:P23"/>
    <mergeCell ref="Q23:R23"/>
    <mergeCell ref="E23:F23"/>
    <mergeCell ref="G23:H23"/>
    <mergeCell ref="I23:J23"/>
    <mergeCell ref="K23:L23"/>
    <mergeCell ref="M23:N23"/>
    <mergeCell ref="A1:U1"/>
    <mergeCell ref="U14:U15"/>
    <mergeCell ref="V14:AE15"/>
    <mergeCell ref="S23:T23"/>
    <mergeCell ref="A14:A15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A23:A24"/>
    <mergeCell ref="B23:B24"/>
    <mergeCell ref="C2:D2"/>
    <mergeCell ref="C3:D3"/>
    <mergeCell ref="C4:D4"/>
    <mergeCell ref="C5:D5"/>
    <mergeCell ref="E2:G2"/>
    <mergeCell ref="E3:G3"/>
    <mergeCell ref="E4:G4"/>
    <mergeCell ref="E5:G5"/>
    <mergeCell ref="H2:J2"/>
    <mergeCell ref="H3:J3"/>
    <mergeCell ref="H4:J4"/>
    <mergeCell ref="H5:J5"/>
    <mergeCell ref="K2:L2"/>
    <mergeCell ref="K3:L3"/>
    <mergeCell ref="K4:L4"/>
    <mergeCell ref="K5:L5"/>
    <mergeCell ref="M2:N2"/>
    <mergeCell ref="M3:N3"/>
    <mergeCell ref="M4:N4"/>
    <mergeCell ref="M5:N5"/>
    <mergeCell ref="M6:N6"/>
    <mergeCell ref="A13:U13"/>
    <mergeCell ref="M7:N7"/>
    <mergeCell ref="K6:L6"/>
    <mergeCell ref="K7:L7"/>
    <mergeCell ref="B9:C11"/>
    <mergeCell ref="D9:E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" sqref="D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4"/>
  <sheetViews>
    <sheetView showGridLines="0" zoomScale="70" zoomScaleNormal="70" workbookViewId="0">
      <selection activeCell="X2" sqref="X2:Z22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9" style="23" bestFit="1" customWidth="1"/>
    <col min="4" max="4" width="9.140625" style="23" customWidth="1"/>
    <col min="5" max="5" width="8.42578125" style="23" customWidth="1"/>
    <col min="6" max="6" width="8.5703125" style="23" customWidth="1"/>
    <col min="7" max="7" width="7.5703125" style="23" customWidth="1"/>
    <col min="8" max="8" width="8.42578125" style="23" customWidth="1"/>
    <col min="9" max="9" width="9" style="23" customWidth="1"/>
    <col min="10" max="10" width="8.140625" style="23" customWidth="1"/>
    <col min="11" max="11" width="7.140625" style="23" customWidth="1"/>
    <col min="12" max="13" width="8.140625" style="23" customWidth="1"/>
    <col min="14" max="14" width="8.5703125" style="23" customWidth="1"/>
    <col min="15" max="15" width="9.28515625" style="23" customWidth="1"/>
    <col min="16" max="16" width="9" style="23" customWidth="1"/>
    <col min="17" max="17" width="8.5703125" style="23" customWidth="1"/>
    <col min="18" max="18" width="8.140625" style="23" customWidth="1"/>
    <col min="19" max="19" width="8.7109375" style="23" customWidth="1"/>
    <col min="20" max="20" width="7.7109375" style="23" customWidth="1"/>
    <col min="21" max="21" width="8" style="23" customWidth="1"/>
    <col min="22" max="22" width="9.7109375" style="23" customWidth="1"/>
    <col min="23" max="23" width="8.28515625" style="23" customWidth="1"/>
    <col min="24" max="24" width="18.85546875" style="23" bestFit="1" customWidth="1"/>
    <col min="25" max="25" width="15" style="23" bestFit="1" customWidth="1"/>
    <col min="26" max="26" width="14" style="23" customWidth="1"/>
    <col min="27" max="16384" width="9.140625" style="23"/>
  </cols>
  <sheetData>
    <row r="2" spans="2:26" s="22" customFormat="1" ht="15.75" thickBot="1" x14ac:dyDescent="0.3">
      <c r="B2" s="2"/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25</v>
      </c>
      <c r="M2" s="5" t="s">
        <v>26</v>
      </c>
      <c r="N2" s="5" t="s">
        <v>27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23"/>
      <c r="X2" s="5" t="s">
        <v>17</v>
      </c>
      <c r="Y2" s="5" t="s">
        <v>38</v>
      </c>
      <c r="Z2" s="5" t="s">
        <v>39</v>
      </c>
    </row>
    <row r="3" spans="2:26" x14ac:dyDescent="0.25">
      <c r="B3" s="14" t="s">
        <v>8</v>
      </c>
      <c r="C3" s="7">
        <v>0</v>
      </c>
      <c r="D3" s="7">
        <v>41.3</v>
      </c>
      <c r="E3" s="7">
        <v>64.400000000000006</v>
      </c>
      <c r="F3" s="7">
        <v>11.73</v>
      </c>
      <c r="G3" s="7">
        <v>53.65</v>
      </c>
      <c r="H3" s="7">
        <v>178.02</v>
      </c>
      <c r="I3" s="7">
        <v>349.13</v>
      </c>
      <c r="J3" s="7">
        <v>320.64</v>
      </c>
      <c r="K3" s="7">
        <v>172.68</v>
      </c>
      <c r="L3" s="7">
        <v>359.05</v>
      </c>
      <c r="M3" s="7">
        <v>268.25</v>
      </c>
      <c r="N3" s="7">
        <v>193.05</v>
      </c>
      <c r="O3" s="7">
        <v>223.94</v>
      </c>
      <c r="P3" s="7">
        <v>239.72</v>
      </c>
      <c r="Q3" s="7">
        <v>255.42</v>
      </c>
      <c r="R3" s="7">
        <v>287.70999999999998</v>
      </c>
      <c r="S3" s="7">
        <v>302.8</v>
      </c>
      <c r="T3" s="7">
        <v>129.35</v>
      </c>
      <c r="U3" s="7">
        <v>108.83</v>
      </c>
      <c r="V3" s="7">
        <v>272.98</v>
      </c>
      <c r="X3" s="14" t="s">
        <v>8</v>
      </c>
      <c r="Y3" s="31"/>
      <c r="Z3" s="24"/>
    </row>
    <row r="4" spans="2:26" x14ac:dyDescent="0.25">
      <c r="B4" s="14" t="s">
        <v>9</v>
      </c>
      <c r="C4" s="6">
        <v>38.24</v>
      </c>
      <c r="D4" s="6">
        <v>0</v>
      </c>
      <c r="E4" s="6">
        <v>29.73</v>
      </c>
      <c r="F4" s="6">
        <v>34.82</v>
      </c>
      <c r="G4" s="6">
        <v>76.17</v>
      </c>
      <c r="H4" s="6">
        <v>200.54</v>
      </c>
      <c r="I4" s="6">
        <v>371.65</v>
      </c>
      <c r="J4" s="6">
        <v>343.15</v>
      </c>
      <c r="K4" s="6">
        <v>195.2</v>
      </c>
      <c r="L4" s="6">
        <v>381.56</v>
      </c>
      <c r="M4" s="6">
        <v>290.77</v>
      </c>
      <c r="N4" s="6">
        <v>215.56</v>
      </c>
      <c r="O4" s="6">
        <v>246.46</v>
      </c>
      <c r="P4" s="6">
        <v>262.23</v>
      </c>
      <c r="Q4" s="6">
        <v>277.94</v>
      </c>
      <c r="R4" s="6">
        <v>310.22000000000003</v>
      </c>
      <c r="S4" s="6">
        <v>325.32</v>
      </c>
      <c r="T4" s="6">
        <v>151.87</v>
      </c>
      <c r="U4" s="6">
        <v>131.34</v>
      </c>
      <c r="V4" s="6">
        <v>295.5</v>
      </c>
      <c r="X4" s="14" t="s">
        <v>9</v>
      </c>
      <c r="Y4" s="29"/>
      <c r="Z4" s="25"/>
    </row>
    <row r="5" spans="2:26" x14ac:dyDescent="0.25">
      <c r="B5" s="14" t="s">
        <v>10</v>
      </c>
      <c r="C5" s="7">
        <v>65.2</v>
      </c>
      <c r="D5" s="7">
        <v>26.24</v>
      </c>
      <c r="E5" s="7">
        <v>0</v>
      </c>
      <c r="F5" s="7">
        <v>61.78</v>
      </c>
      <c r="G5" s="7">
        <v>103.13</v>
      </c>
      <c r="H5" s="7">
        <v>227.5</v>
      </c>
      <c r="I5" s="7">
        <v>398.61</v>
      </c>
      <c r="J5" s="7">
        <v>370.11</v>
      </c>
      <c r="K5" s="7">
        <v>222.16</v>
      </c>
      <c r="L5" s="7">
        <v>408.52</v>
      </c>
      <c r="M5" s="7">
        <v>317.73</v>
      </c>
      <c r="N5" s="7">
        <v>242.52</v>
      </c>
      <c r="O5" s="7">
        <v>273.42</v>
      </c>
      <c r="P5" s="7">
        <v>289.19</v>
      </c>
      <c r="Q5" s="7">
        <v>304.89999999999998</v>
      </c>
      <c r="R5" s="7">
        <v>337.18</v>
      </c>
      <c r="S5" s="7">
        <v>352.28</v>
      </c>
      <c r="T5" s="7">
        <v>178.83</v>
      </c>
      <c r="U5" s="7">
        <v>158.30000000000001</v>
      </c>
      <c r="V5" s="7">
        <v>322.45999999999998</v>
      </c>
      <c r="X5" s="14" t="s">
        <v>10</v>
      </c>
      <c r="Y5" s="29"/>
      <c r="Z5" s="25"/>
    </row>
    <row r="6" spans="2:26" x14ac:dyDescent="0.25">
      <c r="B6" s="14" t="s">
        <v>11</v>
      </c>
      <c r="C6" s="6">
        <v>10.16</v>
      </c>
      <c r="D6" s="6">
        <v>38.83</v>
      </c>
      <c r="E6" s="6">
        <v>61.93</v>
      </c>
      <c r="F6" s="6">
        <v>0</v>
      </c>
      <c r="G6" s="6">
        <v>62.67</v>
      </c>
      <c r="H6" s="6">
        <v>187.03</v>
      </c>
      <c r="I6" s="6">
        <v>358.15</v>
      </c>
      <c r="J6" s="6">
        <v>329.65</v>
      </c>
      <c r="K6" s="6">
        <v>181.7</v>
      </c>
      <c r="L6" s="6">
        <v>368.06</v>
      </c>
      <c r="M6" s="6">
        <v>277.27</v>
      </c>
      <c r="N6" s="6">
        <v>202.06</v>
      </c>
      <c r="O6" s="6">
        <v>232.96</v>
      </c>
      <c r="P6" s="6">
        <v>248.73</v>
      </c>
      <c r="Q6" s="6">
        <v>264.44</v>
      </c>
      <c r="R6" s="6">
        <v>296.72000000000003</v>
      </c>
      <c r="S6" s="6">
        <v>311.81</v>
      </c>
      <c r="T6" s="6">
        <v>138.37</v>
      </c>
      <c r="U6" s="6">
        <v>117.84</v>
      </c>
      <c r="V6" s="6">
        <v>282</v>
      </c>
      <c r="X6" s="14" t="s">
        <v>11</v>
      </c>
      <c r="Y6" s="29"/>
      <c r="Z6" s="25"/>
    </row>
    <row r="7" spans="2:26" x14ac:dyDescent="0.25">
      <c r="B7" s="14" t="s">
        <v>12</v>
      </c>
      <c r="C7" s="7">
        <v>52.18</v>
      </c>
      <c r="D7" s="7">
        <v>80.290000000000006</v>
      </c>
      <c r="E7" s="7">
        <v>103.39</v>
      </c>
      <c r="F7" s="7">
        <v>61.49</v>
      </c>
      <c r="G7" s="7">
        <v>0</v>
      </c>
      <c r="H7" s="7">
        <v>124.83</v>
      </c>
      <c r="I7" s="7">
        <v>295.94</v>
      </c>
      <c r="J7" s="7">
        <v>267.45</v>
      </c>
      <c r="K7" s="7">
        <v>119.49</v>
      </c>
      <c r="L7" s="7">
        <v>305.86</v>
      </c>
      <c r="M7" s="7">
        <v>215.06</v>
      </c>
      <c r="N7" s="7">
        <v>139.86000000000001</v>
      </c>
      <c r="O7" s="7">
        <v>170.75</v>
      </c>
      <c r="P7" s="7">
        <v>186.53</v>
      </c>
      <c r="Q7" s="7">
        <v>202.23</v>
      </c>
      <c r="R7" s="7">
        <v>234.52</v>
      </c>
      <c r="S7" s="7">
        <v>249.61</v>
      </c>
      <c r="T7" s="7">
        <v>76.16</v>
      </c>
      <c r="U7" s="7">
        <v>55.64</v>
      </c>
      <c r="V7" s="7">
        <v>219.79</v>
      </c>
      <c r="X7" s="14" t="s">
        <v>12</v>
      </c>
      <c r="Y7" s="29"/>
      <c r="Z7" s="25"/>
    </row>
    <row r="8" spans="2:26" x14ac:dyDescent="0.25">
      <c r="B8" s="14" t="s">
        <v>13</v>
      </c>
      <c r="C8" s="6">
        <v>178.22</v>
      </c>
      <c r="D8" s="6">
        <v>206.33</v>
      </c>
      <c r="E8" s="6">
        <v>229.43</v>
      </c>
      <c r="F8" s="6">
        <v>187.53</v>
      </c>
      <c r="G8" s="6">
        <v>127.39</v>
      </c>
      <c r="H8" s="6">
        <v>0</v>
      </c>
      <c r="I8" s="6">
        <v>171.96</v>
      </c>
      <c r="J8" s="6">
        <v>143.46</v>
      </c>
      <c r="K8" s="6">
        <v>7.55</v>
      </c>
      <c r="L8" s="6">
        <v>181.88</v>
      </c>
      <c r="M8" s="6">
        <v>91.08</v>
      </c>
      <c r="N8" s="6">
        <v>15.87</v>
      </c>
      <c r="O8" s="6">
        <v>46.77</v>
      </c>
      <c r="P8" s="6">
        <v>62.54</v>
      </c>
      <c r="Q8" s="6">
        <v>78.25</v>
      </c>
      <c r="R8" s="6">
        <v>110.53</v>
      </c>
      <c r="S8" s="6">
        <v>125.63</v>
      </c>
      <c r="T8" s="6">
        <v>81.06</v>
      </c>
      <c r="U8" s="6">
        <v>79.12</v>
      </c>
      <c r="V8" s="6">
        <v>95.81</v>
      </c>
      <c r="X8" s="14" t="s">
        <v>13</v>
      </c>
      <c r="Y8" s="29"/>
      <c r="Z8" s="25"/>
    </row>
    <row r="9" spans="2:26" x14ac:dyDescent="0.25">
      <c r="B9" s="14" t="s">
        <v>14</v>
      </c>
      <c r="C9" s="7">
        <v>348.6</v>
      </c>
      <c r="D9" s="7">
        <v>376.71</v>
      </c>
      <c r="E9" s="7">
        <v>399.81</v>
      </c>
      <c r="F9" s="7">
        <v>357.91</v>
      </c>
      <c r="G9" s="7">
        <v>297.77</v>
      </c>
      <c r="H9" s="7">
        <v>174.3</v>
      </c>
      <c r="I9" s="7">
        <v>0</v>
      </c>
      <c r="J9" s="7">
        <v>97.67</v>
      </c>
      <c r="K9" s="7">
        <v>177.94</v>
      </c>
      <c r="L9" s="7">
        <v>48.92</v>
      </c>
      <c r="M9" s="7">
        <v>88.08</v>
      </c>
      <c r="N9" s="7">
        <v>158.15</v>
      </c>
      <c r="O9" s="7">
        <v>127.36</v>
      </c>
      <c r="P9" s="7">
        <v>111.85</v>
      </c>
      <c r="Q9" s="7">
        <v>97.84</v>
      </c>
      <c r="R9" s="7">
        <v>72.8</v>
      </c>
      <c r="S9" s="7">
        <v>50.59</v>
      </c>
      <c r="T9" s="7">
        <v>251.44</v>
      </c>
      <c r="U9" s="7">
        <v>249.5</v>
      </c>
      <c r="V9" s="7">
        <v>116.47</v>
      </c>
      <c r="X9" s="14" t="s">
        <v>14</v>
      </c>
      <c r="Y9" s="29"/>
      <c r="Z9" s="25"/>
    </row>
    <row r="10" spans="2:26" x14ac:dyDescent="0.25">
      <c r="B10" s="14" t="s">
        <v>15</v>
      </c>
      <c r="C10" s="6">
        <v>319.64999999999998</v>
      </c>
      <c r="D10" s="6">
        <v>347.76</v>
      </c>
      <c r="E10" s="6">
        <v>370.86</v>
      </c>
      <c r="F10" s="6">
        <v>328.96</v>
      </c>
      <c r="G10" s="6">
        <v>268.83</v>
      </c>
      <c r="H10" s="6">
        <v>145.35</v>
      </c>
      <c r="I10" s="6">
        <v>98.75</v>
      </c>
      <c r="J10" s="6">
        <v>0</v>
      </c>
      <c r="K10" s="6">
        <v>148.99</v>
      </c>
      <c r="L10" s="6">
        <v>66.92</v>
      </c>
      <c r="M10" s="6">
        <v>59.13</v>
      </c>
      <c r="N10" s="6">
        <v>129.21</v>
      </c>
      <c r="O10" s="6">
        <v>98.42</v>
      </c>
      <c r="P10" s="6">
        <v>82.91</v>
      </c>
      <c r="Q10" s="6">
        <v>68.900000000000006</v>
      </c>
      <c r="R10" s="6">
        <v>57.74</v>
      </c>
      <c r="S10" s="6">
        <v>72.83</v>
      </c>
      <c r="T10" s="6">
        <v>222.49</v>
      </c>
      <c r="U10" s="6">
        <v>220.55</v>
      </c>
      <c r="V10" s="6">
        <v>42.1</v>
      </c>
      <c r="X10" s="14" t="s">
        <v>15</v>
      </c>
      <c r="Y10" s="29"/>
      <c r="Z10" s="25"/>
    </row>
    <row r="11" spans="2:26" x14ac:dyDescent="0.25">
      <c r="B11" s="14" t="s">
        <v>16</v>
      </c>
      <c r="C11" s="7">
        <v>173.22</v>
      </c>
      <c r="D11" s="7">
        <v>201.33</v>
      </c>
      <c r="E11" s="7">
        <v>224.43</v>
      </c>
      <c r="F11" s="7">
        <v>182.53</v>
      </c>
      <c r="G11" s="7">
        <v>122.39</v>
      </c>
      <c r="H11" s="7">
        <v>5.77</v>
      </c>
      <c r="I11" s="7">
        <v>176.88</v>
      </c>
      <c r="J11" s="7">
        <v>148.38999999999999</v>
      </c>
      <c r="K11" s="7">
        <v>0</v>
      </c>
      <c r="L11" s="7">
        <v>186.8</v>
      </c>
      <c r="M11" s="7">
        <v>96</v>
      </c>
      <c r="N11" s="7">
        <v>20.8</v>
      </c>
      <c r="O11" s="7">
        <v>51.69</v>
      </c>
      <c r="P11" s="7">
        <v>67.47</v>
      </c>
      <c r="Q11" s="7">
        <v>83.17</v>
      </c>
      <c r="R11" s="7">
        <v>115.46</v>
      </c>
      <c r="S11" s="7">
        <v>130.55000000000001</v>
      </c>
      <c r="T11" s="7">
        <v>76.06</v>
      </c>
      <c r="U11" s="7">
        <v>74.12</v>
      </c>
      <c r="V11" s="7">
        <v>100.73</v>
      </c>
      <c r="X11" s="14" t="s">
        <v>16</v>
      </c>
      <c r="Y11" s="29"/>
      <c r="Z11" s="25"/>
    </row>
    <row r="12" spans="2:26" x14ac:dyDescent="0.25">
      <c r="B12" s="14" t="s">
        <v>25</v>
      </c>
      <c r="C12" s="6">
        <v>356.51</v>
      </c>
      <c r="D12" s="6">
        <v>384.62</v>
      </c>
      <c r="E12" s="6">
        <v>407.72</v>
      </c>
      <c r="F12" s="6">
        <v>365.82</v>
      </c>
      <c r="G12" s="6">
        <v>305.69</v>
      </c>
      <c r="H12" s="6">
        <v>182.21</v>
      </c>
      <c r="I12" s="6">
        <v>48.19</v>
      </c>
      <c r="J12" s="6">
        <v>64.95</v>
      </c>
      <c r="K12" s="6">
        <v>185.85</v>
      </c>
      <c r="L12" s="6">
        <v>0</v>
      </c>
      <c r="M12" s="6">
        <v>95.99</v>
      </c>
      <c r="N12" s="6">
        <v>166.07</v>
      </c>
      <c r="O12" s="6">
        <v>135.28</v>
      </c>
      <c r="P12" s="6">
        <v>119.77</v>
      </c>
      <c r="Q12" s="6">
        <v>105.76</v>
      </c>
      <c r="R12" s="6">
        <v>80.709999999999994</v>
      </c>
      <c r="S12" s="6">
        <v>58.51</v>
      </c>
      <c r="T12" s="6">
        <v>259.35000000000002</v>
      </c>
      <c r="U12" s="6">
        <v>257.41000000000003</v>
      </c>
      <c r="V12" s="6">
        <v>124.39</v>
      </c>
      <c r="X12" s="14" t="s">
        <v>25</v>
      </c>
      <c r="Y12" s="29"/>
      <c r="Z12" s="25"/>
    </row>
    <row r="13" spans="2:26" x14ac:dyDescent="0.25">
      <c r="B13" s="14" t="s">
        <v>26</v>
      </c>
      <c r="C13" s="7">
        <v>267.2</v>
      </c>
      <c r="D13" s="7">
        <v>295.31</v>
      </c>
      <c r="E13" s="7">
        <v>318.41000000000003</v>
      </c>
      <c r="F13" s="7">
        <v>276.51</v>
      </c>
      <c r="G13" s="7">
        <v>216.38</v>
      </c>
      <c r="H13" s="7">
        <v>92.9</v>
      </c>
      <c r="I13" s="7">
        <v>87.24</v>
      </c>
      <c r="J13" s="7">
        <v>58.74</v>
      </c>
      <c r="K13" s="7">
        <v>96.54</v>
      </c>
      <c r="L13" s="7">
        <v>97.15</v>
      </c>
      <c r="M13" s="7">
        <v>0</v>
      </c>
      <c r="N13" s="7">
        <v>76.760000000000005</v>
      </c>
      <c r="O13" s="7">
        <v>45.96</v>
      </c>
      <c r="P13" s="7">
        <v>30.45</v>
      </c>
      <c r="Q13" s="7">
        <v>16.45</v>
      </c>
      <c r="R13" s="7">
        <v>25.81</v>
      </c>
      <c r="S13" s="7">
        <v>40.9</v>
      </c>
      <c r="T13" s="7">
        <v>170.04</v>
      </c>
      <c r="U13" s="7">
        <v>168.1</v>
      </c>
      <c r="V13" s="7">
        <v>35.090000000000003</v>
      </c>
      <c r="X13" s="14" t="s">
        <v>26</v>
      </c>
      <c r="Y13" s="29"/>
      <c r="Z13" s="25"/>
    </row>
    <row r="14" spans="2:26" x14ac:dyDescent="0.25">
      <c r="B14" s="14" t="s">
        <v>27</v>
      </c>
      <c r="C14" s="6">
        <v>194.26</v>
      </c>
      <c r="D14" s="6">
        <v>222.37</v>
      </c>
      <c r="E14" s="6">
        <v>245.46</v>
      </c>
      <c r="F14" s="6">
        <v>203.57</v>
      </c>
      <c r="G14" s="6">
        <v>143.43</v>
      </c>
      <c r="H14" s="6">
        <v>19.95</v>
      </c>
      <c r="I14" s="6">
        <v>156.22999999999999</v>
      </c>
      <c r="J14" s="6">
        <v>127.73</v>
      </c>
      <c r="K14" s="6">
        <v>23.59</v>
      </c>
      <c r="L14" s="6">
        <v>166.14</v>
      </c>
      <c r="M14" s="6">
        <v>75.349999999999994</v>
      </c>
      <c r="N14" s="6">
        <v>0</v>
      </c>
      <c r="O14" s="6">
        <v>31.04</v>
      </c>
      <c r="P14" s="6">
        <v>46.81</v>
      </c>
      <c r="Q14" s="6">
        <v>62.52</v>
      </c>
      <c r="R14" s="6">
        <v>94.8</v>
      </c>
      <c r="S14" s="6">
        <v>109.9</v>
      </c>
      <c r="T14" s="6">
        <v>97.09</v>
      </c>
      <c r="U14" s="6">
        <v>95.16</v>
      </c>
      <c r="V14" s="6">
        <v>80.08</v>
      </c>
      <c r="X14" s="14" t="s">
        <v>27</v>
      </c>
      <c r="Y14" s="29"/>
      <c r="Z14" s="25"/>
    </row>
    <row r="15" spans="2:26" x14ac:dyDescent="0.25">
      <c r="B15" s="14" t="s">
        <v>28</v>
      </c>
      <c r="C15" s="7">
        <v>223.13</v>
      </c>
      <c r="D15" s="7">
        <v>251.24</v>
      </c>
      <c r="E15" s="7">
        <v>274.33</v>
      </c>
      <c r="F15" s="7">
        <v>232.44</v>
      </c>
      <c r="G15" s="7">
        <v>172.3</v>
      </c>
      <c r="H15" s="7">
        <v>48.83</v>
      </c>
      <c r="I15" s="7">
        <v>126.71</v>
      </c>
      <c r="J15" s="7">
        <v>98.22</v>
      </c>
      <c r="K15" s="7">
        <v>52.46</v>
      </c>
      <c r="L15" s="7">
        <v>136.63</v>
      </c>
      <c r="M15" s="7">
        <v>45.83</v>
      </c>
      <c r="N15" s="7">
        <v>32.68</v>
      </c>
      <c r="O15" s="7">
        <v>0</v>
      </c>
      <c r="P15" s="7">
        <v>17.3</v>
      </c>
      <c r="Q15" s="7">
        <v>33</v>
      </c>
      <c r="R15" s="7">
        <v>65.28</v>
      </c>
      <c r="S15" s="7">
        <v>80.38</v>
      </c>
      <c r="T15" s="7">
        <v>125.97</v>
      </c>
      <c r="U15" s="7">
        <v>124.03</v>
      </c>
      <c r="V15" s="7">
        <v>49.04</v>
      </c>
      <c r="X15" s="14" t="s">
        <v>28</v>
      </c>
      <c r="Y15" s="29"/>
      <c r="Z15" s="25"/>
    </row>
    <row r="16" spans="2:26" x14ac:dyDescent="0.25">
      <c r="B16" s="14" t="s">
        <v>29</v>
      </c>
      <c r="C16" s="6">
        <v>238.27</v>
      </c>
      <c r="D16" s="6">
        <v>266.38</v>
      </c>
      <c r="E16" s="6">
        <v>289.47000000000003</v>
      </c>
      <c r="F16" s="6">
        <v>247.58</v>
      </c>
      <c r="G16" s="6">
        <v>187.44</v>
      </c>
      <c r="H16" s="6">
        <v>63.97</v>
      </c>
      <c r="I16" s="6">
        <v>109.68</v>
      </c>
      <c r="J16" s="6">
        <v>81.19</v>
      </c>
      <c r="K16" s="6">
        <v>67.599999999999994</v>
      </c>
      <c r="L16" s="6">
        <v>119.6</v>
      </c>
      <c r="M16" s="6">
        <v>28.8</v>
      </c>
      <c r="N16" s="6">
        <v>47.82</v>
      </c>
      <c r="O16" s="6">
        <v>17.03</v>
      </c>
      <c r="P16" s="6">
        <v>0</v>
      </c>
      <c r="Q16" s="6">
        <v>15.97</v>
      </c>
      <c r="R16" s="6">
        <v>48.26</v>
      </c>
      <c r="S16" s="6">
        <v>63.35</v>
      </c>
      <c r="T16" s="6">
        <v>141.1</v>
      </c>
      <c r="U16" s="6">
        <v>139.16999999999999</v>
      </c>
      <c r="V16" s="6">
        <v>54.99</v>
      </c>
      <c r="X16" s="14" t="s">
        <v>29</v>
      </c>
      <c r="Y16" s="29"/>
      <c r="Z16" s="25"/>
    </row>
    <row r="17" spans="2:26" x14ac:dyDescent="0.25">
      <c r="B17" s="14" t="s">
        <v>30</v>
      </c>
      <c r="C17" s="7">
        <v>253.39</v>
      </c>
      <c r="D17" s="7">
        <v>281.5</v>
      </c>
      <c r="E17" s="7">
        <v>304.60000000000002</v>
      </c>
      <c r="F17" s="7">
        <v>262.7</v>
      </c>
      <c r="G17" s="7">
        <v>202.56</v>
      </c>
      <c r="H17" s="7">
        <v>79.09</v>
      </c>
      <c r="I17" s="7">
        <v>96.77</v>
      </c>
      <c r="J17" s="7">
        <v>68.27</v>
      </c>
      <c r="K17" s="7">
        <v>82.72</v>
      </c>
      <c r="L17" s="7">
        <v>106.68</v>
      </c>
      <c r="M17" s="7">
        <v>15.89</v>
      </c>
      <c r="N17" s="7">
        <v>62.94</v>
      </c>
      <c r="O17" s="7">
        <v>32.15</v>
      </c>
      <c r="P17" s="7">
        <v>16.64</v>
      </c>
      <c r="Q17" s="7">
        <v>0</v>
      </c>
      <c r="R17" s="7">
        <v>35.340000000000003</v>
      </c>
      <c r="S17" s="7">
        <v>50.43</v>
      </c>
      <c r="T17" s="7">
        <v>156.22999999999999</v>
      </c>
      <c r="U17" s="7">
        <v>154.29</v>
      </c>
      <c r="V17" s="7">
        <v>42.08</v>
      </c>
      <c r="X17" s="14" t="s">
        <v>30</v>
      </c>
      <c r="Y17" s="29"/>
      <c r="Z17" s="25"/>
    </row>
    <row r="18" spans="2:26" x14ac:dyDescent="0.25">
      <c r="B18" s="14" t="s">
        <v>31</v>
      </c>
      <c r="C18" s="6">
        <v>286.58999999999997</v>
      </c>
      <c r="D18" s="6">
        <v>314.7</v>
      </c>
      <c r="E18" s="6">
        <v>337.8</v>
      </c>
      <c r="F18" s="6">
        <v>295.89999999999998</v>
      </c>
      <c r="G18" s="6">
        <v>235.77</v>
      </c>
      <c r="H18" s="6">
        <v>112.29</v>
      </c>
      <c r="I18" s="6">
        <v>72.08</v>
      </c>
      <c r="J18" s="6">
        <v>56.62</v>
      </c>
      <c r="K18" s="6">
        <v>115.93</v>
      </c>
      <c r="L18" s="6">
        <v>82</v>
      </c>
      <c r="M18" s="6">
        <v>26.07</v>
      </c>
      <c r="N18" s="6">
        <v>96.15</v>
      </c>
      <c r="O18" s="6">
        <v>65.349999999999994</v>
      </c>
      <c r="P18" s="6">
        <v>49.84</v>
      </c>
      <c r="Q18" s="6">
        <v>35.840000000000003</v>
      </c>
      <c r="R18" s="6">
        <v>0</v>
      </c>
      <c r="S18" s="6">
        <v>25.75</v>
      </c>
      <c r="T18" s="6">
        <v>189.43</v>
      </c>
      <c r="U18" s="6">
        <v>187.49</v>
      </c>
      <c r="V18" s="6">
        <v>54.47</v>
      </c>
      <c r="X18" s="14" t="s">
        <v>31</v>
      </c>
      <c r="Y18" s="29"/>
      <c r="Z18" s="25"/>
    </row>
    <row r="19" spans="2:26" x14ac:dyDescent="0.25">
      <c r="B19" s="14" t="s">
        <v>32</v>
      </c>
      <c r="C19" s="7">
        <v>301.17</v>
      </c>
      <c r="D19" s="7">
        <v>329.28</v>
      </c>
      <c r="E19" s="7">
        <v>352.38</v>
      </c>
      <c r="F19" s="7">
        <v>310.48</v>
      </c>
      <c r="G19" s="7">
        <v>250.35</v>
      </c>
      <c r="H19" s="7">
        <v>126.87</v>
      </c>
      <c r="I19" s="7">
        <v>48.95</v>
      </c>
      <c r="J19" s="7">
        <v>71.19</v>
      </c>
      <c r="K19" s="7">
        <v>130.51</v>
      </c>
      <c r="L19" s="7">
        <v>58.87</v>
      </c>
      <c r="M19" s="7">
        <v>40.65</v>
      </c>
      <c r="N19" s="7">
        <v>110.73</v>
      </c>
      <c r="O19" s="7">
        <v>79.930000000000007</v>
      </c>
      <c r="P19" s="7">
        <v>64.430000000000007</v>
      </c>
      <c r="Q19" s="7">
        <v>50.42</v>
      </c>
      <c r="R19" s="7">
        <v>25.37</v>
      </c>
      <c r="S19" s="7">
        <v>0</v>
      </c>
      <c r="T19" s="7">
        <v>204.01</v>
      </c>
      <c r="U19" s="7">
        <v>202.07</v>
      </c>
      <c r="V19" s="7">
        <v>69.05</v>
      </c>
      <c r="X19" s="14" t="s">
        <v>32</v>
      </c>
      <c r="Y19" s="29"/>
      <c r="Z19" s="25"/>
    </row>
    <row r="20" spans="2:26" x14ac:dyDescent="0.25">
      <c r="B20" s="14" t="s">
        <v>33</v>
      </c>
      <c r="C20" s="6">
        <v>128</v>
      </c>
      <c r="D20" s="6">
        <v>156.11000000000001</v>
      </c>
      <c r="E20" s="6">
        <v>179.2</v>
      </c>
      <c r="F20" s="6">
        <v>137.31</v>
      </c>
      <c r="G20" s="6">
        <v>77.17</v>
      </c>
      <c r="H20" s="6">
        <v>77.239999999999995</v>
      </c>
      <c r="I20" s="6">
        <v>248.35</v>
      </c>
      <c r="J20" s="6">
        <v>219.85</v>
      </c>
      <c r="K20" s="6">
        <v>71.900000000000006</v>
      </c>
      <c r="L20" s="6">
        <v>258.27</v>
      </c>
      <c r="M20" s="6">
        <v>167.47</v>
      </c>
      <c r="N20" s="6">
        <v>92.27</v>
      </c>
      <c r="O20" s="6">
        <v>123.16</v>
      </c>
      <c r="P20" s="6">
        <v>138.94</v>
      </c>
      <c r="Q20" s="6">
        <v>154.63999999999999</v>
      </c>
      <c r="R20" s="6">
        <v>186.93</v>
      </c>
      <c r="S20" s="6">
        <v>202.02</v>
      </c>
      <c r="T20" s="6">
        <v>0</v>
      </c>
      <c r="U20" s="6">
        <v>28.89</v>
      </c>
      <c r="V20" s="6">
        <v>172.2</v>
      </c>
      <c r="X20" s="14" t="s">
        <v>33</v>
      </c>
      <c r="Y20" s="29"/>
      <c r="Z20" s="25"/>
    </row>
    <row r="21" spans="2:26" x14ac:dyDescent="0.25">
      <c r="B21" s="14" t="s">
        <v>34</v>
      </c>
      <c r="C21" s="7">
        <v>107.17</v>
      </c>
      <c r="D21" s="7">
        <v>135.28</v>
      </c>
      <c r="E21" s="7">
        <v>158.38</v>
      </c>
      <c r="F21" s="7">
        <v>116.48</v>
      </c>
      <c r="G21" s="7">
        <v>56.34</v>
      </c>
      <c r="H21" s="7">
        <v>77.040000000000006</v>
      </c>
      <c r="I21" s="7">
        <v>248.15</v>
      </c>
      <c r="J21" s="7">
        <v>219.65</v>
      </c>
      <c r="K21" s="7">
        <v>71.7</v>
      </c>
      <c r="L21" s="7">
        <v>258.06</v>
      </c>
      <c r="M21" s="7">
        <v>167.27</v>
      </c>
      <c r="N21" s="7">
        <v>92.06</v>
      </c>
      <c r="O21" s="7">
        <v>122.96</v>
      </c>
      <c r="P21" s="7">
        <v>138.72999999999999</v>
      </c>
      <c r="Q21" s="7">
        <v>154.44</v>
      </c>
      <c r="R21" s="7">
        <v>186.72</v>
      </c>
      <c r="S21" s="7">
        <v>201.82</v>
      </c>
      <c r="T21" s="7">
        <v>28.37</v>
      </c>
      <c r="U21" s="7">
        <v>0</v>
      </c>
      <c r="V21" s="7">
        <v>172</v>
      </c>
      <c r="X21" s="14" t="s">
        <v>34</v>
      </c>
      <c r="Y21" s="29"/>
      <c r="Z21" s="25"/>
    </row>
    <row r="22" spans="2:26" ht="15.75" thickBot="1" x14ac:dyDescent="0.3">
      <c r="B22" s="14" t="s">
        <v>35</v>
      </c>
      <c r="C22" s="6">
        <v>272.97000000000003</v>
      </c>
      <c r="D22" s="6">
        <v>301.08</v>
      </c>
      <c r="E22" s="6">
        <v>324.18</v>
      </c>
      <c r="F22" s="6">
        <v>282.27999999999997</v>
      </c>
      <c r="G22" s="6">
        <v>222.14</v>
      </c>
      <c r="H22" s="6">
        <v>98.67</v>
      </c>
      <c r="I22" s="6">
        <v>115.63</v>
      </c>
      <c r="J22" s="6">
        <v>40.590000000000003</v>
      </c>
      <c r="K22" s="6">
        <v>102.31</v>
      </c>
      <c r="L22" s="6">
        <v>100.75</v>
      </c>
      <c r="M22" s="6">
        <v>34.770000000000003</v>
      </c>
      <c r="N22" s="6">
        <v>82.52</v>
      </c>
      <c r="O22" s="6">
        <v>49.97</v>
      </c>
      <c r="P22" s="6">
        <v>56.12</v>
      </c>
      <c r="Q22" s="6">
        <v>42.11</v>
      </c>
      <c r="R22" s="6">
        <v>54.2</v>
      </c>
      <c r="S22" s="6">
        <v>69.3</v>
      </c>
      <c r="T22" s="6">
        <v>175.81</v>
      </c>
      <c r="U22" s="6">
        <v>173.87</v>
      </c>
      <c r="V22" s="6">
        <v>0</v>
      </c>
      <c r="X22" s="14" t="s">
        <v>35</v>
      </c>
      <c r="Y22" s="30"/>
      <c r="Z22" s="26"/>
    </row>
    <row r="23" spans="2:26" ht="15.75" thickBot="1" x14ac:dyDescent="0.3"/>
    <row r="24" spans="2:26" x14ac:dyDescent="0.25">
      <c r="B24" s="27" t="s">
        <v>36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S14"/>
  <sheetViews>
    <sheetView showGridLines="0" zoomScale="90" zoomScaleNormal="90" workbookViewId="0">
      <selection activeCell="H18" sqref="H18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8.85546875" style="23" bestFit="1" customWidth="1"/>
    <col min="4" max="4" width="8.140625" style="23" bestFit="1" customWidth="1"/>
    <col min="5" max="5" width="10.5703125" style="23" bestFit="1" customWidth="1"/>
    <col min="6" max="6" width="4.7109375" style="23" customWidth="1"/>
    <col min="7" max="7" width="15" style="23" bestFit="1" customWidth="1"/>
    <col min="8" max="8" width="9.5703125" style="23" bestFit="1" customWidth="1"/>
    <col min="9" max="9" width="7.28515625" style="23" bestFit="1" customWidth="1"/>
    <col min="10" max="10" width="8.28515625" style="23" customWidth="1"/>
    <col min="11" max="11" width="9.140625" style="23"/>
    <col min="12" max="12" width="19.42578125" style="22" bestFit="1" customWidth="1"/>
    <col min="13" max="13" width="8.85546875" style="23" bestFit="1" customWidth="1"/>
    <col min="14" max="14" width="8.140625" style="23" bestFit="1" customWidth="1"/>
    <col min="15" max="15" width="10.5703125" style="23" bestFit="1" customWidth="1"/>
    <col min="16" max="16" width="6.28515625" style="23" customWidth="1"/>
    <col min="17" max="17" width="15" style="23" bestFit="1" customWidth="1"/>
    <col min="18" max="18" width="9.5703125" style="23" bestFit="1" customWidth="1"/>
    <col min="19" max="19" width="7.28515625" style="23" bestFit="1" customWidth="1"/>
    <col min="20" max="16384" width="9.140625" style="23"/>
  </cols>
  <sheetData>
    <row r="2" spans="2:19" ht="18.75" x14ac:dyDescent="0.3">
      <c r="B2" s="151" t="s">
        <v>93</v>
      </c>
      <c r="C2" s="152"/>
      <c r="D2" s="152"/>
      <c r="E2" s="152"/>
      <c r="F2" s="152"/>
      <c r="G2" s="152"/>
      <c r="H2" s="152"/>
      <c r="I2" s="153"/>
      <c r="L2" s="151" t="s">
        <v>94</v>
      </c>
      <c r="M2" s="152"/>
      <c r="N2" s="152"/>
      <c r="O2" s="152"/>
      <c r="P2" s="152"/>
      <c r="Q2" s="152"/>
      <c r="R2" s="152"/>
      <c r="S2" s="153"/>
    </row>
    <row r="3" spans="2:19" s="22" customFormat="1" ht="48" thickBot="1" x14ac:dyDescent="0.3">
      <c r="B3" s="42" t="s">
        <v>42</v>
      </c>
      <c r="C3" s="48" t="s">
        <v>45</v>
      </c>
      <c r="D3" s="48" t="s">
        <v>46</v>
      </c>
      <c r="E3" s="40" t="s">
        <v>49</v>
      </c>
      <c r="G3" s="5" t="s">
        <v>17</v>
      </c>
      <c r="H3" s="5" t="s">
        <v>102</v>
      </c>
      <c r="I3" s="5" t="s">
        <v>39</v>
      </c>
      <c r="J3" s="23"/>
      <c r="L3" s="42" t="s">
        <v>42</v>
      </c>
      <c r="M3" s="48" t="s">
        <v>45</v>
      </c>
      <c r="N3" s="48" t="s">
        <v>46</v>
      </c>
      <c r="O3" s="40" t="s">
        <v>49</v>
      </c>
      <c r="Q3" s="5" t="s">
        <v>17</v>
      </c>
      <c r="R3" s="5" t="s">
        <v>38</v>
      </c>
      <c r="S3" s="5" t="s">
        <v>39</v>
      </c>
    </row>
    <row r="4" spans="2:19" ht="16.5" thickBot="1" x14ac:dyDescent="0.3">
      <c r="B4" s="38" t="s">
        <v>43</v>
      </c>
      <c r="C4" s="37">
        <v>3047.2449999999999</v>
      </c>
      <c r="D4" s="37">
        <v>1221.9259999999999</v>
      </c>
      <c r="E4" s="36">
        <v>2883.75</v>
      </c>
      <c r="G4" s="14" t="s">
        <v>43</v>
      </c>
      <c r="H4" s="43">
        <f t="shared" ref="H4:H12" si="0">MAX(C4:E4)</f>
        <v>3047.2449999999999</v>
      </c>
      <c r="I4" s="24">
        <f t="shared" ref="I4:I12" si="1">_xlfn.RANK.EQ(H4,$H$4:$H$12,1)</f>
        <v>1</v>
      </c>
      <c r="L4" s="38" t="s">
        <v>43</v>
      </c>
      <c r="M4" s="37">
        <v>3047.2449999999999</v>
      </c>
      <c r="N4" s="37">
        <v>1221.9259999999999</v>
      </c>
      <c r="O4" s="36">
        <v>2883.75</v>
      </c>
      <c r="Q4" s="14" t="s">
        <v>43</v>
      </c>
      <c r="R4" s="43">
        <f>MAX(SUMPRODUCT(M4:O4,$M$14:$O$14))</f>
        <v>1181596.1782020498</v>
      </c>
      <c r="S4" s="24">
        <f>_xlfn.RANK.EQ(R4,$R$4:$R$12,1)</f>
        <v>7</v>
      </c>
    </row>
    <row r="5" spans="2:19" ht="16.5" thickBot="1" x14ac:dyDescent="0.3">
      <c r="B5" s="38" t="s">
        <v>44</v>
      </c>
      <c r="C5" s="37">
        <v>3248.3119999999999</v>
      </c>
      <c r="D5" s="37">
        <v>861.79899999999998</v>
      </c>
      <c r="E5" s="36">
        <v>903.00099999999998</v>
      </c>
      <c r="G5" s="14" t="s">
        <v>44</v>
      </c>
      <c r="H5" s="43">
        <f t="shared" si="0"/>
        <v>3248.3119999999999</v>
      </c>
      <c r="I5" s="24">
        <f t="shared" si="1"/>
        <v>2</v>
      </c>
      <c r="L5" s="38" t="s">
        <v>44</v>
      </c>
      <c r="M5" s="37">
        <v>3248.3119999999999</v>
      </c>
      <c r="N5" s="37">
        <v>861.79899999999998</v>
      </c>
      <c r="O5" s="36">
        <v>903.00099999999998</v>
      </c>
      <c r="Q5" s="14" t="s">
        <v>44</v>
      </c>
      <c r="R5" s="43">
        <f t="shared" ref="R5:R12" si="2">MAX(SUMPRODUCT(M5:O5,$M$14:$O$14))</f>
        <v>749353.5090542736</v>
      </c>
      <c r="S5" s="24">
        <f t="shared" ref="S5:S12" si="3">_xlfn.RANK.EQ(R5,$R$4:$R$12,1)</f>
        <v>1</v>
      </c>
    </row>
    <row r="6" spans="2:19" ht="16.5" thickBot="1" x14ac:dyDescent="0.3">
      <c r="B6" s="38" t="s">
        <v>41</v>
      </c>
      <c r="C6" s="37">
        <v>4259.7610000000004</v>
      </c>
      <c r="D6" s="37">
        <v>2395.0770000000002</v>
      </c>
      <c r="E6" s="36">
        <v>614.59400000000005</v>
      </c>
      <c r="G6" s="14" t="s">
        <v>41</v>
      </c>
      <c r="H6" s="43">
        <f t="shared" si="0"/>
        <v>4259.7610000000004</v>
      </c>
      <c r="I6" s="24">
        <f t="shared" si="1"/>
        <v>7</v>
      </c>
      <c r="L6" s="38" t="s">
        <v>41</v>
      </c>
      <c r="M6" s="37">
        <v>4259.7610000000004</v>
      </c>
      <c r="N6" s="37">
        <v>2395.0770000000002</v>
      </c>
      <c r="O6" s="36">
        <v>614.59400000000005</v>
      </c>
      <c r="Q6" s="14" t="s">
        <v>41</v>
      </c>
      <c r="R6" s="43">
        <f t="shared" si="2"/>
        <v>1027269.2102775322</v>
      </c>
      <c r="S6" s="24">
        <f t="shared" si="3"/>
        <v>5</v>
      </c>
    </row>
    <row r="7" spans="2:19" ht="16.5" thickBot="1" x14ac:dyDescent="0.3">
      <c r="B7" s="38" t="s">
        <v>45</v>
      </c>
      <c r="C7" s="37"/>
      <c r="D7" s="37">
        <v>3894.752</v>
      </c>
      <c r="E7" s="36">
        <v>3874.7139999999999</v>
      </c>
      <c r="G7" s="14" t="s">
        <v>45</v>
      </c>
      <c r="H7" s="43">
        <f t="shared" si="0"/>
        <v>3894.752</v>
      </c>
      <c r="I7" s="24">
        <f t="shared" si="1"/>
        <v>5</v>
      </c>
      <c r="L7" s="38" t="s">
        <v>45</v>
      </c>
      <c r="M7" s="37"/>
      <c r="N7" s="37">
        <v>3894.752</v>
      </c>
      <c r="O7" s="36">
        <v>3874.7139999999999</v>
      </c>
      <c r="Q7" s="14" t="s">
        <v>45</v>
      </c>
      <c r="R7" s="43">
        <f t="shared" si="2"/>
        <v>1312316.2901574515</v>
      </c>
      <c r="S7" s="24">
        <f t="shared" si="3"/>
        <v>8</v>
      </c>
    </row>
    <row r="8" spans="2:19" ht="16.5" thickBot="1" x14ac:dyDescent="0.3">
      <c r="B8" s="38" t="s">
        <v>46</v>
      </c>
      <c r="C8" s="37">
        <v>3891.6289999999999</v>
      </c>
      <c r="D8" s="37"/>
      <c r="E8" s="36">
        <v>1813.665</v>
      </c>
      <c r="G8" s="14" t="s">
        <v>46</v>
      </c>
      <c r="H8" s="43">
        <f t="shared" si="0"/>
        <v>3891.6289999999999</v>
      </c>
      <c r="I8" s="24">
        <f t="shared" si="1"/>
        <v>4</v>
      </c>
      <c r="L8" s="38" t="s">
        <v>46</v>
      </c>
      <c r="M8" s="37">
        <v>3891.6289999999999</v>
      </c>
      <c r="N8" s="37"/>
      <c r="O8" s="36">
        <v>1813.665</v>
      </c>
      <c r="Q8" s="14" t="s">
        <v>46</v>
      </c>
      <c r="R8" s="43">
        <f t="shared" si="2"/>
        <v>917093.49531700299</v>
      </c>
      <c r="S8" s="24">
        <f t="shared" si="3"/>
        <v>4</v>
      </c>
    </row>
    <row r="9" spans="2:19" ht="16.5" thickBot="1" x14ac:dyDescent="0.3">
      <c r="B9" s="38" t="s">
        <v>47</v>
      </c>
      <c r="C9" s="37">
        <v>4293.5309999999999</v>
      </c>
      <c r="D9" s="37">
        <v>2428.8470000000002</v>
      </c>
      <c r="E9" s="36">
        <v>648.36400000000003</v>
      </c>
      <c r="G9" s="14" t="s">
        <v>47</v>
      </c>
      <c r="H9" s="43">
        <f t="shared" si="0"/>
        <v>4293.5309999999999</v>
      </c>
      <c r="I9" s="24">
        <f t="shared" si="1"/>
        <v>8</v>
      </c>
      <c r="L9" s="38" t="s">
        <v>47</v>
      </c>
      <c r="M9" s="37">
        <v>4293.5309999999999</v>
      </c>
      <c r="N9" s="37">
        <v>2428.8470000000002</v>
      </c>
      <c r="O9" s="36">
        <v>648.36400000000003</v>
      </c>
      <c r="Q9" s="14" t="s">
        <v>47</v>
      </c>
      <c r="R9" s="43">
        <f t="shared" si="2"/>
        <v>1043356.6394657553</v>
      </c>
      <c r="S9" s="24">
        <f t="shared" si="3"/>
        <v>6</v>
      </c>
    </row>
    <row r="10" spans="2:19" ht="16.5" thickBot="1" x14ac:dyDescent="0.3">
      <c r="B10" s="39" t="s">
        <v>48</v>
      </c>
      <c r="C10" s="37">
        <v>3946.6509999999998</v>
      </c>
      <c r="D10" s="37">
        <v>1890.09</v>
      </c>
      <c r="E10" s="36">
        <v>77.659000000000006</v>
      </c>
      <c r="G10" s="14" t="s">
        <v>48</v>
      </c>
      <c r="H10" s="43">
        <f t="shared" si="0"/>
        <v>3946.6509999999998</v>
      </c>
      <c r="I10" s="24">
        <f t="shared" si="1"/>
        <v>6</v>
      </c>
      <c r="L10" s="39" t="s">
        <v>48</v>
      </c>
      <c r="M10" s="37">
        <v>3946.6509999999998</v>
      </c>
      <c r="N10" s="37">
        <v>1890.09</v>
      </c>
      <c r="O10" s="36">
        <v>77.659000000000006</v>
      </c>
      <c r="Q10" s="14" t="s">
        <v>48</v>
      </c>
      <c r="R10" s="43">
        <f t="shared" si="2"/>
        <v>806581.41086731688</v>
      </c>
      <c r="S10" s="24">
        <f t="shared" si="3"/>
        <v>3</v>
      </c>
    </row>
    <row r="11" spans="2:19" ht="16.5" thickBot="1" x14ac:dyDescent="0.3">
      <c r="B11" s="39" t="s">
        <v>49</v>
      </c>
      <c r="C11" s="37">
        <v>3872.47</v>
      </c>
      <c r="D11" s="37">
        <v>1815.91</v>
      </c>
      <c r="E11" s="36"/>
      <c r="G11" s="14" t="s">
        <v>49</v>
      </c>
      <c r="H11" s="43">
        <f t="shared" si="0"/>
        <v>3872.47</v>
      </c>
      <c r="I11" s="24">
        <f t="shared" si="1"/>
        <v>3</v>
      </c>
      <c r="L11" s="39" t="s">
        <v>49</v>
      </c>
      <c r="M11" s="37">
        <v>3872.47</v>
      </c>
      <c r="N11" s="37">
        <v>1815.91</v>
      </c>
      <c r="O11" s="36"/>
      <c r="Q11" s="14" t="s">
        <v>49</v>
      </c>
      <c r="R11" s="43">
        <f t="shared" si="2"/>
        <v>770516.93358279183</v>
      </c>
      <c r="S11" s="24">
        <f t="shared" si="3"/>
        <v>2</v>
      </c>
    </row>
    <row r="12" spans="2:19" ht="15.75" x14ac:dyDescent="0.25">
      <c r="B12" s="39" t="s">
        <v>50</v>
      </c>
      <c r="C12" s="37">
        <v>4711.723</v>
      </c>
      <c r="D12" s="37">
        <v>2110.8310000000001</v>
      </c>
      <c r="E12" s="36">
        <v>2635.4569999999999</v>
      </c>
      <c r="G12" s="14" t="s">
        <v>50</v>
      </c>
      <c r="H12" s="43">
        <f t="shared" si="0"/>
        <v>4711.723</v>
      </c>
      <c r="I12" s="24">
        <f t="shared" si="1"/>
        <v>9</v>
      </c>
      <c r="L12" s="39" t="s">
        <v>50</v>
      </c>
      <c r="M12" s="37">
        <v>4711.723</v>
      </c>
      <c r="N12" s="37">
        <v>2110.8310000000001</v>
      </c>
      <c r="O12" s="36">
        <v>2635.4569999999999</v>
      </c>
      <c r="Q12" s="14" t="s">
        <v>50</v>
      </c>
      <c r="R12" s="43">
        <f t="shared" si="2"/>
        <v>1474955.6592852706</v>
      </c>
      <c r="S12" s="24">
        <f t="shared" si="3"/>
        <v>9</v>
      </c>
    </row>
    <row r="13" spans="2:19" ht="15.75" thickBot="1" x14ac:dyDescent="0.3"/>
    <row r="14" spans="2:19" x14ac:dyDescent="0.25">
      <c r="F14" s="41"/>
      <c r="H14" s="41"/>
      <c r="L14" s="27" t="s">
        <v>101</v>
      </c>
      <c r="M14" s="28">
        <v>138.36342252525648</v>
      </c>
      <c r="N14" s="28">
        <v>129.25130141714726</v>
      </c>
      <c r="O14" s="28">
        <v>208.76754399432178</v>
      </c>
      <c r="P14" s="41"/>
      <c r="R14" s="41"/>
    </row>
  </sheetData>
  <mergeCells count="2">
    <mergeCell ref="B2:I2"/>
    <mergeCell ref="L2:S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J13"/>
  <sheetViews>
    <sheetView showGridLines="0" zoomScale="90" zoomScaleNormal="90" workbookViewId="0">
      <selection activeCell="L16" sqref="L16"/>
    </sheetView>
  </sheetViews>
  <sheetFormatPr defaultRowHeight="15" x14ac:dyDescent="0.25"/>
  <cols>
    <col min="1" max="1" width="2.140625" style="23" customWidth="1"/>
    <col min="2" max="2" width="19.42578125" style="22" bestFit="1" customWidth="1"/>
    <col min="3" max="3" width="8.85546875" style="23" bestFit="1" customWidth="1"/>
    <col min="4" max="4" width="8.140625" style="23" bestFit="1" customWidth="1"/>
    <col min="5" max="5" width="10.5703125" style="23" bestFit="1" customWidth="1"/>
    <col min="6" max="6" width="10.42578125" style="23" customWidth="1"/>
    <col min="7" max="7" width="15" style="23" bestFit="1" customWidth="1"/>
    <col min="8" max="8" width="9.5703125" style="23" bestFit="1" customWidth="1"/>
    <col min="9" max="9" width="7.28515625" style="23" bestFit="1" customWidth="1"/>
    <col min="10" max="10" width="8.28515625" style="23" customWidth="1"/>
    <col min="11" max="16384" width="9.140625" style="23"/>
  </cols>
  <sheetData>
    <row r="1" spans="2:10" x14ac:dyDescent="0.25">
      <c r="C1" s="49"/>
      <c r="D1" s="49"/>
      <c r="E1" s="49"/>
    </row>
    <row r="2" spans="2:10" s="22" customFormat="1" ht="48" thickBot="1" x14ac:dyDescent="0.3">
      <c r="B2" s="42" t="s">
        <v>42</v>
      </c>
      <c r="C2" s="48" t="s">
        <v>45</v>
      </c>
      <c r="D2" s="48" t="s">
        <v>46</v>
      </c>
      <c r="E2" s="40" t="s">
        <v>49</v>
      </c>
      <c r="G2" s="5" t="s">
        <v>17</v>
      </c>
      <c r="H2" s="5" t="s">
        <v>38</v>
      </c>
      <c r="I2" s="5" t="s">
        <v>39</v>
      </c>
      <c r="J2" s="23"/>
    </row>
    <row r="3" spans="2:10" ht="16.5" thickBot="1" x14ac:dyDescent="0.3">
      <c r="B3" s="38" t="s">
        <v>43</v>
      </c>
      <c r="C3" s="37">
        <v>3047.2449999999999</v>
      </c>
      <c r="D3" s="37">
        <v>1221.9259999999999</v>
      </c>
      <c r="E3" s="36">
        <v>2883.75</v>
      </c>
      <c r="G3" s="14" t="s">
        <v>43</v>
      </c>
      <c r="H3" s="43">
        <f>MAX(SUMPRODUCT(C3:E3,$C$13:$E$13))</f>
        <v>1181596.1782020498</v>
      </c>
      <c r="I3" s="24">
        <f t="shared" ref="I3:I11" si="0">_xlfn.RANK.EQ(H3,$H$3:$H$11,1)</f>
        <v>7</v>
      </c>
    </row>
    <row r="4" spans="2:10" ht="16.5" thickBot="1" x14ac:dyDescent="0.3">
      <c r="B4" s="38" t="s">
        <v>44</v>
      </c>
      <c r="C4" s="37">
        <v>3248.3119999999999</v>
      </c>
      <c r="D4" s="37">
        <v>861.79899999999998</v>
      </c>
      <c r="E4" s="36">
        <v>903.00099999999998</v>
      </c>
      <c r="G4" s="14" t="s">
        <v>44</v>
      </c>
      <c r="H4" s="43">
        <f t="shared" ref="H4:H11" si="1">MAX(SUMPRODUCT(C4:E4,$C$13:$E$13))</f>
        <v>749353.5090542736</v>
      </c>
      <c r="I4" s="24">
        <f t="shared" si="0"/>
        <v>1</v>
      </c>
    </row>
    <row r="5" spans="2:10" ht="16.5" thickBot="1" x14ac:dyDescent="0.3">
      <c r="B5" s="38" t="s">
        <v>41</v>
      </c>
      <c r="C5" s="37">
        <v>4259.7610000000004</v>
      </c>
      <c r="D5" s="37">
        <v>2395.0770000000002</v>
      </c>
      <c r="E5" s="36">
        <v>614.59400000000005</v>
      </c>
      <c r="G5" s="14" t="s">
        <v>41</v>
      </c>
      <c r="H5" s="43">
        <f t="shared" si="1"/>
        <v>1027269.2102775322</v>
      </c>
      <c r="I5" s="24">
        <f t="shared" si="0"/>
        <v>5</v>
      </c>
    </row>
    <row r="6" spans="2:10" ht="16.5" thickBot="1" x14ac:dyDescent="0.3">
      <c r="B6" s="38" t="s">
        <v>45</v>
      </c>
      <c r="C6" s="37"/>
      <c r="D6" s="37">
        <v>3894.752</v>
      </c>
      <c r="E6" s="36">
        <v>3874.7139999999999</v>
      </c>
      <c r="G6" s="14" t="s">
        <v>45</v>
      </c>
      <c r="H6" s="43">
        <f t="shared" si="1"/>
        <v>1312316.2901574515</v>
      </c>
      <c r="I6" s="24">
        <f t="shared" si="0"/>
        <v>8</v>
      </c>
    </row>
    <row r="7" spans="2:10" ht="16.5" thickBot="1" x14ac:dyDescent="0.3">
      <c r="B7" s="38" t="s">
        <v>46</v>
      </c>
      <c r="C7" s="37">
        <v>3891.6289999999999</v>
      </c>
      <c r="D7" s="37"/>
      <c r="E7" s="36">
        <v>1813.665</v>
      </c>
      <c r="G7" s="14" t="s">
        <v>46</v>
      </c>
      <c r="H7" s="43">
        <f t="shared" si="1"/>
        <v>917093.49531700299</v>
      </c>
      <c r="I7" s="24">
        <f t="shared" si="0"/>
        <v>4</v>
      </c>
    </row>
    <row r="8" spans="2:10" ht="16.5" thickBot="1" x14ac:dyDescent="0.3">
      <c r="B8" s="38" t="s">
        <v>47</v>
      </c>
      <c r="C8" s="37">
        <v>4293.5309999999999</v>
      </c>
      <c r="D8" s="37">
        <v>2428.8470000000002</v>
      </c>
      <c r="E8" s="36">
        <v>648.36400000000003</v>
      </c>
      <c r="G8" s="14" t="s">
        <v>47</v>
      </c>
      <c r="H8" s="43">
        <f t="shared" si="1"/>
        <v>1043356.6394657553</v>
      </c>
      <c r="I8" s="24">
        <f t="shared" si="0"/>
        <v>6</v>
      </c>
    </row>
    <row r="9" spans="2:10" ht="16.5" thickBot="1" x14ac:dyDescent="0.3">
      <c r="B9" s="39" t="s">
        <v>48</v>
      </c>
      <c r="C9" s="37">
        <v>3946.6509999999998</v>
      </c>
      <c r="D9" s="37">
        <v>1890.09</v>
      </c>
      <c r="E9" s="36">
        <v>77.659000000000006</v>
      </c>
      <c r="G9" s="14" t="s">
        <v>48</v>
      </c>
      <c r="H9" s="43">
        <f t="shared" si="1"/>
        <v>806581.41086731688</v>
      </c>
      <c r="I9" s="24">
        <f t="shared" si="0"/>
        <v>3</v>
      </c>
    </row>
    <row r="10" spans="2:10" ht="16.5" thickBot="1" x14ac:dyDescent="0.3">
      <c r="B10" s="39" t="s">
        <v>49</v>
      </c>
      <c r="C10" s="37">
        <v>3872.47</v>
      </c>
      <c r="D10" s="37">
        <v>1815.91</v>
      </c>
      <c r="E10" s="36"/>
      <c r="G10" s="14" t="s">
        <v>49</v>
      </c>
      <c r="H10" s="43">
        <f t="shared" si="1"/>
        <v>770516.93358279183</v>
      </c>
      <c r="I10" s="24">
        <f t="shared" si="0"/>
        <v>2</v>
      </c>
    </row>
    <row r="11" spans="2:10" ht="15.75" x14ac:dyDescent="0.25">
      <c r="B11" s="39" t="s">
        <v>50</v>
      </c>
      <c r="C11" s="37">
        <v>4711.723</v>
      </c>
      <c r="D11" s="37">
        <v>2110.8310000000001</v>
      </c>
      <c r="E11" s="36">
        <v>2635.4569999999999</v>
      </c>
      <c r="G11" s="14" t="s">
        <v>50</v>
      </c>
      <c r="H11" s="43">
        <f t="shared" si="1"/>
        <v>1474955.6592852706</v>
      </c>
      <c r="I11" s="24">
        <f t="shared" si="0"/>
        <v>9</v>
      </c>
    </row>
    <row r="12" spans="2:10" ht="15.75" thickBot="1" x14ac:dyDescent="0.3"/>
    <row r="13" spans="2:10" x14ac:dyDescent="0.25">
      <c r="B13" s="27" t="s">
        <v>101</v>
      </c>
      <c r="C13" s="28">
        <v>138.36342252525648</v>
      </c>
      <c r="D13" s="28">
        <v>129.25130141714726</v>
      </c>
      <c r="E13" s="28">
        <v>208.76754399432178</v>
      </c>
      <c r="F13" s="41"/>
      <c r="H13" s="4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P11"/>
  <sheetViews>
    <sheetView showGridLines="0" workbookViewId="0">
      <selection activeCell="J12" sqref="J12"/>
    </sheetView>
  </sheetViews>
  <sheetFormatPr defaultRowHeight="15" x14ac:dyDescent="0.25"/>
  <cols>
    <col min="1" max="1" width="4.7109375" style="53" customWidth="1"/>
    <col min="2" max="2" width="15" style="53" bestFit="1" customWidth="1"/>
    <col min="3" max="3" width="10.5703125" style="53" bestFit="1" customWidth="1"/>
    <col min="4" max="4" width="8.85546875" style="53" bestFit="1" customWidth="1"/>
    <col min="5" max="5" width="10.7109375" style="53" bestFit="1" customWidth="1"/>
    <col min="6" max="6" width="26.7109375" style="53" customWidth="1"/>
    <col min="7" max="7" width="3.28515625" style="53" customWidth="1"/>
    <col min="8" max="16384" width="9.140625" style="53"/>
  </cols>
  <sheetData>
    <row r="2" spans="2:16" ht="30" x14ac:dyDescent="0.25">
      <c r="B2" s="51" t="s">
        <v>17</v>
      </c>
      <c r="C2" s="51" t="s">
        <v>92</v>
      </c>
      <c r="D2" s="51" t="s">
        <v>93</v>
      </c>
      <c r="E2" s="51" t="s">
        <v>94</v>
      </c>
      <c r="F2" s="51" t="s">
        <v>193</v>
      </c>
    </row>
    <row r="3" spans="2:16" ht="15" customHeight="1" x14ac:dyDescent="0.25">
      <c r="B3" s="52" t="s">
        <v>43</v>
      </c>
      <c r="C3" s="13">
        <v>2</v>
      </c>
      <c r="D3" s="13">
        <v>1</v>
      </c>
      <c r="E3" s="13">
        <v>7</v>
      </c>
      <c r="F3" s="13" t="s">
        <v>96</v>
      </c>
      <c r="H3" s="154" t="s">
        <v>194</v>
      </c>
      <c r="I3" s="154"/>
      <c r="J3" s="154"/>
      <c r="K3" s="154"/>
      <c r="L3" s="154"/>
      <c r="M3" s="154"/>
      <c r="N3" s="154"/>
      <c r="O3" s="154"/>
      <c r="P3" s="154"/>
    </row>
    <row r="4" spans="2:16" x14ac:dyDescent="0.25">
      <c r="B4" s="52" t="s">
        <v>44</v>
      </c>
      <c r="C4" s="13">
        <v>2</v>
      </c>
      <c r="D4" s="13">
        <v>2</v>
      </c>
      <c r="E4" s="13">
        <v>1</v>
      </c>
      <c r="F4" s="13" t="s">
        <v>97</v>
      </c>
      <c r="H4" s="154"/>
      <c r="I4" s="154"/>
      <c r="J4" s="154"/>
      <c r="K4" s="154"/>
      <c r="L4" s="154"/>
      <c r="M4" s="154"/>
      <c r="N4" s="154"/>
      <c r="O4" s="154"/>
      <c r="P4" s="154"/>
    </row>
    <row r="5" spans="2:16" x14ac:dyDescent="0.25">
      <c r="B5" s="52" t="s">
        <v>41</v>
      </c>
      <c r="C5" s="13">
        <v>6</v>
      </c>
      <c r="D5" s="13">
        <v>7</v>
      </c>
      <c r="E5" s="13">
        <v>5</v>
      </c>
      <c r="F5" s="13" t="s">
        <v>96</v>
      </c>
      <c r="H5" s="154"/>
      <c r="I5" s="154"/>
      <c r="J5" s="154"/>
      <c r="K5" s="154"/>
      <c r="L5" s="154"/>
      <c r="M5" s="154"/>
      <c r="N5" s="154"/>
      <c r="O5" s="154"/>
      <c r="P5" s="154"/>
    </row>
    <row r="6" spans="2:16" x14ac:dyDescent="0.25">
      <c r="B6" s="52" t="s">
        <v>45</v>
      </c>
      <c r="C6" s="13">
        <v>9</v>
      </c>
      <c r="D6" s="13">
        <v>5</v>
      </c>
      <c r="E6" s="13">
        <v>8</v>
      </c>
      <c r="F6" s="13" t="s">
        <v>96</v>
      </c>
    </row>
    <row r="7" spans="2:16" x14ac:dyDescent="0.25">
      <c r="B7" s="52" t="s">
        <v>46</v>
      </c>
      <c r="C7" s="13">
        <v>1</v>
      </c>
      <c r="D7" s="13">
        <v>4</v>
      </c>
      <c r="E7" s="13">
        <v>4</v>
      </c>
      <c r="F7" s="13" t="s">
        <v>99</v>
      </c>
    </row>
    <row r="8" spans="2:16" x14ac:dyDescent="0.25">
      <c r="B8" s="52" t="s">
        <v>47</v>
      </c>
      <c r="C8" s="13">
        <v>4</v>
      </c>
      <c r="D8" s="13">
        <v>8</v>
      </c>
      <c r="E8" s="13">
        <v>6</v>
      </c>
      <c r="F8" s="13" t="s">
        <v>96</v>
      </c>
    </row>
    <row r="9" spans="2:16" x14ac:dyDescent="0.25">
      <c r="B9" s="52" t="s">
        <v>48</v>
      </c>
      <c r="C9" s="13">
        <v>8</v>
      </c>
      <c r="D9" s="13">
        <v>6</v>
      </c>
      <c r="E9" s="13">
        <v>3</v>
      </c>
      <c r="F9" s="13" t="s">
        <v>96</v>
      </c>
    </row>
    <row r="10" spans="2:16" x14ac:dyDescent="0.25">
      <c r="B10" s="52" t="s">
        <v>49</v>
      </c>
      <c r="C10" s="13">
        <v>5</v>
      </c>
      <c r="D10" s="13">
        <v>3</v>
      </c>
      <c r="E10" s="13">
        <v>2</v>
      </c>
      <c r="F10" s="13" t="s">
        <v>98</v>
      </c>
    </row>
    <row r="11" spans="2:16" x14ac:dyDescent="0.25">
      <c r="B11" s="52" t="s">
        <v>50</v>
      </c>
      <c r="C11" s="13">
        <v>6</v>
      </c>
      <c r="D11" s="13">
        <v>9</v>
      </c>
      <c r="E11" s="13">
        <v>9</v>
      </c>
      <c r="F11" s="13" t="s">
        <v>96</v>
      </c>
    </row>
  </sheetData>
  <mergeCells count="1">
    <mergeCell ref="H3:P5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Y945"/>
  <sheetViews>
    <sheetView showGridLines="0" workbookViewId="0">
      <selection activeCell="J19" sqref="J19"/>
    </sheetView>
  </sheetViews>
  <sheetFormatPr defaultColWidth="14.42578125" defaultRowHeight="15" customHeight="1" x14ac:dyDescent="0.25"/>
  <cols>
    <col min="1" max="1" width="6.140625" style="55" customWidth="1"/>
    <col min="2" max="2" width="17.5703125" style="55" bestFit="1" customWidth="1"/>
    <col min="3" max="3" width="18.140625" style="55" customWidth="1"/>
    <col min="4" max="4" width="19.5703125" style="55" bestFit="1" customWidth="1"/>
    <col min="5" max="6" width="19.7109375" style="55" customWidth="1"/>
    <col min="7" max="7" width="18.5703125" style="55" customWidth="1"/>
    <col min="8" max="8" width="14.7109375" style="55" customWidth="1"/>
    <col min="9" max="9" width="17.42578125" style="55" customWidth="1"/>
    <col min="10" max="12" width="10.28515625" style="55" customWidth="1"/>
    <col min="13" max="13" width="14.42578125" style="55" customWidth="1"/>
    <col min="14" max="14" width="14.85546875" style="55" customWidth="1"/>
    <col min="15" max="25" width="8.7109375" style="55" customWidth="1"/>
    <col min="26" max="16384" width="14.42578125" style="55"/>
  </cols>
  <sheetData>
    <row r="1" spans="1:25" x14ac:dyDescent="0.25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</row>
    <row r="2" spans="1:25" ht="15.75" x14ac:dyDescent="0.25">
      <c r="A2" s="54"/>
      <c r="B2" s="54"/>
      <c r="C2" s="56" t="s">
        <v>103</v>
      </c>
      <c r="D2" s="56" t="s">
        <v>104</v>
      </c>
      <c r="E2" s="57" t="s">
        <v>105</v>
      </c>
      <c r="F2" s="57" t="s">
        <v>106</v>
      </c>
      <c r="G2" s="57" t="s">
        <v>107</v>
      </c>
      <c r="H2" s="56" t="s">
        <v>108</v>
      </c>
      <c r="I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</row>
    <row r="3" spans="1:25" ht="22.5" x14ac:dyDescent="0.25">
      <c r="A3" s="54"/>
      <c r="B3" s="58" t="s">
        <v>109</v>
      </c>
      <c r="C3" s="59">
        <v>20</v>
      </c>
      <c r="D3" s="59">
        <v>0.14499999999999999</v>
      </c>
      <c r="E3" s="59">
        <v>1.2</v>
      </c>
      <c r="F3" s="59">
        <v>1</v>
      </c>
      <c r="G3" s="59">
        <f>D3*E3*F3</f>
        <v>0.17399999999999999</v>
      </c>
      <c r="H3" s="59">
        <v>1200</v>
      </c>
      <c r="I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</row>
    <row r="4" spans="1:25" x14ac:dyDescent="0.25">
      <c r="A4" s="54"/>
      <c r="B4" s="54"/>
      <c r="C4" s="54"/>
      <c r="D4" s="60"/>
      <c r="E4" s="54"/>
      <c r="F4" s="54"/>
      <c r="G4" s="54"/>
      <c r="H4" s="54"/>
      <c r="I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</row>
    <row r="5" spans="1:25" ht="15.75" x14ac:dyDescent="0.25">
      <c r="A5" s="54"/>
      <c r="B5" s="56" t="s">
        <v>110</v>
      </c>
      <c r="C5" s="56" t="s">
        <v>111</v>
      </c>
      <c r="D5" s="61" t="s">
        <v>104</v>
      </c>
      <c r="E5" s="62" t="s">
        <v>105</v>
      </c>
      <c r="F5" s="62" t="s">
        <v>106</v>
      </c>
      <c r="G5" s="56" t="s">
        <v>112</v>
      </c>
      <c r="H5" s="54"/>
      <c r="I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</row>
    <row r="6" spans="1:25" ht="15.75" x14ac:dyDescent="0.25">
      <c r="A6" s="54"/>
      <c r="B6" s="63" t="s">
        <v>113</v>
      </c>
      <c r="C6" s="64">
        <v>6000</v>
      </c>
      <c r="D6" s="64">
        <v>4.4000000000000004</v>
      </c>
      <c r="E6" s="64">
        <v>2.6</v>
      </c>
      <c r="F6" s="64">
        <v>14</v>
      </c>
      <c r="G6" s="64">
        <f t="shared" ref="G6:G9" si="0">D6*E6*F6</f>
        <v>160.16000000000003</v>
      </c>
      <c r="H6" s="54"/>
      <c r="I6" s="54"/>
      <c r="J6" s="54"/>
      <c r="K6" s="65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</row>
    <row r="7" spans="1:25" ht="15.75" x14ac:dyDescent="0.25">
      <c r="A7" s="54"/>
      <c r="B7" s="63" t="s">
        <v>114</v>
      </c>
      <c r="C7" s="66">
        <v>14000</v>
      </c>
      <c r="D7" s="66">
        <v>4.4000000000000004</v>
      </c>
      <c r="E7" s="66">
        <v>2.6</v>
      </c>
      <c r="F7" s="66">
        <v>14</v>
      </c>
      <c r="G7" s="66">
        <f t="shared" si="0"/>
        <v>160.16000000000003</v>
      </c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</row>
    <row r="8" spans="1:25" ht="15.75" x14ac:dyDescent="0.25">
      <c r="A8" s="54"/>
      <c r="B8" s="63" t="s">
        <v>115</v>
      </c>
      <c r="C8" s="66">
        <v>27000</v>
      </c>
      <c r="D8" s="64">
        <v>2.5910000000000002</v>
      </c>
      <c r="E8" s="64">
        <v>2.4380000000000002</v>
      </c>
      <c r="F8" s="64">
        <v>12.035</v>
      </c>
      <c r="G8" s="67">
        <f t="shared" si="0"/>
        <v>76.023386030000012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</row>
    <row r="9" spans="1:25" ht="15.75" x14ac:dyDescent="0.25">
      <c r="A9" s="54"/>
      <c r="B9" s="63" t="s">
        <v>116</v>
      </c>
      <c r="C9" s="66">
        <v>21000</v>
      </c>
      <c r="D9" s="66">
        <v>2.5910000000000002</v>
      </c>
      <c r="E9" s="64">
        <v>2.4380000000000002</v>
      </c>
      <c r="F9" s="66">
        <v>6.0579999999999998</v>
      </c>
      <c r="G9" s="67">
        <f t="shared" si="0"/>
        <v>38.267525764000005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</row>
    <row r="10" spans="1:25" x14ac:dyDescent="0.25">
      <c r="A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</row>
    <row r="11" spans="1:25" ht="15.75" x14ac:dyDescent="0.25">
      <c r="A11" s="54"/>
      <c r="B11" s="56" t="s">
        <v>117</v>
      </c>
      <c r="C11" s="56" t="s">
        <v>118</v>
      </c>
      <c r="D11" s="56" t="s">
        <v>104</v>
      </c>
      <c r="E11" s="56" t="s">
        <v>105</v>
      </c>
      <c r="F11" s="56" t="s">
        <v>106</v>
      </c>
      <c r="G11" s="56" t="s">
        <v>112</v>
      </c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</row>
    <row r="12" spans="1:25" x14ac:dyDescent="0.25">
      <c r="A12" s="54"/>
      <c r="B12" s="68" t="s">
        <v>119</v>
      </c>
      <c r="C12" s="59">
        <v>32.4</v>
      </c>
      <c r="D12" s="59">
        <v>0.1177</v>
      </c>
      <c r="E12" s="59">
        <v>0.5</v>
      </c>
      <c r="F12" s="59">
        <v>0.5</v>
      </c>
      <c r="G12" s="69">
        <f t="shared" ref="G12:G14" si="1">F12*E12*D12</f>
        <v>2.9425E-2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25" x14ac:dyDescent="0.25">
      <c r="A13" s="54"/>
      <c r="B13" s="68" t="s">
        <v>120</v>
      </c>
      <c r="C13" s="59">
        <v>28.5</v>
      </c>
      <c r="D13" s="59">
        <v>0.10589999999999999</v>
      </c>
      <c r="E13" s="59">
        <v>0.6</v>
      </c>
      <c r="F13" s="59">
        <v>0.6</v>
      </c>
      <c r="G13" s="69">
        <f t="shared" si="1"/>
        <v>3.8123999999999998E-2</v>
      </c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</row>
    <row r="14" spans="1:25" ht="15.75" customHeight="1" x14ac:dyDescent="0.25">
      <c r="A14" s="54"/>
      <c r="B14" s="68" t="s">
        <v>121</v>
      </c>
      <c r="C14" s="59">
        <v>42.2</v>
      </c>
      <c r="D14" s="59">
        <v>0.1048</v>
      </c>
      <c r="E14" s="59">
        <v>0.7</v>
      </c>
      <c r="F14" s="59">
        <v>0.5</v>
      </c>
      <c r="G14" s="69">
        <f t="shared" si="1"/>
        <v>3.6679999999999997E-2</v>
      </c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</row>
    <row r="15" spans="1:25" ht="15.75" customHeight="1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</row>
    <row r="16" spans="1:25" ht="15.75" customHeight="1" x14ac:dyDescent="0.25">
      <c r="A16" s="54"/>
      <c r="B16" s="54"/>
      <c r="C16" s="158" t="s">
        <v>122</v>
      </c>
      <c r="D16" s="159"/>
      <c r="E16" s="159"/>
      <c r="F16" s="159"/>
      <c r="G16" s="160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</row>
    <row r="17" spans="1:25" ht="15.75" customHeight="1" x14ac:dyDescent="0.25">
      <c r="A17" s="54"/>
      <c r="B17" s="56" t="s">
        <v>117</v>
      </c>
      <c r="C17" s="56" t="s">
        <v>123</v>
      </c>
      <c r="D17" s="56" t="s">
        <v>124</v>
      </c>
      <c r="E17" s="56" t="s">
        <v>125</v>
      </c>
      <c r="F17" s="56" t="s">
        <v>126</v>
      </c>
      <c r="G17" s="56" t="s">
        <v>127</v>
      </c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</row>
    <row r="18" spans="1:25" ht="15.75" customHeight="1" x14ac:dyDescent="0.25">
      <c r="A18" s="54"/>
      <c r="B18" s="70" t="s">
        <v>119</v>
      </c>
      <c r="C18" s="66">
        <v>2</v>
      </c>
      <c r="D18" s="66">
        <v>2</v>
      </c>
      <c r="E18" s="66">
        <f t="shared" ref="E18:E20" si="2">C18*D18</f>
        <v>4</v>
      </c>
      <c r="F18" s="71">
        <f t="shared" ref="F18:F20" si="3">C12*E18</f>
        <v>129.6</v>
      </c>
      <c r="G18" s="71">
        <v>9</v>
      </c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</row>
    <row r="19" spans="1:25" ht="15.75" customHeight="1" x14ac:dyDescent="0.25">
      <c r="A19" s="54"/>
      <c r="B19" s="70" t="s">
        <v>120</v>
      </c>
      <c r="C19" s="66">
        <v>2</v>
      </c>
      <c r="D19" s="66">
        <v>1</v>
      </c>
      <c r="E19" s="66">
        <f t="shared" si="2"/>
        <v>2</v>
      </c>
      <c r="F19" s="71">
        <f t="shared" si="3"/>
        <v>57</v>
      </c>
      <c r="G19" s="71">
        <v>21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</row>
    <row r="20" spans="1:25" ht="15.75" customHeight="1" x14ac:dyDescent="0.25">
      <c r="A20" s="54"/>
      <c r="B20" s="70" t="s">
        <v>121</v>
      </c>
      <c r="C20" s="66">
        <v>1</v>
      </c>
      <c r="D20" s="66">
        <v>2</v>
      </c>
      <c r="E20" s="66">
        <f t="shared" si="2"/>
        <v>2</v>
      </c>
      <c r="F20" s="71">
        <f t="shared" si="3"/>
        <v>84.4</v>
      </c>
      <c r="G20" s="71">
        <v>14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</row>
    <row r="21" spans="1:25" ht="15.75" customHeight="1" x14ac:dyDescent="0.25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</row>
    <row r="22" spans="1:25" ht="15.75" customHeight="1" x14ac:dyDescent="0.25">
      <c r="A22" s="54"/>
      <c r="B22" s="54"/>
      <c r="C22" s="56" t="s">
        <v>123</v>
      </c>
      <c r="D22" s="56" t="s">
        <v>124</v>
      </c>
      <c r="E22" s="56" t="s">
        <v>128</v>
      </c>
      <c r="G22" s="161" t="s">
        <v>129</v>
      </c>
      <c r="H22" s="162"/>
      <c r="I22" s="16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</row>
    <row r="23" spans="1:25" ht="15.75" customHeight="1" x14ac:dyDescent="0.25">
      <c r="B23" s="72" t="s">
        <v>113</v>
      </c>
      <c r="C23" s="66">
        <v>2</v>
      </c>
      <c r="D23" s="66">
        <f t="shared" ref="D23:D24" si="4">F6/$F$3</f>
        <v>14</v>
      </c>
      <c r="E23" s="66">
        <f>C23*D23</f>
        <v>28</v>
      </c>
      <c r="G23" s="164"/>
      <c r="H23" s="165"/>
      <c r="I23" s="166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</row>
    <row r="24" spans="1:25" ht="15.75" customHeight="1" x14ac:dyDescent="0.25">
      <c r="B24" s="72" t="s">
        <v>114</v>
      </c>
      <c r="C24" s="66">
        <v>2</v>
      </c>
      <c r="D24" s="66">
        <f t="shared" si="4"/>
        <v>14</v>
      </c>
      <c r="E24" s="66">
        <f t="shared" ref="E24:E26" si="5">C24*D24</f>
        <v>28</v>
      </c>
      <c r="G24" s="164"/>
      <c r="H24" s="165"/>
      <c r="I24" s="166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</row>
    <row r="25" spans="1:25" ht="15.75" customHeight="1" x14ac:dyDescent="0.25">
      <c r="A25" s="54"/>
      <c r="B25" s="63" t="s">
        <v>115</v>
      </c>
      <c r="C25" s="66">
        <v>2</v>
      </c>
      <c r="D25" s="66">
        <v>12</v>
      </c>
      <c r="E25" s="66">
        <f t="shared" si="5"/>
        <v>24</v>
      </c>
      <c r="F25" s="54"/>
      <c r="G25" s="164"/>
      <c r="H25" s="165"/>
      <c r="I25" s="166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</row>
    <row r="26" spans="1:25" ht="15.75" customHeight="1" x14ac:dyDescent="0.25">
      <c r="B26" s="63" t="s">
        <v>116</v>
      </c>
      <c r="C26" s="66">
        <v>2</v>
      </c>
      <c r="D26" s="66">
        <v>6</v>
      </c>
      <c r="E26" s="66">
        <f t="shared" si="5"/>
        <v>12</v>
      </c>
      <c r="G26" s="167"/>
      <c r="H26" s="168"/>
      <c r="I26" s="169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</row>
    <row r="27" spans="1:25" ht="15.75" customHeight="1" x14ac:dyDescent="0.25"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</row>
    <row r="28" spans="1:25" ht="15.75" customHeight="1" x14ac:dyDescent="0.25">
      <c r="B28" s="158" t="s">
        <v>130</v>
      </c>
      <c r="C28" s="159"/>
      <c r="D28" s="159"/>
      <c r="E28" s="159"/>
      <c r="F28" s="159"/>
      <c r="G28" s="159"/>
      <c r="H28" s="159"/>
      <c r="I28" s="160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</row>
    <row r="29" spans="1:25" ht="15.75" customHeight="1" x14ac:dyDescent="0.25">
      <c r="B29" s="56" t="s">
        <v>110</v>
      </c>
      <c r="C29" s="56" t="s">
        <v>117</v>
      </c>
      <c r="D29" s="56" t="s">
        <v>131</v>
      </c>
      <c r="E29" s="56" t="s">
        <v>132</v>
      </c>
      <c r="F29" s="56" t="s">
        <v>128</v>
      </c>
      <c r="G29" s="56" t="s">
        <v>133</v>
      </c>
      <c r="H29" s="56" t="s">
        <v>134</v>
      </c>
      <c r="I29" s="56" t="s">
        <v>135</v>
      </c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</row>
    <row r="30" spans="1:25" ht="15.75" customHeight="1" x14ac:dyDescent="0.25">
      <c r="B30" s="170" t="s">
        <v>113</v>
      </c>
      <c r="C30" s="70" t="s">
        <v>119</v>
      </c>
      <c r="D30" s="70">
        <v>4</v>
      </c>
      <c r="E30" s="70">
        <v>7</v>
      </c>
      <c r="F30" s="66">
        <v>6</v>
      </c>
      <c r="G30" s="70">
        <f t="shared" ref="G30:G32" si="6">F30*($C$3+D30*E30*C12)</f>
        <v>5563.2</v>
      </c>
      <c r="H30" s="70">
        <f t="shared" ref="H30:H32" si="7">($D$3+E30*D12)</f>
        <v>0.96889999999999998</v>
      </c>
      <c r="I30" s="66">
        <f t="shared" ref="I30:I41" si="8">D30*E30*F30</f>
        <v>168</v>
      </c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</row>
    <row r="31" spans="1:25" ht="15.75" customHeight="1" x14ac:dyDescent="0.25">
      <c r="B31" s="156"/>
      <c r="C31" s="70" t="s">
        <v>120</v>
      </c>
      <c r="D31" s="70">
        <v>2</v>
      </c>
      <c r="E31" s="70">
        <v>11</v>
      </c>
      <c r="F31" s="70">
        <v>9</v>
      </c>
      <c r="G31" s="70">
        <f t="shared" si="6"/>
        <v>5823</v>
      </c>
      <c r="H31" s="70">
        <f t="shared" si="7"/>
        <v>1.3098999999999998</v>
      </c>
      <c r="I31" s="66">
        <f t="shared" si="8"/>
        <v>198</v>
      </c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</row>
    <row r="32" spans="1:25" ht="15.75" customHeight="1" x14ac:dyDescent="0.25">
      <c r="B32" s="157"/>
      <c r="C32" s="70" t="s">
        <v>121</v>
      </c>
      <c r="D32" s="70">
        <v>2</v>
      </c>
      <c r="E32" s="70">
        <v>8</v>
      </c>
      <c r="F32" s="70">
        <v>8</v>
      </c>
      <c r="G32" s="70">
        <f t="shared" si="6"/>
        <v>5561.6</v>
      </c>
      <c r="H32" s="70">
        <f t="shared" si="7"/>
        <v>0.98340000000000005</v>
      </c>
      <c r="I32" s="66">
        <f t="shared" si="8"/>
        <v>128</v>
      </c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</row>
    <row r="33" spans="1:25" ht="15.75" customHeight="1" x14ac:dyDescent="0.25">
      <c r="B33" s="155" t="s">
        <v>114</v>
      </c>
      <c r="C33" s="74" t="s">
        <v>119</v>
      </c>
      <c r="D33" s="74">
        <v>4</v>
      </c>
      <c r="E33" s="74">
        <v>8</v>
      </c>
      <c r="F33" s="75">
        <v>13</v>
      </c>
      <c r="G33" s="74">
        <f t="shared" ref="G33:G35" si="9">F33*($C$3+D33*E33*C12)</f>
        <v>13738.4</v>
      </c>
      <c r="H33" s="74">
        <f t="shared" ref="H33:H35" si="10">($D$3+E33*D12)</f>
        <v>1.0866</v>
      </c>
      <c r="I33" s="75">
        <f t="shared" si="8"/>
        <v>416</v>
      </c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</row>
    <row r="34" spans="1:25" ht="15.75" customHeight="1" x14ac:dyDescent="0.25">
      <c r="A34" s="54"/>
      <c r="B34" s="156"/>
      <c r="C34" s="74" t="s">
        <v>120</v>
      </c>
      <c r="D34" s="74">
        <v>2</v>
      </c>
      <c r="E34" s="74">
        <v>16</v>
      </c>
      <c r="F34" s="74">
        <v>15</v>
      </c>
      <c r="G34" s="74">
        <f t="shared" si="9"/>
        <v>13980</v>
      </c>
      <c r="H34" s="74">
        <f t="shared" si="10"/>
        <v>1.8393999999999999</v>
      </c>
      <c r="I34" s="75">
        <f t="shared" si="8"/>
        <v>480</v>
      </c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</row>
    <row r="35" spans="1:25" ht="15.75" customHeight="1" x14ac:dyDescent="0.25">
      <c r="A35" s="54"/>
      <c r="B35" s="157"/>
      <c r="C35" s="74" t="s">
        <v>121</v>
      </c>
      <c r="D35" s="74">
        <v>2</v>
      </c>
      <c r="E35" s="74">
        <v>10</v>
      </c>
      <c r="F35" s="74">
        <v>16</v>
      </c>
      <c r="G35" s="74">
        <f t="shared" si="9"/>
        <v>13824</v>
      </c>
      <c r="H35" s="74">
        <f t="shared" si="10"/>
        <v>1.1930000000000001</v>
      </c>
      <c r="I35" s="75">
        <f t="shared" si="8"/>
        <v>320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</row>
    <row r="36" spans="1:25" ht="15.75" customHeight="1" x14ac:dyDescent="0.25">
      <c r="A36" s="54"/>
      <c r="B36" s="170" t="s">
        <v>115</v>
      </c>
      <c r="C36" s="70" t="s">
        <v>119</v>
      </c>
      <c r="D36" s="70">
        <v>4</v>
      </c>
      <c r="E36" s="70">
        <v>8</v>
      </c>
      <c r="F36" s="66">
        <v>24</v>
      </c>
      <c r="G36" s="70">
        <f t="shared" ref="G36:G38" si="11">F36*($C$3+D36*E36*C12)</f>
        <v>25363.199999999997</v>
      </c>
      <c r="H36" s="70">
        <f t="shared" ref="H36:H38" si="12">($D$3+E36*D12)</f>
        <v>1.0866</v>
      </c>
      <c r="I36" s="66">
        <f t="shared" si="8"/>
        <v>768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</row>
    <row r="37" spans="1:25" ht="15.75" customHeight="1" x14ac:dyDescent="0.25">
      <c r="A37" s="54"/>
      <c r="B37" s="156"/>
      <c r="C37" s="70" t="s">
        <v>120</v>
      </c>
      <c r="D37" s="70">
        <v>2</v>
      </c>
      <c r="E37" s="70">
        <v>19</v>
      </c>
      <c r="F37" s="66">
        <v>23</v>
      </c>
      <c r="G37" s="70">
        <f t="shared" si="11"/>
        <v>25369</v>
      </c>
      <c r="H37" s="70">
        <f t="shared" si="12"/>
        <v>2.1570999999999998</v>
      </c>
      <c r="I37" s="66">
        <f t="shared" si="8"/>
        <v>874</v>
      </c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</row>
    <row r="38" spans="1:25" ht="15.75" customHeight="1" x14ac:dyDescent="0.25">
      <c r="A38" s="54"/>
      <c r="B38" s="157"/>
      <c r="C38" s="70" t="s">
        <v>121</v>
      </c>
      <c r="D38" s="70">
        <v>2</v>
      </c>
      <c r="E38" s="70">
        <v>13</v>
      </c>
      <c r="F38" s="66">
        <v>23</v>
      </c>
      <c r="G38" s="70">
        <f t="shared" si="11"/>
        <v>25695.600000000002</v>
      </c>
      <c r="H38" s="70">
        <f t="shared" si="12"/>
        <v>1.5074000000000001</v>
      </c>
      <c r="I38" s="66">
        <f t="shared" si="8"/>
        <v>598</v>
      </c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</row>
    <row r="39" spans="1:25" ht="15.75" customHeight="1" x14ac:dyDescent="0.25">
      <c r="A39" s="54"/>
      <c r="B39" s="155" t="s">
        <v>116</v>
      </c>
      <c r="C39" s="74" t="s">
        <v>119</v>
      </c>
      <c r="D39" s="74">
        <v>4</v>
      </c>
      <c r="E39" s="74">
        <v>9</v>
      </c>
      <c r="F39" s="75">
        <v>12</v>
      </c>
      <c r="G39" s="74">
        <f t="shared" ref="G39:G41" si="13">F39*($C$3+D39*E39*C12)</f>
        <v>14236.8</v>
      </c>
      <c r="H39" s="74">
        <f t="shared" ref="H39:H41" si="14">($D$3+E39*D12)</f>
        <v>1.2042999999999999</v>
      </c>
      <c r="I39" s="75">
        <f t="shared" si="8"/>
        <v>432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</row>
    <row r="40" spans="1:25" ht="15.75" customHeight="1" x14ac:dyDescent="0.25">
      <c r="A40" s="54"/>
      <c r="B40" s="156"/>
      <c r="C40" s="74" t="s">
        <v>120</v>
      </c>
      <c r="D40" s="74">
        <v>2</v>
      </c>
      <c r="E40" s="74">
        <v>19</v>
      </c>
      <c r="F40" s="75">
        <v>12</v>
      </c>
      <c r="G40" s="74">
        <f t="shared" si="13"/>
        <v>13236</v>
      </c>
      <c r="H40" s="74">
        <f t="shared" si="14"/>
        <v>2.1570999999999998</v>
      </c>
      <c r="I40" s="75">
        <f t="shared" si="8"/>
        <v>456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</row>
    <row r="41" spans="1:25" ht="15.75" customHeight="1" x14ac:dyDescent="0.25">
      <c r="A41" s="54"/>
      <c r="B41" s="157"/>
      <c r="C41" s="74" t="s">
        <v>121</v>
      </c>
      <c r="D41" s="74">
        <v>2</v>
      </c>
      <c r="E41" s="74">
        <v>14</v>
      </c>
      <c r="F41" s="75">
        <v>12</v>
      </c>
      <c r="G41" s="74">
        <f t="shared" si="13"/>
        <v>14419.2</v>
      </c>
      <c r="H41" s="74">
        <f t="shared" si="14"/>
        <v>1.6122000000000001</v>
      </c>
      <c r="I41" s="75">
        <f t="shared" si="8"/>
        <v>336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</row>
    <row r="42" spans="1:25" ht="15.75" customHeight="1" x14ac:dyDescent="0.2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r="43" spans="1:25" ht="15.75" customHeight="1" x14ac:dyDescent="0.2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spans="1:25" ht="15.75" customHeight="1" x14ac:dyDescent="0.2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r="45" spans="1:25" ht="15.75" customHeight="1" x14ac:dyDescent="0.2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ht="15.75" customHeight="1" x14ac:dyDescent="0.2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 ht="15.75" customHeight="1" x14ac:dyDescent="0.2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 spans="1:25" ht="15.75" customHeight="1" x14ac:dyDescent="0.2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spans="1:25" ht="15.75" customHeight="1" x14ac:dyDescent="0.2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r="51" spans="1:25" ht="15.75" customHeight="1" x14ac:dyDescent="0.2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spans="1:25" ht="15.75" customHeight="1" x14ac:dyDescent="0.2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r="53" spans="1:25" ht="15.75" customHeight="1" x14ac:dyDescent="0.2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 spans="1:25" ht="15.75" customHeight="1" x14ac:dyDescent="0.2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r="55" spans="1:25" ht="15.75" customHeight="1" x14ac:dyDescent="0.2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r="56" spans="1:25" ht="15.75" customHeight="1" x14ac:dyDescent="0.2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</row>
    <row r="57" spans="1:25" ht="15.75" customHeight="1" x14ac:dyDescent="0.2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spans="1:25" ht="15.75" customHeight="1" x14ac:dyDescent="0.2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</row>
    <row r="59" spans="1:25" ht="15.75" customHeight="1" x14ac:dyDescent="0.2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r="60" spans="1:25" ht="15.75" customHeight="1" x14ac:dyDescent="0.2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</row>
    <row r="61" spans="1:25" ht="15.75" customHeight="1" x14ac:dyDescent="0.2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r="62" spans="1:25" ht="15.75" customHeight="1" x14ac:dyDescent="0.2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</row>
    <row r="63" spans="1:25" ht="15.75" customHeight="1" x14ac:dyDescent="0.2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r="64" spans="1:25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r="65" spans="1:25" ht="15.75" customHeight="1" x14ac:dyDescent="0.2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spans="1:25" ht="15.75" customHeight="1" x14ac:dyDescent="0.2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</row>
    <row r="67" spans="1:25" ht="15.75" customHeight="1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ht="15.75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</row>
    <row r="69" spans="1:25" ht="15.75" customHeight="1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 spans="1:25" ht="15.75" customHeight="1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</row>
    <row r="71" spans="1:25" ht="15.75" customHeight="1" x14ac:dyDescent="0.2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 spans="1:25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</row>
    <row r="73" spans="1:25" ht="15.75" customHeight="1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r="74" spans="1:25" ht="15.75" customHeight="1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r="75" spans="1:25" ht="15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 spans="1:25" ht="15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r="77" spans="1:25" ht="15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 spans="1:25" ht="15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r="79" spans="1:25" ht="15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 spans="1:25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r="81" spans="1:25" ht="15.75" customHeight="1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r="82" spans="1:25" ht="15.75" customHeight="1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</row>
    <row r="83" spans="1:25" ht="15.75" customHeight="1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</row>
    <row r="84" spans="1:25" ht="15.75" customHeight="1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</row>
    <row r="85" spans="1:25" ht="15.75" customHeight="1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</row>
    <row r="86" spans="1:25" ht="15.75" customHeight="1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</row>
    <row r="87" spans="1:25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</row>
    <row r="88" spans="1:25" ht="15.75" customHeight="1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</row>
    <row r="89" spans="1:25" ht="15.75" customHeight="1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</row>
    <row r="90" spans="1:25" ht="15.75" customHeight="1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</row>
    <row r="91" spans="1:25" ht="15.75" customHeight="1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</row>
    <row r="92" spans="1:25" ht="15.75" customHeight="1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</row>
    <row r="93" spans="1:25" ht="15.75" customHeight="1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</row>
    <row r="94" spans="1:25" ht="15.75" customHeight="1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</row>
    <row r="95" spans="1:25" ht="15.75" customHeight="1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</row>
    <row r="96" spans="1:25" ht="15.75" customHeight="1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</row>
    <row r="97" spans="1:25" ht="15.75" customHeight="1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</row>
    <row r="98" spans="1:25" ht="15.75" customHeight="1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</row>
    <row r="99" spans="1:25" ht="15.75" customHeight="1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</row>
    <row r="100" spans="1:25" ht="15.75" customHeight="1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</row>
    <row r="101" spans="1:25" ht="15.75" customHeight="1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</row>
    <row r="102" spans="1:25" ht="15.75" customHeight="1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</row>
    <row r="103" spans="1:25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</row>
    <row r="104" spans="1:25" ht="15.75" customHeight="1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</row>
    <row r="105" spans="1:25" ht="15.75" customHeight="1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</row>
    <row r="106" spans="1:25" ht="15.75" customHeight="1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</row>
    <row r="107" spans="1:25" ht="15.75" customHeight="1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</row>
    <row r="108" spans="1:25" ht="15.75" customHeight="1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</row>
    <row r="109" spans="1:25" ht="15.75" customHeight="1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</row>
    <row r="110" spans="1:25" ht="15.75" customHeight="1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</row>
    <row r="111" spans="1:25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</row>
    <row r="112" spans="1:25" ht="15.75" customHeight="1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</row>
    <row r="113" spans="1:25" ht="15.75" customHeight="1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</row>
    <row r="114" spans="1:25" ht="15.75" customHeight="1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</row>
    <row r="115" spans="1:25" ht="15.75" customHeight="1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</row>
    <row r="116" spans="1:25" ht="15.75" customHeight="1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</row>
    <row r="117" spans="1:25" ht="15.75" customHeight="1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</row>
    <row r="118" spans="1:25" ht="15.75" customHeight="1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</row>
    <row r="119" spans="1:25" ht="15.75" customHeight="1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</row>
    <row r="120" spans="1:25" ht="15.75" customHeight="1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</row>
    <row r="121" spans="1:25" ht="15.75" customHeight="1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</row>
    <row r="122" spans="1:25" ht="15.75" customHeight="1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</row>
    <row r="123" spans="1:25" ht="15.75" customHeight="1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</row>
    <row r="124" spans="1:25" ht="15.75" customHeight="1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</row>
    <row r="125" spans="1:25" ht="15.75" customHeight="1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</row>
    <row r="126" spans="1:25" ht="15.75" customHeight="1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</row>
    <row r="127" spans="1:25" ht="15.75" customHeight="1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</row>
    <row r="128" spans="1:25" ht="15.75" customHeight="1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</row>
    <row r="129" spans="1:25" ht="15.75" customHeight="1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</row>
    <row r="130" spans="1:25" ht="15.75" customHeight="1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</row>
    <row r="131" spans="1:25" ht="15.75" customHeight="1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</row>
    <row r="132" spans="1:25" ht="15.75" customHeight="1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</row>
    <row r="133" spans="1:25" ht="15.75" customHeight="1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</row>
    <row r="134" spans="1:25" ht="15.75" customHeight="1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</row>
    <row r="135" spans="1:25" ht="15.75" customHeight="1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</row>
    <row r="136" spans="1:25" ht="15.75" customHeight="1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</row>
    <row r="137" spans="1:25" ht="15.75" customHeight="1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</row>
    <row r="138" spans="1:25" ht="15.75" customHeight="1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</row>
    <row r="139" spans="1:25" ht="15.75" customHeight="1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</row>
    <row r="140" spans="1:25" ht="15.75" customHeight="1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</row>
    <row r="141" spans="1:25" ht="15.75" customHeight="1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</row>
    <row r="142" spans="1:25" ht="15.75" customHeight="1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</row>
    <row r="143" spans="1:25" ht="15.75" customHeight="1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</row>
    <row r="144" spans="1:25" ht="15.75" customHeight="1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</row>
    <row r="145" spans="1:25" ht="15.75" customHeight="1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</row>
    <row r="146" spans="1:25" ht="15.75" customHeight="1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</row>
    <row r="147" spans="1:25" ht="15.75" customHeight="1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</row>
    <row r="148" spans="1:25" ht="15.75" customHeight="1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</row>
    <row r="149" spans="1:25" ht="15.75" customHeight="1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</row>
    <row r="150" spans="1:25" ht="15.75" customHeight="1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</row>
    <row r="151" spans="1:25" ht="15.75" customHeight="1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</row>
    <row r="152" spans="1:25" ht="15.75" customHeight="1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</row>
    <row r="153" spans="1:25" ht="15.75" customHeight="1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</row>
    <row r="154" spans="1:25" ht="15.75" customHeight="1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</row>
    <row r="155" spans="1:25" ht="15.75" customHeight="1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</row>
    <row r="156" spans="1:25" ht="15.75" customHeight="1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</row>
    <row r="157" spans="1:25" ht="15.75" customHeight="1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</row>
    <row r="158" spans="1:25" ht="15.75" customHeight="1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</row>
    <row r="159" spans="1:25" ht="15.75" customHeight="1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</row>
    <row r="160" spans="1:25" ht="15.75" customHeight="1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</row>
    <row r="161" spans="1:25" ht="15.75" customHeight="1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</row>
    <row r="162" spans="1:25" ht="15.75" customHeight="1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</row>
    <row r="163" spans="1:25" ht="15.75" customHeight="1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</row>
    <row r="164" spans="1:25" ht="15.75" customHeight="1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</row>
    <row r="165" spans="1:25" ht="15.75" customHeight="1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</row>
    <row r="166" spans="1:25" ht="15.75" customHeight="1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</row>
    <row r="167" spans="1:25" ht="15.75" customHeight="1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</row>
    <row r="168" spans="1:25" ht="15.75" customHeight="1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</row>
    <row r="169" spans="1:25" ht="15.75" customHeight="1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</row>
    <row r="170" spans="1:25" ht="15.75" customHeight="1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</row>
    <row r="171" spans="1:25" ht="15.75" customHeight="1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</row>
    <row r="172" spans="1:25" ht="15.75" customHeight="1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</row>
    <row r="173" spans="1:25" ht="15.75" customHeight="1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</row>
    <row r="174" spans="1:25" ht="15.75" customHeight="1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</row>
    <row r="175" spans="1:25" ht="15.75" customHeight="1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</row>
    <row r="176" spans="1:25" ht="15.75" customHeight="1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</row>
    <row r="177" spans="1:25" ht="15.75" customHeight="1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</row>
    <row r="178" spans="1:25" ht="15.75" customHeight="1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</row>
    <row r="179" spans="1:25" ht="15.75" customHeight="1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</row>
    <row r="180" spans="1:25" ht="15.75" customHeight="1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</row>
    <row r="181" spans="1:25" ht="15.75" customHeight="1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</row>
    <row r="182" spans="1:25" ht="15.75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</row>
    <row r="183" spans="1:25" ht="15.75" customHeight="1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</row>
    <row r="184" spans="1:25" ht="15.75" customHeight="1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</row>
    <row r="185" spans="1:25" ht="15.75" customHeight="1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</row>
    <row r="186" spans="1:25" ht="15.75" customHeight="1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</row>
    <row r="187" spans="1:25" ht="15.75" customHeight="1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</row>
    <row r="188" spans="1:25" ht="15.75" customHeight="1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</row>
    <row r="189" spans="1:25" ht="15.75" customHeight="1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</row>
    <row r="190" spans="1:25" ht="15.75" customHeight="1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</row>
    <row r="191" spans="1:25" ht="15.75" customHeight="1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</row>
    <row r="192" spans="1:25" ht="15.75" customHeight="1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</row>
    <row r="193" spans="1:25" ht="15.75" customHeight="1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</row>
    <row r="194" spans="1:25" ht="15.75" customHeight="1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</row>
    <row r="195" spans="1:25" ht="15.75" customHeight="1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</row>
    <row r="196" spans="1:25" ht="15.75" customHeight="1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</row>
    <row r="197" spans="1:25" ht="15.75" customHeight="1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</row>
    <row r="198" spans="1:25" ht="15.75" customHeight="1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</row>
    <row r="199" spans="1:25" ht="15.75" customHeight="1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</row>
    <row r="200" spans="1:25" ht="15.75" customHeight="1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</row>
    <row r="201" spans="1:25" ht="15.75" customHeight="1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</row>
    <row r="202" spans="1:25" ht="15.75" customHeight="1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</row>
    <row r="203" spans="1:25" ht="15.75" customHeight="1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</row>
    <row r="204" spans="1:25" ht="15.75" customHeight="1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</row>
    <row r="205" spans="1:25" ht="15.75" customHeight="1" x14ac:dyDescent="0.2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</row>
    <row r="206" spans="1:25" ht="15.75" customHeight="1" x14ac:dyDescent="0.2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</row>
    <row r="207" spans="1:25" ht="15.75" customHeight="1" x14ac:dyDescent="0.2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</row>
    <row r="208" spans="1:25" ht="15.75" customHeight="1" x14ac:dyDescent="0.2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</row>
    <row r="209" spans="1:25" ht="15.75" customHeight="1" x14ac:dyDescent="0.2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</row>
    <row r="210" spans="1:25" ht="15.75" customHeight="1" x14ac:dyDescent="0.2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</row>
    <row r="211" spans="1:25" ht="15.75" customHeight="1" x14ac:dyDescent="0.2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</row>
    <row r="212" spans="1:25" ht="15.75" customHeight="1" x14ac:dyDescent="0.2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</row>
    <row r="213" spans="1:25" ht="15.75" customHeight="1" x14ac:dyDescent="0.2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</row>
    <row r="214" spans="1:25" ht="15.75" customHeight="1" x14ac:dyDescent="0.2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</row>
    <row r="215" spans="1:25" ht="15.75" customHeight="1" x14ac:dyDescent="0.2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</row>
    <row r="216" spans="1:25" ht="15.75" customHeight="1" x14ac:dyDescent="0.2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</row>
    <row r="217" spans="1:25" ht="15.75" customHeight="1" x14ac:dyDescent="0.2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</row>
    <row r="218" spans="1:25" ht="15.75" customHeight="1" x14ac:dyDescent="0.2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</row>
    <row r="219" spans="1:25" ht="15.75" customHeight="1" x14ac:dyDescent="0.2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</row>
    <row r="220" spans="1:25" ht="15.75" customHeight="1" x14ac:dyDescent="0.2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</row>
    <row r="221" spans="1:25" ht="15.75" customHeight="1" x14ac:dyDescent="0.2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</row>
    <row r="222" spans="1:25" ht="15.75" customHeight="1" x14ac:dyDescent="0.2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</row>
    <row r="223" spans="1:25" ht="15.75" customHeight="1" x14ac:dyDescent="0.2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</row>
    <row r="224" spans="1:25" ht="15.75" customHeight="1" x14ac:dyDescent="0.2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</row>
    <row r="225" spans="1:25" ht="15.75" customHeight="1" x14ac:dyDescent="0.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</row>
    <row r="226" spans="1:25" ht="15.75" customHeight="1" x14ac:dyDescent="0.2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</row>
    <row r="227" spans="1:25" ht="15.75" customHeight="1" x14ac:dyDescent="0.2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</row>
    <row r="228" spans="1:25" ht="15.75" customHeight="1" x14ac:dyDescent="0.2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</row>
    <row r="229" spans="1:25" ht="15.75" customHeight="1" x14ac:dyDescent="0.2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</row>
    <row r="230" spans="1:25" ht="15.75" customHeight="1" x14ac:dyDescent="0.2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</row>
    <row r="231" spans="1:25" ht="15.75" customHeight="1" x14ac:dyDescent="0.2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</row>
    <row r="232" spans="1:25" ht="15.75" customHeight="1" x14ac:dyDescent="0.2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</row>
    <row r="233" spans="1:25" ht="15.75" customHeight="1" x14ac:dyDescent="0.2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</row>
    <row r="234" spans="1:25" ht="15.75" customHeight="1" x14ac:dyDescent="0.2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</row>
    <row r="235" spans="1:25" ht="15.75" customHeight="1" x14ac:dyDescent="0.2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</row>
    <row r="236" spans="1:25" ht="15.75" customHeight="1" x14ac:dyDescent="0.2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</row>
    <row r="237" spans="1:25" ht="15.75" customHeight="1" x14ac:dyDescent="0.2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</row>
    <row r="238" spans="1:25" ht="15.75" customHeight="1" x14ac:dyDescent="0.2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</row>
    <row r="239" spans="1:25" ht="15.75" customHeight="1" x14ac:dyDescent="0.2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</row>
    <row r="240" spans="1:25" ht="15.75" customHeight="1" x14ac:dyDescent="0.2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</row>
    <row r="241" spans="1:25" ht="15.75" customHeight="1" x14ac:dyDescent="0.2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</row>
    <row r="242" spans="1:25" ht="15.75" customHeight="1" x14ac:dyDescent="0.2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</row>
    <row r="243" spans="1:25" ht="15.75" customHeight="1" x14ac:dyDescent="0.2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</row>
    <row r="244" spans="1:25" ht="15.75" customHeight="1" x14ac:dyDescent="0.2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</row>
    <row r="245" spans="1:25" ht="15.75" customHeight="1" x14ac:dyDescent="0.2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</row>
    <row r="246" spans="1:25" ht="15.75" customHeight="1" x14ac:dyDescent="0.2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</row>
    <row r="247" spans="1:25" ht="15.75" customHeight="1" x14ac:dyDescent="0.2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</row>
    <row r="248" spans="1:25" ht="15.75" customHeight="1" x14ac:dyDescent="0.2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</row>
    <row r="249" spans="1:25" ht="15.75" customHeight="1" x14ac:dyDescent="0.2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</row>
    <row r="250" spans="1:25" ht="15.75" customHeight="1" x14ac:dyDescent="0.2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</row>
    <row r="251" spans="1:25" ht="15.75" customHeight="1" x14ac:dyDescent="0.2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</row>
    <row r="252" spans="1:25" ht="15.75" customHeight="1" x14ac:dyDescent="0.2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</row>
    <row r="253" spans="1:25" ht="15.75" customHeight="1" x14ac:dyDescent="0.2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</row>
    <row r="254" spans="1:25" ht="15.75" customHeight="1" x14ac:dyDescent="0.2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</row>
    <row r="255" spans="1:25" ht="15.75" customHeight="1" x14ac:dyDescent="0.2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</row>
    <row r="256" spans="1:25" ht="15.75" customHeight="1" x14ac:dyDescent="0.2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</row>
    <row r="257" spans="1:25" ht="15.75" customHeight="1" x14ac:dyDescent="0.2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</row>
    <row r="258" spans="1:25" ht="15.75" customHeight="1" x14ac:dyDescent="0.2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</row>
    <row r="259" spans="1:25" ht="15.75" customHeight="1" x14ac:dyDescent="0.2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</row>
    <row r="260" spans="1:25" ht="15.75" customHeight="1" x14ac:dyDescent="0.2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</row>
    <row r="261" spans="1:25" ht="15.75" customHeight="1" x14ac:dyDescent="0.2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</row>
    <row r="262" spans="1:25" ht="15.75" customHeight="1" x14ac:dyDescent="0.2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</row>
    <row r="263" spans="1:25" ht="15.75" customHeight="1" x14ac:dyDescent="0.2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</row>
    <row r="264" spans="1:25" ht="15.75" customHeight="1" x14ac:dyDescent="0.2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</row>
    <row r="265" spans="1:25" ht="15.75" customHeight="1" x14ac:dyDescent="0.2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</row>
    <row r="266" spans="1:25" ht="15.75" customHeight="1" x14ac:dyDescent="0.2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</row>
    <row r="267" spans="1:25" ht="15.75" customHeight="1" x14ac:dyDescent="0.2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</row>
    <row r="268" spans="1:25" ht="15.75" customHeight="1" x14ac:dyDescent="0.2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</row>
    <row r="269" spans="1:25" ht="15.75" customHeight="1" x14ac:dyDescent="0.2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</row>
    <row r="270" spans="1:25" ht="15.75" customHeight="1" x14ac:dyDescent="0.2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</row>
    <row r="271" spans="1:25" ht="15.75" customHeight="1" x14ac:dyDescent="0.2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</row>
    <row r="272" spans="1:25" ht="15.75" customHeight="1" x14ac:dyDescent="0.2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</row>
    <row r="273" spans="1:25" ht="15.75" customHeight="1" x14ac:dyDescent="0.2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</row>
    <row r="274" spans="1:25" ht="15.75" customHeight="1" x14ac:dyDescent="0.2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</row>
    <row r="275" spans="1:25" ht="15.75" customHeight="1" x14ac:dyDescent="0.2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</row>
    <row r="276" spans="1:25" ht="15.75" customHeight="1" x14ac:dyDescent="0.2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</row>
    <row r="277" spans="1:25" ht="15.75" customHeight="1" x14ac:dyDescent="0.2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</row>
    <row r="278" spans="1:25" ht="15.75" customHeight="1" x14ac:dyDescent="0.2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</row>
    <row r="279" spans="1:25" ht="15.75" customHeight="1" x14ac:dyDescent="0.2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</row>
    <row r="280" spans="1:25" ht="15.75" customHeight="1" x14ac:dyDescent="0.2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</row>
    <row r="281" spans="1:25" ht="15.75" customHeight="1" x14ac:dyDescent="0.2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</row>
    <row r="282" spans="1:25" ht="15.75" customHeight="1" x14ac:dyDescent="0.2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</row>
    <row r="283" spans="1:25" ht="15.75" customHeight="1" x14ac:dyDescent="0.2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</row>
    <row r="284" spans="1:25" ht="15.75" customHeight="1" x14ac:dyDescent="0.2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</row>
    <row r="285" spans="1:25" ht="15.75" customHeight="1" x14ac:dyDescent="0.2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</row>
    <row r="286" spans="1:25" ht="15.75" customHeight="1" x14ac:dyDescent="0.2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</row>
    <row r="287" spans="1:25" ht="15.75" customHeight="1" x14ac:dyDescent="0.2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</row>
    <row r="288" spans="1:25" ht="15.75" customHeight="1" x14ac:dyDescent="0.2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</row>
    <row r="289" spans="1:25" ht="15.75" customHeight="1" x14ac:dyDescent="0.2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</row>
    <row r="290" spans="1:25" ht="15.75" customHeight="1" x14ac:dyDescent="0.2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</row>
    <row r="291" spans="1:25" ht="15.75" customHeight="1" x14ac:dyDescent="0.2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</row>
    <row r="292" spans="1:25" ht="15.75" customHeight="1" x14ac:dyDescent="0.2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</row>
    <row r="293" spans="1:25" ht="15.75" customHeight="1" x14ac:dyDescent="0.2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</row>
    <row r="294" spans="1:25" ht="15.75" customHeight="1" x14ac:dyDescent="0.2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</row>
    <row r="295" spans="1:25" ht="15.75" customHeight="1" x14ac:dyDescent="0.2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</row>
    <row r="296" spans="1:25" ht="15.75" customHeight="1" x14ac:dyDescent="0.25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</row>
    <row r="297" spans="1:25" ht="15.75" customHeight="1" x14ac:dyDescent="0.25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</row>
    <row r="298" spans="1:25" ht="15.75" customHeight="1" x14ac:dyDescent="0.25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</row>
    <row r="299" spans="1:25" ht="15.75" customHeight="1" x14ac:dyDescent="0.25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</row>
    <row r="300" spans="1:25" ht="15.75" customHeight="1" x14ac:dyDescent="0.25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</row>
    <row r="301" spans="1:25" ht="15.75" customHeight="1" x14ac:dyDescent="0.25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</row>
    <row r="302" spans="1:25" ht="15.75" customHeight="1" x14ac:dyDescent="0.25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</row>
    <row r="303" spans="1:25" ht="15.75" customHeight="1" x14ac:dyDescent="0.25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</row>
    <row r="304" spans="1:25" ht="15.75" customHeight="1" x14ac:dyDescent="0.25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</row>
    <row r="305" spans="1:25" ht="15.75" customHeight="1" x14ac:dyDescent="0.2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</row>
    <row r="306" spans="1:25" ht="15.75" customHeight="1" x14ac:dyDescent="0.25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</row>
    <row r="307" spans="1:25" ht="15.75" customHeight="1" x14ac:dyDescent="0.25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</row>
    <row r="308" spans="1:25" ht="15.75" customHeight="1" x14ac:dyDescent="0.25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</row>
    <row r="309" spans="1:25" ht="15.75" customHeight="1" x14ac:dyDescent="0.25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</row>
    <row r="310" spans="1:25" ht="15.75" customHeight="1" x14ac:dyDescent="0.25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</row>
    <row r="311" spans="1:25" ht="15.75" customHeight="1" x14ac:dyDescent="0.25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</row>
    <row r="312" spans="1:25" ht="15.75" customHeight="1" x14ac:dyDescent="0.25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</row>
    <row r="313" spans="1:25" ht="15.75" customHeight="1" x14ac:dyDescent="0.25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</row>
    <row r="314" spans="1:25" ht="15.75" customHeight="1" x14ac:dyDescent="0.25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</row>
    <row r="315" spans="1:25" ht="15.75" customHeight="1" x14ac:dyDescent="0.2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</row>
    <row r="316" spans="1:25" ht="15.75" customHeight="1" x14ac:dyDescent="0.25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</row>
    <row r="317" spans="1:25" ht="15.75" customHeight="1" x14ac:dyDescent="0.25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</row>
    <row r="318" spans="1:25" ht="15.75" customHeight="1" x14ac:dyDescent="0.25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</row>
    <row r="319" spans="1:25" ht="15.75" customHeight="1" x14ac:dyDescent="0.25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</row>
    <row r="320" spans="1:25" ht="15.75" customHeight="1" x14ac:dyDescent="0.25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</row>
    <row r="321" spans="1:25" ht="15.75" customHeight="1" x14ac:dyDescent="0.25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</row>
    <row r="322" spans="1:25" ht="15.75" customHeight="1" x14ac:dyDescent="0.25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</row>
    <row r="323" spans="1:25" ht="15.75" customHeight="1" x14ac:dyDescent="0.25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</row>
    <row r="324" spans="1:25" ht="15.75" customHeight="1" x14ac:dyDescent="0.25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</row>
    <row r="325" spans="1:25" ht="15.75" customHeight="1" x14ac:dyDescent="0.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</row>
    <row r="326" spans="1:25" ht="15.75" customHeight="1" x14ac:dyDescent="0.25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</row>
    <row r="327" spans="1:25" ht="15.75" customHeight="1" x14ac:dyDescent="0.25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</row>
    <row r="328" spans="1:25" ht="15.75" customHeight="1" x14ac:dyDescent="0.25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</row>
    <row r="329" spans="1:25" ht="15.75" customHeight="1" x14ac:dyDescent="0.25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</row>
    <row r="330" spans="1:25" ht="15.75" customHeight="1" x14ac:dyDescent="0.25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</row>
    <row r="331" spans="1:25" ht="15.75" customHeight="1" x14ac:dyDescent="0.25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</row>
    <row r="332" spans="1:25" ht="15.75" customHeight="1" x14ac:dyDescent="0.25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</row>
    <row r="333" spans="1:25" ht="15.75" customHeight="1" x14ac:dyDescent="0.25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</row>
    <row r="334" spans="1:25" ht="15.75" customHeight="1" x14ac:dyDescent="0.25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</row>
    <row r="335" spans="1:25" ht="15.75" customHeight="1" x14ac:dyDescent="0.2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</row>
    <row r="336" spans="1:25" ht="15.75" customHeight="1" x14ac:dyDescent="0.25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</row>
    <row r="337" spans="1:25" ht="15.75" customHeight="1" x14ac:dyDescent="0.25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</row>
    <row r="338" spans="1:25" ht="15.75" customHeight="1" x14ac:dyDescent="0.25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</row>
    <row r="339" spans="1:25" ht="15.75" customHeight="1" x14ac:dyDescent="0.25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</row>
    <row r="340" spans="1:25" ht="15.75" customHeight="1" x14ac:dyDescent="0.25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</row>
    <row r="341" spans="1:25" ht="15.75" customHeight="1" x14ac:dyDescent="0.25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</row>
    <row r="342" spans="1:25" ht="15.75" customHeight="1" x14ac:dyDescent="0.25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</row>
    <row r="343" spans="1:25" ht="15.75" customHeight="1" x14ac:dyDescent="0.25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</row>
    <row r="344" spans="1:25" ht="15.75" customHeight="1" x14ac:dyDescent="0.25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</row>
    <row r="345" spans="1:25" ht="15.75" customHeight="1" x14ac:dyDescent="0.2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</row>
    <row r="346" spans="1:25" ht="15.75" customHeight="1" x14ac:dyDescent="0.25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</row>
    <row r="347" spans="1:25" ht="15.75" customHeight="1" x14ac:dyDescent="0.25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</row>
    <row r="348" spans="1:25" ht="15.75" customHeight="1" x14ac:dyDescent="0.25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</row>
    <row r="349" spans="1:25" ht="15.75" customHeight="1" x14ac:dyDescent="0.25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</row>
    <row r="350" spans="1:25" ht="15.75" customHeight="1" x14ac:dyDescent="0.25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</row>
    <row r="351" spans="1:25" ht="15.75" customHeight="1" x14ac:dyDescent="0.25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</row>
    <row r="352" spans="1:25" ht="15.75" customHeight="1" x14ac:dyDescent="0.25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</row>
    <row r="353" spans="1:25" ht="15.75" customHeight="1" x14ac:dyDescent="0.25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</row>
    <row r="354" spans="1:25" ht="15.75" customHeight="1" x14ac:dyDescent="0.25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</row>
    <row r="355" spans="1:25" ht="15.75" customHeight="1" x14ac:dyDescent="0.2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</row>
    <row r="356" spans="1:25" ht="15.75" customHeight="1" x14ac:dyDescent="0.25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</row>
    <row r="357" spans="1:25" ht="15.75" customHeight="1" x14ac:dyDescent="0.25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</row>
    <row r="358" spans="1:25" ht="15.75" customHeight="1" x14ac:dyDescent="0.25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</row>
    <row r="359" spans="1:25" ht="15.75" customHeight="1" x14ac:dyDescent="0.25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</row>
    <row r="360" spans="1:25" ht="15.75" customHeight="1" x14ac:dyDescent="0.25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</row>
    <row r="361" spans="1:25" ht="15.75" customHeight="1" x14ac:dyDescent="0.25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</row>
    <row r="362" spans="1:25" ht="15.75" customHeight="1" x14ac:dyDescent="0.25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</row>
    <row r="363" spans="1:25" ht="15.75" customHeight="1" x14ac:dyDescent="0.25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</row>
    <row r="364" spans="1:25" ht="15.75" customHeight="1" x14ac:dyDescent="0.25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</row>
    <row r="365" spans="1:25" ht="15.75" customHeight="1" x14ac:dyDescent="0.2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</row>
    <row r="366" spans="1:25" ht="15.75" customHeight="1" x14ac:dyDescent="0.25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</row>
    <row r="367" spans="1:25" ht="15.75" customHeight="1" x14ac:dyDescent="0.25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</row>
    <row r="368" spans="1:25" ht="15.75" customHeight="1" x14ac:dyDescent="0.25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</row>
    <row r="369" spans="1:25" ht="15.75" customHeight="1" x14ac:dyDescent="0.25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</row>
    <row r="370" spans="1:25" ht="15.75" customHeight="1" x14ac:dyDescent="0.25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</row>
    <row r="371" spans="1:25" ht="15.75" customHeight="1" x14ac:dyDescent="0.25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</row>
    <row r="372" spans="1:25" ht="15.75" customHeight="1" x14ac:dyDescent="0.25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</row>
    <row r="373" spans="1:25" ht="15.75" customHeight="1" x14ac:dyDescent="0.25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</row>
    <row r="374" spans="1:25" ht="15.75" customHeight="1" x14ac:dyDescent="0.25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</row>
    <row r="375" spans="1:25" ht="15.75" customHeight="1" x14ac:dyDescent="0.2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</row>
    <row r="376" spans="1:25" ht="15.75" customHeight="1" x14ac:dyDescent="0.25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</row>
    <row r="377" spans="1:25" ht="15.75" customHeight="1" x14ac:dyDescent="0.25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</row>
    <row r="378" spans="1:25" ht="15.75" customHeight="1" x14ac:dyDescent="0.25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</row>
    <row r="379" spans="1:25" ht="15.75" customHeight="1" x14ac:dyDescent="0.25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</row>
    <row r="380" spans="1:25" ht="15.75" customHeight="1" x14ac:dyDescent="0.25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</row>
    <row r="381" spans="1:25" ht="15.75" customHeight="1" x14ac:dyDescent="0.25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</row>
    <row r="382" spans="1:25" ht="15.75" customHeight="1" x14ac:dyDescent="0.25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</row>
    <row r="383" spans="1:25" ht="15.75" customHeight="1" x14ac:dyDescent="0.25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</row>
    <row r="384" spans="1:25" ht="15.75" customHeight="1" x14ac:dyDescent="0.25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</row>
    <row r="385" spans="1:25" ht="15.75" customHeight="1" x14ac:dyDescent="0.2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</row>
    <row r="386" spans="1:25" ht="15.75" customHeight="1" x14ac:dyDescent="0.25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</row>
    <row r="387" spans="1:25" ht="15.75" customHeight="1" x14ac:dyDescent="0.25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</row>
    <row r="388" spans="1:25" ht="15.75" customHeight="1" x14ac:dyDescent="0.25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</row>
    <row r="389" spans="1:25" ht="15.75" customHeight="1" x14ac:dyDescent="0.25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</row>
    <row r="390" spans="1:25" ht="15.75" customHeight="1" x14ac:dyDescent="0.25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</row>
    <row r="391" spans="1:25" ht="15.75" customHeight="1" x14ac:dyDescent="0.25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</row>
    <row r="392" spans="1:25" ht="15.75" customHeight="1" x14ac:dyDescent="0.25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</row>
    <row r="393" spans="1:25" ht="15.75" customHeight="1" x14ac:dyDescent="0.25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</row>
    <row r="394" spans="1:25" ht="15.75" customHeight="1" x14ac:dyDescent="0.25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</row>
    <row r="395" spans="1:25" ht="15.75" customHeight="1" x14ac:dyDescent="0.2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</row>
    <row r="396" spans="1:25" ht="15.75" customHeight="1" x14ac:dyDescent="0.25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</row>
    <row r="397" spans="1:25" ht="15.75" customHeight="1" x14ac:dyDescent="0.25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</row>
    <row r="398" spans="1:25" ht="15.75" customHeight="1" x14ac:dyDescent="0.25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</row>
    <row r="399" spans="1:25" ht="15.75" customHeight="1" x14ac:dyDescent="0.25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</row>
    <row r="400" spans="1:25" ht="15.75" customHeight="1" x14ac:dyDescent="0.25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</row>
    <row r="401" spans="1:25" ht="15.75" customHeight="1" x14ac:dyDescent="0.25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</row>
    <row r="402" spans="1:25" ht="15.75" customHeight="1" x14ac:dyDescent="0.25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</row>
    <row r="403" spans="1:25" ht="15.75" customHeight="1" x14ac:dyDescent="0.25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</row>
    <row r="404" spans="1:25" ht="15.75" customHeight="1" x14ac:dyDescent="0.25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</row>
    <row r="405" spans="1:25" ht="15.75" customHeight="1" x14ac:dyDescent="0.2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</row>
    <row r="406" spans="1:25" ht="15.75" customHeight="1" x14ac:dyDescent="0.25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</row>
    <row r="407" spans="1:25" ht="15.75" customHeight="1" x14ac:dyDescent="0.25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</row>
    <row r="408" spans="1:25" ht="15.75" customHeight="1" x14ac:dyDescent="0.25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</row>
    <row r="409" spans="1:25" ht="15.75" customHeight="1" x14ac:dyDescent="0.25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</row>
    <row r="410" spans="1:25" ht="15.75" customHeight="1" x14ac:dyDescent="0.25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</row>
    <row r="411" spans="1:25" ht="15.75" customHeight="1" x14ac:dyDescent="0.25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</row>
    <row r="412" spans="1:25" ht="15.75" customHeight="1" x14ac:dyDescent="0.25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</row>
    <row r="413" spans="1:25" ht="15.75" customHeight="1" x14ac:dyDescent="0.25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</row>
    <row r="414" spans="1:25" ht="15.75" customHeight="1" x14ac:dyDescent="0.25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</row>
    <row r="415" spans="1:25" ht="15.75" customHeight="1" x14ac:dyDescent="0.2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</row>
    <row r="416" spans="1:25" ht="15.75" customHeight="1" x14ac:dyDescent="0.25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</row>
    <row r="417" spans="1:25" ht="15.75" customHeight="1" x14ac:dyDescent="0.25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</row>
    <row r="418" spans="1:25" ht="15.75" customHeight="1" x14ac:dyDescent="0.25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</row>
    <row r="419" spans="1:25" ht="15.75" customHeight="1" x14ac:dyDescent="0.25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</row>
    <row r="420" spans="1:25" ht="15.75" customHeight="1" x14ac:dyDescent="0.25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</row>
    <row r="421" spans="1:25" ht="15.75" customHeight="1" x14ac:dyDescent="0.25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</row>
    <row r="422" spans="1:25" ht="15.75" customHeight="1" x14ac:dyDescent="0.25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</row>
    <row r="423" spans="1:25" ht="15.75" customHeight="1" x14ac:dyDescent="0.25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</row>
    <row r="424" spans="1:25" ht="15.75" customHeight="1" x14ac:dyDescent="0.25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</row>
    <row r="425" spans="1:25" ht="15.75" customHeight="1" x14ac:dyDescent="0.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</row>
    <row r="426" spans="1:25" ht="15.75" customHeight="1" x14ac:dyDescent="0.25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</row>
    <row r="427" spans="1:25" ht="15.75" customHeight="1" x14ac:dyDescent="0.25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</row>
    <row r="428" spans="1:25" ht="15.75" customHeight="1" x14ac:dyDescent="0.25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</row>
    <row r="429" spans="1:25" ht="15.75" customHeight="1" x14ac:dyDescent="0.25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</row>
    <row r="430" spans="1:25" ht="15.75" customHeight="1" x14ac:dyDescent="0.25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</row>
    <row r="431" spans="1:25" ht="15.75" customHeight="1" x14ac:dyDescent="0.25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</row>
    <row r="432" spans="1:25" ht="15.75" customHeight="1" x14ac:dyDescent="0.25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</row>
    <row r="433" spans="1:25" ht="15.75" customHeight="1" x14ac:dyDescent="0.25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</row>
    <row r="434" spans="1:25" ht="15.75" customHeight="1" x14ac:dyDescent="0.25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</row>
    <row r="435" spans="1:25" ht="15.75" customHeight="1" x14ac:dyDescent="0.2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</row>
    <row r="436" spans="1:25" ht="15.75" customHeight="1" x14ac:dyDescent="0.25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</row>
    <row r="437" spans="1:25" ht="15.75" customHeight="1" x14ac:dyDescent="0.25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</row>
    <row r="438" spans="1:25" ht="15.75" customHeight="1" x14ac:dyDescent="0.25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</row>
    <row r="439" spans="1:25" ht="15.75" customHeight="1" x14ac:dyDescent="0.25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</row>
    <row r="440" spans="1:25" ht="15.75" customHeight="1" x14ac:dyDescent="0.25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</row>
    <row r="441" spans="1:25" ht="15.75" customHeight="1" x14ac:dyDescent="0.25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</row>
    <row r="442" spans="1:25" ht="15.75" customHeight="1" x14ac:dyDescent="0.25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</row>
    <row r="443" spans="1:25" ht="15.75" customHeight="1" x14ac:dyDescent="0.25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</row>
    <row r="444" spans="1:25" ht="15.75" customHeight="1" x14ac:dyDescent="0.25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</row>
    <row r="445" spans="1:25" ht="15.75" customHeight="1" x14ac:dyDescent="0.2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</row>
    <row r="446" spans="1:25" ht="15.75" customHeight="1" x14ac:dyDescent="0.25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</row>
    <row r="447" spans="1:25" ht="15.75" customHeight="1" x14ac:dyDescent="0.25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</row>
    <row r="448" spans="1:25" ht="15.75" customHeight="1" x14ac:dyDescent="0.25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</row>
    <row r="449" spans="1:25" ht="15.75" customHeight="1" x14ac:dyDescent="0.25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</row>
    <row r="450" spans="1:25" ht="15.75" customHeight="1" x14ac:dyDescent="0.25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</row>
    <row r="451" spans="1:25" ht="15.75" customHeight="1" x14ac:dyDescent="0.25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</row>
    <row r="452" spans="1:25" ht="15.75" customHeight="1" x14ac:dyDescent="0.25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</row>
    <row r="453" spans="1:25" ht="15.75" customHeight="1" x14ac:dyDescent="0.25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</row>
    <row r="454" spans="1:25" ht="15.75" customHeight="1" x14ac:dyDescent="0.25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</row>
    <row r="455" spans="1:25" ht="15.75" customHeight="1" x14ac:dyDescent="0.2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</row>
    <row r="456" spans="1:25" ht="15.75" customHeight="1" x14ac:dyDescent="0.25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</row>
    <row r="457" spans="1:25" ht="15.75" customHeight="1" x14ac:dyDescent="0.25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</row>
    <row r="458" spans="1:25" ht="15.75" customHeight="1" x14ac:dyDescent="0.25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</row>
    <row r="459" spans="1:25" ht="15.75" customHeight="1" x14ac:dyDescent="0.25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</row>
    <row r="460" spans="1:25" ht="15.75" customHeight="1" x14ac:dyDescent="0.25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</row>
    <row r="461" spans="1:25" ht="15.75" customHeight="1" x14ac:dyDescent="0.25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</row>
    <row r="462" spans="1:25" ht="15.75" customHeight="1" x14ac:dyDescent="0.25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</row>
    <row r="463" spans="1:25" ht="15.75" customHeight="1" x14ac:dyDescent="0.25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</row>
    <row r="464" spans="1:25" ht="15.75" customHeight="1" x14ac:dyDescent="0.25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</row>
    <row r="465" spans="1:25" ht="15.75" customHeight="1" x14ac:dyDescent="0.2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</row>
    <row r="466" spans="1:25" ht="15.75" customHeight="1" x14ac:dyDescent="0.25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</row>
    <row r="467" spans="1:25" ht="15.75" customHeight="1" x14ac:dyDescent="0.25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</row>
    <row r="468" spans="1:25" ht="15.75" customHeight="1" x14ac:dyDescent="0.25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</row>
    <row r="469" spans="1:25" ht="15.75" customHeight="1" x14ac:dyDescent="0.25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</row>
    <row r="470" spans="1:25" ht="15.75" customHeight="1" x14ac:dyDescent="0.25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</row>
    <row r="471" spans="1:25" ht="15.75" customHeight="1" x14ac:dyDescent="0.25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</row>
    <row r="472" spans="1:25" ht="15.75" customHeight="1" x14ac:dyDescent="0.25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</row>
    <row r="473" spans="1:25" ht="15.75" customHeight="1" x14ac:dyDescent="0.25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</row>
    <row r="474" spans="1:25" ht="15.75" customHeight="1" x14ac:dyDescent="0.25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</row>
    <row r="475" spans="1:25" ht="15.75" customHeight="1" x14ac:dyDescent="0.2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</row>
    <row r="476" spans="1:25" ht="15.75" customHeight="1" x14ac:dyDescent="0.25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</row>
    <row r="477" spans="1:25" ht="15.75" customHeight="1" x14ac:dyDescent="0.25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</row>
    <row r="478" spans="1:25" ht="15.75" customHeight="1" x14ac:dyDescent="0.25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</row>
    <row r="479" spans="1:25" ht="15.75" customHeight="1" x14ac:dyDescent="0.25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</row>
    <row r="480" spans="1:25" ht="15.75" customHeight="1" x14ac:dyDescent="0.25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</row>
    <row r="481" spans="1:25" ht="15.75" customHeight="1" x14ac:dyDescent="0.25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</row>
    <row r="482" spans="1:25" ht="15.75" customHeight="1" x14ac:dyDescent="0.25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</row>
    <row r="483" spans="1:25" ht="15.75" customHeight="1" x14ac:dyDescent="0.25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</row>
    <row r="484" spans="1:25" ht="15.75" customHeight="1" x14ac:dyDescent="0.25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</row>
    <row r="485" spans="1:25" ht="15.75" customHeight="1" x14ac:dyDescent="0.2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</row>
    <row r="486" spans="1:25" ht="15.75" customHeight="1" x14ac:dyDescent="0.25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</row>
    <row r="487" spans="1:25" ht="15.75" customHeight="1" x14ac:dyDescent="0.25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</row>
    <row r="488" spans="1:25" ht="15.75" customHeight="1" x14ac:dyDescent="0.25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</row>
    <row r="489" spans="1:25" ht="15.75" customHeight="1" x14ac:dyDescent="0.25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</row>
    <row r="490" spans="1:25" ht="15.75" customHeight="1" x14ac:dyDescent="0.25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</row>
    <row r="491" spans="1:25" ht="15.75" customHeight="1" x14ac:dyDescent="0.25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</row>
    <row r="492" spans="1:25" ht="15.75" customHeight="1" x14ac:dyDescent="0.25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</row>
    <row r="493" spans="1:25" ht="15.75" customHeight="1" x14ac:dyDescent="0.25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</row>
    <row r="494" spans="1:25" ht="15.75" customHeight="1" x14ac:dyDescent="0.25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</row>
    <row r="495" spans="1:25" ht="15.75" customHeight="1" x14ac:dyDescent="0.2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</row>
    <row r="496" spans="1:25" ht="15.75" customHeight="1" x14ac:dyDescent="0.25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</row>
    <row r="497" spans="1:25" ht="15.75" customHeight="1" x14ac:dyDescent="0.25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</row>
    <row r="498" spans="1:25" ht="15.75" customHeight="1" x14ac:dyDescent="0.25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</row>
    <row r="499" spans="1:25" ht="15.75" customHeight="1" x14ac:dyDescent="0.25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</row>
    <row r="500" spans="1:25" ht="15.75" customHeight="1" x14ac:dyDescent="0.25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</row>
    <row r="501" spans="1:25" ht="15.75" customHeight="1" x14ac:dyDescent="0.25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</row>
    <row r="502" spans="1:25" ht="15.75" customHeight="1" x14ac:dyDescent="0.25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</row>
    <row r="503" spans="1:25" ht="15.75" customHeight="1" x14ac:dyDescent="0.25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</row>
    <row r="504" spans="1:25" ht="15.75" customHeight="1" x14ac:dyDescent="0.25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</row>
    <row r="505" spans="1:25" ht="15.75" customHeight="1" x14ac:dyDescent="0.2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</row>
    <row r="506" spans="1:25" ht="15.75" customHeight="1" x14ac:dyDescent="0.25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</row>
    <row r="507" spans="1:25" ht="15.75" customHeight="1" x14ac:dyDescent="0.25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</row>
    <row r="508" spans="1:25" ht="15.75" customHeight="1" x14ac:dyDescent="0.25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</row>
    <row r="509" spans="1:25" ht="15.75" customHeight="1" x14ac:dyDescent="0.25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</row>
    <row r="510" spans="1:25" ht="15.75" customHeight="1" x14ac:dyDescent="0.25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</row>
    <row r="511" spans="1:25" ht="15.75" customHeight="1" x14ac:dyDescent="0.25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</row>
    <row r="512" spans="1:25" ht="15.75" customHeight="1" x14ac:dyDescent="0.25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</row>
    <row r="513" spans="1:25" ht="15.75" customHeight="1" x14ac:dyDescent="0.25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</row>
    <row r="514" spans="1:25" ht="15.75" customHeight="1" x14ac:dyDescent="0.25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</row>
    <row r="515" spans="1:25" ht="15.75" customHeight="1" x14ac:dyDescent="0.2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</row>
    <row r="516" spans="1:25" ht="15.75" customHeight="1" x14ac:dyDescent="0.25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</row>
    <row r="517" spans="1:25" ht="15.75" customHeight="1" x14ac:dyDescent="0.25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</row>
    <row r="518" spans="1:25" ht="15.75" customHeight="1" x14ac:dyDescent="0.25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</row>
    <row r="519" spans="1:25" ht="15.75" customHeight="1" x14ac:dyDescent="0.25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</row>
    <row r="520" spans="1:25" ht="15.75" customHeight="1" x14ac:dyDescent="0.25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</row>
    <row r="521" spans="1:25" ht="15.75" customHeight="1" x14ac:dyDescent="0.25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</row>
    <row r="522" spans="1:25" ht="15.75" customHeight="1" x14ac:dyDescent="0.25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</row>
    <row r="523" spans="1:25" ht="15.75" customHeight="1" x14ac:dyDescent="0.25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</row>
    <row r="524" spans="1:25" ht="15.75" customHeight="1" x14ac:dyDescent="0.25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</row>
    <row r="525" spans="1:25" ht="15.75" customHeight="1" x14ac:dyDescent="0.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</row>
    <row r="526" spans="1:25" ht="15.75" customHeight="1" x14ac:dyDescent="0.25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</row>
    <row r="527" spans="1:25" ht="15.75" customHeight="1" x14ac:dyDescent="0.25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</row>
    <row r="528" spans="1:25" ht="15.75" customHeight="1" x14ac:dyDescent="0.25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</row>
    <row r="529" spans="1:25" ht="15.75" customHeight="1" x14ac:dyDescent="0.25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</row>
    <row r="530" spans="1:25" ht="15.75" customHeight="1" x14ac:dyDescent="0.25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</row>
    <row r="531" spans="1:25" ht="15.75" customHeight="1" x14ac:dyDescent="0.25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</row>
    <row r="532" spans="1:25" ht="15.75" customHeight="1" x14ac:dyDescent="0.25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</row>
    <row r="533" spans="1:25" ht="15.75" customHeight="1" x14ac:dyDescent="0.25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</row>
    <row r="534" spans="1:25" ht="15.75" customHeight="1" x14ac:dyDescent="0.25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</row>
    <row r="535" spans="1:25" ht="15.75" customHeight="1" x14ac:dyDescent="0.2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</row>
    <row r="536" spans="1:25" ht="15.75" customHeight="1" x14ac:dyDescent="0.25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</row>
    <row r="537" spans="1:25" ht="15.75" customHeight="1" x14ac:dyDescent="0.25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</row>
    <row r="538" spans="1:25" ht="15.75" customHeight="1" x14ac:dyDescent="0.25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</row>
    <row r="539" spans="1:25" ht="15.75" customHeight="1" x14ac:dyDescent="0.25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</row>
    <row r="540" spans="1:25" ht="15.75" customHeight="1" x14ac:dyDescent="0.25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</row>
    <row r="541" spans="1:25" ht="15.75" customHeight="1" x14ac:dyDescent="0.25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</row>
    <row r="542" spans="1:25" ht="15.75" customHeight="1" x14ac:dyDescent="0.25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</row>
    <row r="543" spans="1:25" ht="15.75" customHeight="1" x14ac:dyDescent="0.25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</row>
    <row r="544" spans="1:25" ht="15.75" customHeight="1" x14ac:dyDescent="0.25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</row>
    <row r="545" spans="1:25" ht="15.75" customHeight="1" x14ac:dyDescent="0.2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</row>
    <row r="546" spans="1:25" ht="15.75" customHeight="1" x14ac:dyDescent="0.25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</row>
    <row r="547" spans="1:25" ht="15.75" customHeight="1" x14ac:dyDescent="0.25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</row>
    <row r="548" spans="1:25" ht="15.75" customHeight="1" x14ac:dyDescent="0.25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</row>
    <row r="549" spans="1:25" ht="15.75" customHeight="1" x14ac:dyDescent="0.25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</row>
    <row r="550" spans="1:25" ht="15.75" customHeight="1" x14ac:dyDescent="0.25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</row>
    <row r="551" spans="1:25" ht="15.75" customHeight="1" x14ac:dyDescent="0.25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</row>
    <row r="552" spans="1:25" ht="15.75" customHeight="1" x14ac:dyDescent="0.25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</row>
    <row r="553" spans="1:25" ht="15.75" customHeight="1" x14ac:dyDescent="0.25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</row>
    <row r="554" spans="1:25" ht="15.75" customHeight="1" x14ac:dyDescent="0.25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</row>
    <row r="555" spans="1:25" ht="15.75" customHeight="1" x14ac:dyDescent="0.2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</row>
    <row r="556" spans="1:25" ht="15.75" customHeight="1" x14ac:dyDescent="0.25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</row>
    <row r="557" spans="1:25" ht="15.75" customHeight="1" x14ac:dyDescent="0.25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</row>
    <row r="558" spans="1:25" ht="15.75" customHeight="1" x14ac:dyDescent="0.25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</row>
    <row r="559" spans="1:25" ht="15.75" customHeight="1" x14ac:dyDescent="0.25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</row>
    <row r="560" spans="1:25" ht="15.75" customHeight="1" x14ac:dyDescent="0.25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</row>
    <row r="561" spans="1:25" ht="15.75" customHeight="1" x14ac:dyDescent="0.25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</row>
    <row r="562" spans="1:25" ht="15.75" customHeight="1" x14ac:dyDescent="0.25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</row>
    <row r="563" spans="1:25" ht="15.75" customHeight="1" x14ac:dyDescent="0.25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</row>
    <row r="564" spans="1:25" ht="15.75" customHeight="1" x14ac:dyDescent="0.25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</row>
    <row r="565" spans="1:25" ht="15.75" customHeight="1" x14ac:dyDescent="0.2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</row>
    <row r="566" spans="1:25" ht="15.75" customHeight="1" x14ac:dyDescent="0.25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</row>
    <row r="567" spans="1:25" ht="15.75" customHeight="1" x14ac:dyDescent="0.25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</row>
    <row r="568" spans="1:25" ht="15.75" customHeight="1" x14ac:dyDescent="0.25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</row>
    <row r="569" spans="1:25" ht="15.75" customHeight="1" x14ac:dyDescent="0.25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</row>
    <row r="570" spans="1:25" ht="15.75" customHeight="1" x14ac:dyDescent="0.25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</row>
    <row r="571" spans="1:25" ht="15.75" customHeight="1" x14ac:dyDescent="0.25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</row>
    <row r="572" spans="1:25" ht="15.75" customHeight="1" x14ac:dyDescent="0.25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</row>
    <row r="573" spans="1:25" ht="15.75" customHeight="1" x14ac:dyDescent="0.25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</row>
    <row r="574" spans="1:25" ht="15.75" customHeight="1" x14ac:dyDescent="0.25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</row>
    <row r="575" spans="1:25" ht="15.75" customHeight="1" x14ac:dyDescent="0.2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</row>
    <row r="576" spans="1:25" ht="15.75" customHeight="1" x14ac:dyDescent="0.25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</row>
    <row r="577" spans="1:25" ht="15.75" customHeight="1" x14ac:dyDescent="0.25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</row>
    <row r="578" spans="1:25" ht="15.75" customHeight="1" x14ac:dyDescent="0.25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</row>
    <row r="579" spans="1:25" ht="15.75" customHeight="1" x14ac:dyDescent="0.25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</row>
    <row r="580" spans="1:25" ht="15.75" customHeight="1" x14ac:dyDescent="0.25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</row>
    <row r="581" spans="1:25" ht="15.75" customHeight="1" x14ac:dyDescent="0.25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</row>
    <row r="582" spans="1:25" ht="15.75" customHeight="1" x14ac:dyDescent="0.25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</row>
    <row r="583" spans="1:25" ht="15.75" customHeight="1" x14ac:dyDescent="0.25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</row>
    <row r="584" spans="1:25" ht="15.75" customHeight="1" x14ac:dyDescent="0.25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</row>
    <row r="585" spans="1:25" ht="15.75" customHeight="1" x14ac:dyDescent="0.2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</row>
    <row r="586" spans="1:25" ht="15.75" customHeight="1" x14ac:dyDescent="0.25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</row>
    <row r="587" spans="1:25" ht="15.75" customHeight="1" x14ac:dyDescent="0.25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</row>
    <row r="588" spans="1:25" ht="15.75" customHeight="1" x14ac:dyDescent="0.25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</row>
    <row r="589" spans="1:25" ht="15.75" customHeight="1" x14ac:dyDescent="0.25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</row>
    <row r="590" spans="1:25" ht="15.75" customHeight="1" x14ac:dyDescent="0.25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</row>
    <row r="591" spans="1:25" ht="15.75" customHeight="1" x14ac:dyDescent="0.25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</row>
    <row r="592" spans="1:25" ht="15.75" customHeight="1" x14ac:dyDescent="0.25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</row>
    <row r="593" spans="1:25" ht="15.75" customHeight="1" x14ac:dyDescent="0.25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</row>
    <row r="594" spans="1:25" ht="15.75" customHeight="1" x14ac:dyDescent="0.25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</row>
    <row r="595" spans="1:25" ht="15.75" customHeight="1" x14ac:dyDescent="0.2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</row>
    <row r="596" spans="1:25" ht="15.75" customHeight="1" x14ac:dyDescent="0.25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</row>
    <row r="597" spans="1:25" ht="15.75" customHeight="1" x14ac:dyDescent="0.25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</row>
    <row r="598" spans="1:25" ht="15.75" customHeight="1" x14ac:dyDescent="0.25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</row>
    <row r="599" spans="1:25" ht="15.75" customHeight="1" x14ac:dyDescent="0.25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</row>
    <row r="600" spans="1:25" ht="15.75" customHeight="1" x14ac:dyDescent="0.25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</row>
    <row r="601" spans="1:25" ht="15.75" customHeight="1" x14ac:dyDescent="0.25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</row>
    <row r="602" spans="1:25" ht="15.75" customHeight="1" x14ac:dyDescent="0.25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</row>
    <row r="603" spans="1:25" ht="15.75" customHeight="1" x14ac:dyDescent="0.25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</row>
    <row r="604" spans="1:25" ht="15.75" customHeight="1" x14ac:dyDescent="0.25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</row>
    <row r="605" spans="1:25" ht="15.75" customHeight="1" x14ac:dyDescent="0.2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</row>
    <row r="606" spans="1:25" ht="15.75" customHeight="1" x14ac:dyDescent="0.25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</row>
    <row r="607" spans="1:25" ht="15.75" customHeight="1" x14ac:dyDescent="0.25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</row>
    <row r="608" spans="1:25" ht="15.75" customHeight="1" x14ac:dyDescent="0.25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</row>
    <row r="609" spans="1:25" ht="15.75" customHeight="1" x14ac:dyDescent="0.25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</row>
    <row r="610" spans="1:25" ht="15.75" customHeight="1" x14ac:dyDescent="0.25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</row>
    <row r="611" spans="1:25" ht="15.75" customHeight="1" x14ac:dyDescent="0.25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</row>
    <row r="612" spans="1:25" ht="15.75" customHeight="1" x14ac:dyDescent="0.25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</row>
    <row r="613" spans="1:25" ht="15.75" customHeight="1" x14ac:dyDescent="0.25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</row>
    <row r="614" spans="1:25" ht="15.75" customHeight="1" x14ac:dyDescent="0.25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</row>
    <row r="615" spans="1:25" ht="15.75" customHeight="1" x14ac:dyDescent="0.2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</row>
    <row r="616" spans="1:25" ht="15.75" customHeight="1" x14ac:dyDescent="0.25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</row>
    <row r="617" spans="1:25" ht="15.75" customHeight="1" x14ac:dyDescent="0.25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</row>
    <row r="618" spans="1:25" ht="15.75" customHeight="1" x14ac:dyDescent="0.25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</row>
    <row r="619" spans="1:25" ht="15.75" customHeight="1" x14ac:dyDescent="0.25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</row>
    <row r="620" spans="1:25" ht="15.75" customHeight="1" x14ac:dyDescent="0.25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</row>
    <row r="621" spans="1:25" ht="15.75" customHeight="1" x14ac:dyDescent="0.25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</row>
    <row r="622" spans="1:25" ht="15.75" customHeight="1" x14ac:dyDescent="0.25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</row>
    <row r="623" spans="1:25" ht="15.75" customHeight="1" x14ac:dyDescent="0.25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</row>
    <row r="624" spans="1:25" ht="15.75" customHeight="1" x14ac:dyDescent="0.25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</row>
    <row r="625" spans="1:25" ht="15.75" customHeight="1" x14ac:dyDescent="0.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</row>
    <row r="626" spans="1:25" ht="15.75" customHeight="1" x14ac:dyDescent="0.25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</row>
    <row r="627" spans="1:25" ht="15.75" customHeight="1" x14ac:dyDescent="0.25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</row>
    <row r="628" spans="1:25" ht="15.75" customHeight="1" x14ac:dyDescent="0.25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</row>
    <row r="629" spans="1:25" ht="15.75" customHeight="1" x14ac:dyDescent="0.25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</row>
    <row r="630" spans="1:25" ht="15.75" customHeight="1" x14ac:dyDescent="0.25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</row>
    <row r="631" spans="1:25" ht="15.75" customHeight="1" x14ac:dyDescent="0.25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</row>
    <row r="632" spans="1:25" ht="15.75" customHeight="1" x14ac:dyDescent="0.25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</row>
    <row r="633" spans="1:25" ht="15.75" customHeight="1" x14ac:dyDescent="0.25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</row>
    <row r="634" spans="1:25" ht="15.75" customHeight="1" x14ac:dyDescent="0.25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</row>
    <row r="635" spans="1:25" ht="15.75" customHeight="1" x14ac:dyDescent="0.2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</row>
    <row r="636" spans="1:25" ht="15.75" customHeight="1" x14ac:dyDescent="0.25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</row>
    <row r="637" spans="1:25" ht="15.75" customHeight="1" x14ac:dyDescent="0.25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</row>
    <row r="638" spans="1:25" ht="15.75" customHeight="1" x14ac:dyDescent="0.25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</row>
    <row r="639" spans="1:25" ht="15.75" customHeight="1" x14ac:dyDescent="0.25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</row>
    <row r="640" spans="1:25" ht="15.75" customHeight="1" x14ac:dyDescent="0.25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</row>
    <row r="641" spans="1:25" ht="15.75" customHeight="1" x14ac:dyDescent="0.25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</row>
    <row r="642" spans="1:25" ht="15.75" customHeight="1" x14ac:dyDescent="0.25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</row>
    <row r="643" spans="1:25" ht="15.75" customHeight="1" x14ac:dyDescent="0.25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</row>
    <row r="644" spans="1:25" ht="15.75" customHeight="1" x14ac:dyDescent="0.25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</row>
    <row r="645" spans="1:25" ht="15.75" customHeight="1" x14ac:dyDescent="0.2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</row>
    <row r="646" spans="1:25" ht="15.75" customHeight="1" x14ac:dyDescent="0.25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</row>
    <row r="647" spans="1:25" ht="15.75" customHeight="1" x14ac:dyDescent="0.25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</row>
    <row r="648" spans="1:25" ht="15.75" customHeight="1" x14ac:dyDescent="0.25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</row>
    <row r="649" spans="1:25" ht="15.75" customHeight="1" x14ac:dyDescent="0.25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</row>
    <row r="650" spans="1:25" ht="15.75" customHeight="1" x14ac:dyDescent="0.25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</row>
    <row r="651" spans="1:25" ht="15.75" customHeight="1" x14ac:dyDescent="0.25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</row>
    <row r="652" spans="1:25" ht="15.75" customHeight="1" x14ac:dyDescent="0.25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</row>
    <row r="653" spans="1:25" ht="15.75" customHeight="1" x14ac:dyDescent="0.25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</row>
    <row r="654" spans="1:25" ht="15.75" customHeight="1" x14ac:dyDescent="0.25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</row>
    <row r="655" spans="1:25" ht="15.75" customHeight="1" x14ac:dyDescent="0.2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</row>
    <row r="656" spans="1:25" ht="15.75" customHeight="1" x14ac:dyDescent="0.25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</row>
    <row r="657" spans="1:25" ht="15.75" customHeight="1" x14ac:dyDescent="0.25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</row>
    <row r="658" spans="1:25" ht="15.75" customHeight="1" x14ac:dyDescent="0.25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</row>
    <row r="659" spans="1:25" ht="15.75" customHeight="1" x14ac:dyDescent="0.25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</row>
    <row r="660" spans="1:25" ht="15.75" customHeight="1" x14ac:dyDescent="0.25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</row>
    <row r="661" spans="1:25" ht="15.75" customHeight="1" x14ac:dyDescent="0.25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</row>
    <row r="662" spans="1:25" ht="15.75" customHeight="1" x14ac:dyDescent="0.25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</row>
    <row r="663" spans="1:25" ht="15.75" customHeight="1" x14ac:dyDescent="0.25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</row>
    <row r="664" spans="1:25" ht="15.75" customHeight="1" x14ac:dyDescent="0.25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</row>
    <row r="665" spans="1:25" ht="15.75" customHeight="1" x14ac:dyDescent="0.2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</row>
    <row r="666" spans="1:25" ht="15.75" customHeight="1" x14ac:dyDescent="0.25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</row>
    <row r="667" spans="1:25" ht="15.75" customHeight="1" x14ac:dyDescent="0.25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</row>
    <row r="668" spans="1:25" ht="15.75" customHeight="1" x14ac:dyDescent="0.25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</row>
    <row r="669" spans="1:25" ht="15.75" customHeight="1" x14ac:dyDescent="0.25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</row>
    <row r="670" spans="1:25" ht="15.75" customHeight="1" x14ac:dyDescent="0.25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</row>
    <row r="671" spans="1:25" ht="15.75" customHeight="1" x14ac:dyDescent="0.25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</row>
    <row r="672" spans="1:25" ht="15.75" customHeight="1" x14ac:dyDescent="0.25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</row>
    <row r="673" spans="1:25" ht="15.75" customHeight="1" x14ac:dyDescent="0.25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</row>
    <row r="674" spans="1:25" ht="15.75" customHeight="1" x14ac:dyDescent="0.25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</row>
    <row r="675" spans="1:25" ht="15.75" customHeight="1" x14ac:dyDescent="0.2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</row>
    <row r="676" spans="1:25" ht="15.75" customHeight="1" x14ac:dyDescent="0.25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</row>
    <row r="677" spans="1:25" ht="15.75" customHeight="1" x14ac:dyDescent="0.25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</row>
    <row r="678" spans="1:25" ht="15.75" customHeight="1" x14ac:dyDescent="0.25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</row>
    <row r="679" spans="1:25" ht="15.75" customHeight="1" x14ac:dyDescent="0.25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</row>
    <row r="680" spans="1:25" ht="15.75" customHeight="1" x14ac:dyDescent="0.25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</row>
    <row r="681" spans="1:25" ht="15.75" customHeight="1" x14ac:dyDescent="0.25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</row>
    <row r="682" spans="1:25" ht="15.75" customHeight="1" x14ac:dyDescent="0.25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</row>
    <row r="683" spans="1:25" ht="15.75" customHeight="1" x14ac:dyDescent="0.25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</row>
    <row r="684" spans="1:25" ht="15.75" customHeight="1" x14ac:dyDescent="0.25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</row>
    <row r="685" spans="1:25" ht="15.75" customHeight="1" x14ac:dyDescent="0.2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</row>
    <row r="686" spans="1:25" ht="15.75" customHeight="1" x14ac:dyDescent="0.25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</row>
    <row r="687" spans="1:25" ht="15.75" customHeight="1" x14ac:dyDescent="0.25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</row>
    <row r="688" spans="1:25" ht="15.75" customHeight="1" x14ac:dyDescent="0.25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</row>
    <row r="689" spans="1:25" ht="15.75" customHeight="1" x14ac:dyDescent="0.25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</row>
    <row r="690" spans="1:25" ht="15.75" customHeight="1" x14ac:dyDescent="0.25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</row>
    <row r="691" spans="1:25" ht="15.75" customHeight="1" x14ac:dyDescent="0.25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</row>
    <row r="692" spans="1:25" ht="15.75" customHeight="1" x14ac:dyDescent="0.25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</row>
    <row r="693" spans="1:25" ht="15.75" customHeight="1" x14ac:dyDescent="0.25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</row>
    <row r="694" spans="1:25" ht="15.75" customHeight="1" x14ac:dyDescent="0.25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</row>
    <row r="695" spans="1:25" ht="15.75" customHeight="1" x14ac:dyDescent="0.2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</row>
    <row r="696" spans="1:25" ht="15.75" customHeight="1" x14ac:dyDescent="0.25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</row>
    <row r="697" spans="1:25" ht="15.75" customHeight="1" x14ac:dyDescent="0.25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</row>
    <row r="698" spans="1:25" ht="15.75" customHeight="1" x14ac:dyDescent="0.25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</row>
    <row r="699" spans="1:25" ht="15.75" customHeight="1" x14ac:dyDescent="0.25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</row>
    <row r="700" spans="1:25" ht="15.75" customHeight="1" x14ac:dyDescent="0.25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</row>
    <row r="701" spans="1:25" ht="15.75" customHeight="1" x14ac:dyDescent="0.25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</row>
    <row r="702" spans="1:25" ht="15.75" customHeight="1" x14ac:dyDescent="0.25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</row>
    <row r="703" spans="1:25" ht="15.75" customHeight="1" x14ac:dyDescent="0.25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</row>
    <row r="704" spans="1:25" ht="15.75" customHeight="1" x14ac:dyDescent="0.25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</row>
    <row r="705" spans="1:25" ht="15.75" customHeight="1" x14ac:dyDescent="0.2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</row>
    <row r="706" spans="1:25" ht="15.75" customHeight="1" x14ac:dyDescent="0.25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</row>
    <row r="707" spans="1:25" ht="15.75" customHeight="1" x14ac:dyDescent="0.25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</row>
    <row r="708" spans="1:25" ht="15.75" customHeight="1" x14ac:dyDescent="0.25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</row>
    <row r="709" spans="1:25" ht="15.75" customHeight="1" x14ac:dyDescent="0.25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</row>
    <row r="710" spans="1:25" ht="15.75" customHeight="1" x14ac:dyDescent="0.25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</row>
    <row r="711" spans="1:25" ht="15.75" customHeight="1" x14ac:dyDescent="0.25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</row>
    <row r="712" spans="1:25" ht="15.75" customHeight="1" x14ac:dyDescent="0.25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</row>
    <row r="713" spans="1:25" ht="15.75" customHeight="1" x14ac:dyDescent="0.25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</row>
    <row r="714" spans="1:25" ht="15.75" customHeight="1" x14ac:dyDescent="0.25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</row>
    <row r="715" spans="1:25" ht="15.75" customHeight="1" x14ac:dyDescent="0.2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</row>
    <row r="716" spans="1:25" ht="15.75" customHeight="1" x14ac:dyDescent="0.25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</row>
    <row r="717" spans="1:25" ht="15.75" customHeight="1" x14ac:dyDescent="0.25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</row>
    <row r="718" spans="1:25" ht="15.75" customHeight="1" x14ac:dyDescent="0.25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</row>
    <row r="719" spans="1:25" ht="15.75" customHeight="1" x14ac:dyDescent="0.25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</row>
    <row r="720" spans="1:25" ht="15.75" customHeight="1" x14ac:dyDescent="0.25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</row>
    <row r="721" spans="1:25" ht="15.75" customHeight="1" x14ac:dyDescent="0.25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</row>
    <row r="722" spans="1:25" ht="15.75" customHeight="1" x14ac:dyDescent="0.25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</row>
    <row r="723" spans="1:25" ht="15.75" customHeight="1" x14ac:dyDescent="0.25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</row>
    <row r="724" spans="1:25" ht="15.75" customHeight="1" x14ac:dyDescent="0.25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</row>
    <row r="725" spans="1:25" ht="15.75" customHeight="1" x14ac:dyDescent="0.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</row>
    <row r="726" spans="1:25" ht="15.75" customHeight="1" x14ac:dyDescent="0.25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</row>
    <row r="727" spans="1:25" ht="15.75" customHeight="1" x14ac:dyDescent="0.25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</row>
    <row r="728" spans="1:25" ht="15.75" customHeight="1" x14ac:dyDescent="0.25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</row>
    <row r="729" spans="1:25" ht="15.75" customHeight="1" x14ac:dyDescent="0.25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</row>
    <row r="730" spans="1:25" ht="15.75" customHeight="1" x14ac:dyDescent="0.25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</row>
    <row r="731" spans="1:25" ht="15.75" customHeight="1" x14ac:dyDescent="0.25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</row>
    <row r="732" spans="1:25" ht="15.75" customHeight="1" x14ac:dyDescent="0.25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</row>
    <row r="733" spans="1:25" ht="15.75" customHeight="1" x14ac:dyDescent="0.25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</row>
    <row r="734" spans="1:25" ht="15.75" customHeight="1" x14ac:dyDescent="0.25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</row>
    <row r="735" spans="1:25" ht="15.75" customHeight="1" x14ac:dyDescent="0.2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</row>
    <row r="736" spans="1:25" ht="15.75" customHeight="1" x14ac:dyDescent="0.25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</row>
    <row r="737" spans="1:25" ht="15.75" customHeight="1" x14ac:dyDescent="0.25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</row>
    <row r="738" spans="1:25" ht="15.75" customHeight="1" x14ac:dyDescent="0.25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</row>
    <row r="739" spans="1:25" ht="15.75" customHeight="1" x14ac:dyDescent="0.25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</row>
    <row r="740" spans="1:25" ht="15.75" customHeight="1" x14ac:dyDescent="0.25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</row>
    <row r="741" spans="1:25" ht="15.75" customHeight="1" x14ac:dyDescent="0.25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</row>
    <row r="742" spans="1:25" ht="15.75" customHeight="1" x14ac:dyDescent="0.25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</row>
    <row r="743" spans="1:25" ht="15.75" customHeight="1" x14ac:dyDescent="0.25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</row>
    <row r="744" spans="1:25" ht="15.75" customHeight="1" x14ac:dyDescent="0.25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</row>
    <row r="745" spans="1:25" ht="15.75" customHeight="1" x14ac:dyDescent="0.2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</row>
    <row r="746" spans="1:25" ht="15.75" customHeight="1" x14ac:dyDescent="0.25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</row>
    <row r="747" spans="1:25" ht="15.75" customHeight="1" x14ac:dyDescent="0.25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</row>
    <row r="748" spans="1:25" ht="15.75" customHeight="1" x14ac:dyDescent="0.25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</row>
    <row r="749" spans="1:25" ht="15.75" customHeight="1" x14ac:dyDescent="0.25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</row>
    <row r="750" spans="1:25" ht="15.75" customHeight="1" x14ac:dyDescent="0.25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</row>
    <row r="751" spans="1:25" ht="15.75" customHeight="1" x14ac:dyDescent="0.25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</row>
    <row r="752" spans="1:25" ht="15.75" customHeight="1" x14ac:dyDescent="0.25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</row>
    <row r="753" spans="1:25" ht="15.75" customHeight="1" x14ac:dyDescent="0.25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</row>
    <row r="754" spans="1:25" ht="15.75" customHeight="1" x14ac:dyDescent="0.25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</row>
    <row r="755" spans="1:25" ht="15.75" customHeight="1" x14ac:dyDescent="0.2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</row>
    <row r="756" spans="1:25" ht="15.75" customHeight="1" x14ac:dyDescent="0.25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</row>
    <row r="757" spans="1:25" ht="15.75" customHeight="1" x14ac:dyDescent="0.25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</row>
    <row r="758" spans="1:25" ht="15.75" customHeight="1" x14ac:dyDescent="0.25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</row>
    <row r="759" spans="1:25" ht="15.75" customHeight="1" x14ac:dyDescent="0.25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</row>
    <row r="760" spans="1:25" ht="15.75" customHeight="1" x14ac:dyDescent="0.25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</row>
    <row r="761" spans="1:25" ht="15.75" customHeight="1" x14ac:dyDescent="0.25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</row>
    <row r="762" spans="1:25" ht="15.75" customHeight="1" x14ac:dyDescent="0.25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</row>
    <row r="763" spans="1:25" ht="15.75" customHeight="1" x14ac:dyDescent="0.25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</row>
    <row r="764" spans="1:25" ht="15.75" customHeight="1" x14ac:dyDescent="0.25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</row>
    <row r="765" spans="1:25" ht="15.75" customHeight="1" x14ac:dyDescent="0.2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</row>
    <row r="766" spans="1:25" ht="15.75" customHeight="1" x14ac:dyDescent="0.25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</row>
    <row r="767" spans="1:25" ht="15.75" customHeight="1" x14ac:dyDescent="0.25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</row>
    <row r="768" spans="1:25" ht="15.75" customHeight="1" x14ac:dyDescent="0.25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</row>
    <row r="769" spans="1:25" ht="15.75" customHeight="1" x14ac:dyDescent="0.25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</row>
    <row r="770" spans="1:25" ht="15.75" customHeight="1" x14ac:dyDescent="0.25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</row>
    <row r="771" spans="1:25" ht="15.75" customHeight="1" x14ac:dyDescent="0.25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</row>
    <row r="772" spans="1:25" ht="15.75" customHeight="1" x14ac:dyDescent="0.25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</row>
    <row r="773" spans="1:25" ht="15.75" customHeight="1" x14ac:dyDescent="0.25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</row>
    <row r="774" spans="1:25" ht="15.75" customHeight="1" x14ac:dyDescent="0.25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</row>
    <row r="775" spans="1:25" ht="15.75" customHeight="1" x14ac:dyDescent="0.2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</row>
    <row r="776" spans="1:25" ht="15.75" customHeight="1" x14ac:dyDescent="0.25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</row>
    <row r="777" spans="1:25" ht="15.75" customHeight="1" x14ac:dyDescent="0.25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</row>
    <row r="778" spans="1:25" ht="15.75" customHeight="1" x14ac:dyDescent="0.25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</row>
    <row r="779" spans="1:25" ht="15.75" customHeight="1" x14ac:dyDescent="0.25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</row>
    <row r="780" spans="1:25" ht="15.75" customHeight="1" x14ac:dyDescent="0.25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</row>
    <row r="781" spans="1:25" ht="15.75" customHeight="1" x14ac:dyDescent="0.25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</row>
    <row r="782" spans="1:25" ht="15.75" customHeight="1" x14ac:dyDescent="0.25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</row>
    <row r="783" spans="1:25" ht="15.75" customHeight="1" x14ac:dyDescent="0.25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</row>
    <row r="784" spans="1:25" ht="15.75" customHeight="1" x14ac:dyDescent="0.25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</row>
    <row r="785" spans="1:25" ht="15.75" customHeight="1" x14ac:dyDescent="0.2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</row>
    <row r="786" spans="1:25" ht="15.75" customHeight="1" x14ac:dyDescent="0.25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</row>
    <row r="787" spans="1:25" ht="15.75" customHeight="1" x14ac:dyDescent="0.25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</row>
    <row r="788" spans="1:25" ht="15.75" customHeight="1" x14ac:dyDescent="0.25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</row>
    <row r="789" spans="1:25" ht="15.75" customHeight="1" x14ac:dyDescent="0.25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</row>
    <row r="790" spans="1:25" ht="15.75" customHeight="1" x14ac:dyDescent="0.25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</row>
    <row r="791" spans="1:25" ht="15.75" customHeight="1" x14ac:dyDescent="0.25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</row>
    <row r="792" spans="1:25" ht="15.75" customHeight="1" x14ac:dyDescent="0.25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</row>
    <row r="793" spans="1:25" ht="15.75" customHeight="1" x14ac:dyDescent="0.25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</row>
    <row r="794" spans="1:25" ht="15.75" customHeight="1" x14ac:dyDescent="0.25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</row>
    <row r="795" spans="1:25" ht="15.75" customHeight="1" x14ac:dyDescent="0.2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</row>
    <row r="796" spans="1:25" ht="15.75" customHeight="1" x14ac:dyDescent="0.25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</row>
    <row r="797" spans="1:25" ht="15.75" customHeight="1" x14ac:dyDescent="0.25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</row>
    <row r="798" spans="1:25" ht="15.75" customHeight="1" x14ac:dyDescent="0.25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</row>
    <row r="799" spans="1:25" ht="15.75" customHeight="1" x14ac:dyDescent="0.25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</row>
    <row r="800" spans="1:25" ht="15.75" customHeight="1" x14ac:dyDescent="0.25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</row>
    <row r="801" spans="1:25" ht="15.75" customHeight="1" x14ac:dyDescent="0.25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</row>
    <row r="802" spans="1:25" ht="15.75" customHeight="1" x14ac:dyDescent="0.25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</row>
    <row r="803" spans="1:25" ht="15.75" customHeight="1" x14ac:dyDescent="0.25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</row>
    <row r="804" spans="1:25" ht="15.75" customHeight="1" x14ac:dyDescent="0.25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</row>
    <row r="805" spans="1:25" ht="15.75" customHeight="1" x14ac:dyDescent="0.2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</row>
    <row r="806" spans="1:25" ht="15.75" customHeight="1" x14ac:dyDescent="0.25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</row>
    <row r="807" spans="1:25" ht="15.75" customHeight="1" x14ac:dyDescent="0.25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</row>
    <row r="808" spans="1:25" ht="15.75" customHeight="1" x14ac:dyDescent="0.25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</row>
    <row r="809" spans="1:25" ht="15.75" customHeight="1" x14ac:dyDescent="0.25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</row>
    <row r="810" spans="1:25" ht="15.75" customHeight="1" x14ac:dyDescent="0.25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</row>
    <row r="811" spans="1:25" ht="15.75" customHeight="1" x14ac:dyDescent="0.25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</row>
    <row r="812" spans="1:25" ht="15.75" customHeight="1" x14ac:dyDescent="0.25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</row>
    <row r="813" spans="1:25" ht="15.75" customHeight="1" x14ac:dyDescent="0.25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</row>
    <row r="814" spans="1:25" ht="15.75" customHeight="1" x14ac:dyDescent="0.25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</row>
    <row r="815" spans="1:25" ht="15.75" customHeight="1" x14ac:dyDescent="0.2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</row>
    <row r="816" spans="1:25" ht="15.75" customHeight="1" x14ac:dyDescent="0.25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</row>
    <row r="817" spans="1:25" ht="15.75" customHeight="1" x14ac:dyDescent="0.25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</row>
    <row r="818" spans="1:25" ht="15.75" customHeight="1" x14ac:dyDescent="0.25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</row>
    <row r="819" spans="1:25" ht="15.75" customHeight="1" x14ac:dyDescent="0.25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</row>
    <row r="820" spans="1:25" ht="15.75" customHeight="1" x14ac:dyDescent="0.25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</row>
    <row r="821" spans="1:25" ht="15.75" customHeight="1" x14ac:dyDescent="0.25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</row>
    <row r="822" spans="1:25" ht="15.75" customHeight="1" x14ac:dyDescent="0.25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</row>
    <row r="823" spans="1:25" ht="15.75" customHeight="1" x14ac:dyDescent="0.25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</row>
    <row r="824" spans="1:25" ht="15.75" customHeight="1" x14ac:dyDescent="0.25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</row>
    <row r="825" spans="1:25" ht="15.75" customHeight="1" x14ac:dyDescent="0.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</row>
    <row r="826" spans="1:25" ht="15.75" customHeight="1" x14ac:dyDescent="0.25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</row>
    <row r="827" spans="1:25" ht="15.75" customHeight="1" x14ac:dyDescent="0.25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</row>
    <row r="828" spans="1:25" ht="15.75" customHeight="1" x14ac:dyDescent="0.25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</row>
    <row r="829" spans="1:25" ht="15.75" customHeight="1" x14ac:dyDescent="0.25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</row>
    <row r="830" spans="1:25" ht="15.75" customHeight="1" x14ac:dyDescent="0.25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</row>
    <row r="831" spans="1:25" ht="15.75" customHeight="1" x14ac:dyDescent="0.25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</row>
    <row r="832" spans="1:25" ht="15.75" customHeight="1" x14ac:dyDescent="0.25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</row>
    <row r="833" spans="1:25" ht="15.75" customHeight="1" x14ac:dyDescent="0.25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</row>
    <row r="834" spans="1:25" ht="15.75" customHeight="1" x14ac:dyDescent="0.25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</row>
    <row r="835" spans="1:25" ht="15.75" customHeight="1" x14ac:dyDescent="0.2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</row>
    <row r="836" spans="1:25" ht="15.75" customHeight="1" x14ac:dyDescent="0.25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</row>
    <row r="837" spans="1:25" ht="15.75" customHeight="1" x14ac:dyDescent="0.25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</row>
    <row r="838" spans="1:25" ht="15.75" customHeight="1" x14ac:dyDescent="0.25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</row>
    <row r="839" spans="1:25" ht="15.75" customHeight="1" x14ac:dyDescent="0.25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</row>
    <row r="840" spans="1:25" ht="15.75" customHeight="1" x14ac:dyDescent="0.25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</row>
    <row r="841" spans="1:25" ht="15.75" customHeight="1" x14ac:dyDescent="0.25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</row>
    <row r="842" spans="1:25" ht="15.75" customHeight="1" x14ac:dyDescent="0.25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</row>
    <row r="843" spans="1:25" ht="15.75" customHeight="1" x14ac:dyDescent="0.25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</row>
    <row r="844" spans="1:25" ht="15.75" customHeight="1" x14ac:dyDescent="0.25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</row>
    <row r="845" spans="1:25" ht="15.75" customHeight="1" x14ac:dyDescent="0.2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</row>
    <row r="846" spans="1:25" ht="15.75" customHeight="1" x14ac:dyDescent="0.25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</row>
    <row r="847" spans="1:25" ht="15.75" customHeight="1" x14ac:dyDescent="0.25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</row>
    <row r="848" spans="1:25" ht="15.75" customHeight="1" x14ac:dyDescent="0.25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</row>
    <row r="849" spans="1:25" ht="15.75" customHeight="1" x14ac:dyDescent="0.25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</row>
    <row r="850" spans="1:25" ht="15.75" customHeight="1" x14ac:dyDescent="0.25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</row>
    <row r="851" spans="1:25" ht="15.75" customHeight="1" x14ac:dyDescent="0.25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</row>
    <row r="852" spans="1:25" ht="15.75" customHeight="1" x14ac:dyDescent="0.25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</row>
    <row r="853" spans="1:25" ht="15.75" customHeight="1" x14ac:dyDescent="0.25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</row>
    <row r="854" spans="1:25" ht="15.75" customHeight="1" x14ac:dyDescent="0.25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</row>
    <row r="855" spans="1:25" ht="15.75" customHeight="1" x14ac:dyDescent="0.2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</row>
    <row r="856" spans="1:25" ht="15.75" customHeight="1" x14ac:dyDescent="0.25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</row>
    <row r="857" spans="1:25" ht="15.75" customHeight="1" x14ac:dyDescent="0.25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</row>
    <row r="858" spans="1:25" ht="15.75" customHeight="1" x14ac:dyDescent="0.25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</row>
    <row r="859" spans="1:25" ht="15.75" customHeight="1" x14ac:dyDescent="0.25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</row>
    <row r="860" spans="1:25" ht="15.75" customHeight="1" x14ac:dyDescent="0.25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</row>
    <row r="861" spans="1:25" ht="15.75" customHeight="1" x14ac:dyDescent="0.25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</row>
    <row r="862" spans="1:25" ht="15.75" customHeight="1" x14ac:dyDescent="0.25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</row>
    <row r="863" spans="1:25" ht="15.75" customHeight="1" x14ac:dyDescent="0.25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</row>
    <row r="864" spans="1:25" ht="15.75" customHeight="1" x14ac:dyDescent="0.25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</row>
    <row r="865" spans="1:25" ht="15.75" customHeight="1" x14ac:dyDescent="0.2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</row>
    <row r="866" spans="1:25" ht="15.75" customHeight="1" x14ac:dyDescent="0.25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</row>
    <row r="867" spans="1:25" ht="15.75" customHeight="1" x14ac:dyDescent="0.25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</row>
    <row r="868" spans="1:25" ht="15.75" customHeight="1" x14ac:dyDescent="0.25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</row>
    <row r="869" spans="1:25" ht="15.75" customHeight="1" x14ac:dyDescent="0.25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</row>
    <row r="870" spans="1:25" ht="15.75" customHeight="1" x14ac:dyDescent="0.25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</row>
    <row r="871" spans="1:25" ht="15.75" customHeight="1" x14ac:dyDescent="0.25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</row>
    <row r="872" spans="1:25" ht="15.75" customHeight="1" x14ac:dyDescent="0.25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</row>
    <row r="873" spans="1:25" ht="15.75" customHeight="1" x14ac:dyDescent="0.25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</row>
    <row r="874" spans="1:25" ht="15.75" customHeight="1" x14ac:dyDescent="0.25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</row>
    <row r="875" spans="1:25" ht="15.75" customHeight="1" x14ac:dyDescent="0.2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</row>
    <row r="876" spans="1:25" ht="15.75" customHeight="1" x14ac:dyDescent="0.25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</row>
    <row r="877" spans="1:25" ht="15.75" customHeight="1" x14ac:dyDescent="0.25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</row>
    <row r="878" spans="1:25" ht="15.75" customHeight="1" x14ac:dyDescent="0.25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</row>
    <row r="879" spans="1:25" ht="15.75" customHeight="1" x14ac:dyDescent="0.25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</row>
    <row r="880" spans="1:25" ht="15.75" customHeight="1" x14ac:dyDescent="0.25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</row>
    <row r="881" spans="1:25" ht="15.75" customHeight="1" x14ac:dyDescent="0.25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</row>
    <row r="882" spans="1:25" ht="15.75" customHeight="1" x14ac:dyDescent="0.25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</row>
    <row r="883" spans="1:25" ht="15.75" customHeight="1" x14ac:dyDescent="0.25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</row>
    <row r="884" spans="1:25" ht="15.75" customHeight="1" x14ac:dyDescent="0.25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</row>
    <row r="885" spans="1:25" ht="15.75" customHeight="1" x14ac:dyDescent="0.2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</row>
    <row r="886" spans="1:25" ht="15.75" customHeight="1" x14ac:dyDescent="0.25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</row>
    <row r="887" spans="1:25" ht="15.75" customHeight="1" x14ac:dyDescent="0.25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</row>
    <row r="888" spans="1:25" ht="15.75" customHeight="1" x14ac:dyDescent="0.25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</row>
    <row r="889" spans="1:25" ht="15.75" customHeight="1" x14ac:dyDescent="0.25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</row>
    <row r="890" spans="1:25" ht="15.75" customHeight="1" x14ac:dyDescent="0.25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</row>
    <row r="891" spans="1:25" ht="15.75" customHeight="1" x14ac:dyDescent="0.25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</row>
    <row r="892" spans="1:25" ht="15.75" customHeight="1" x14ac:dyDescent="0.25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</row>
    <row r="893" spans="1:25" ht="15.75" customHeight="1" x14ac:dyDescent="0.25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</row>
    <row r="894" spans="1:25" ht="15.75" customHeight="1" x14ac:dyDescent="0.25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</row>
    <row r="895" spans="1:25" ht="15.75" customHeight="1" x14ac:dyDescent="0.2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</row>
    <row r="896" spans="1:25" ht="15.75" customHeight="1" x14ac:dyDescent="0.25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</row>
    <row r="897" spans="1:25" ht="15.75" customHeight="1" x14ac:dyDescent="0.25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</row>
    <row r="898" spans="1:25" ht="15.75" customHeight="1" x14ac:dyDescent="0.25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</row>
    <row r="899" spans="1:25" ht="15.75" customHeight="1" x14ac:dyDescent="0.25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</row>
    <row r="900" spans="1:25" ht="15.75" customHeight="1" x14ac:dyDescent="0.25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</row>
    <row r="901" spans="1:25" ht="15.75" customHeight="1" x14ac:dyDescent="0.25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</row>
    <row r="902" spans="1:25" ht="15.75" customHeight="1" x14ac:dyDescent="0.25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</row>
    <row r="903" spans="1:25" ht="15.75" customHeight="1" x14ac:dyDescent="0.25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</row>
    <row r="904" spans="1:25" ht="15.75" customHeight="1" x14ac:dyDescent="0.25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</row>
    <row r="905" spans="1:25" ht="15.75" customHeight="1" x14ac:dyDescent="0.2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</row>
    <row r="906" spans="1:25" ht="15.75" customHeight="1" x14ac:dyDescent="0.25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</row>
    <row r="907" spans="1:25" ht="15.75" customHeight="1" x14ac:dyDescent="0.25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</row>
    <row r="908" spans="1:25" ht="15.75" customHeight="1" x14ac:dyDescent="0.25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</row>
    <row r="909" spans="1:25" ht="15.75" customHeight="1" x14ac:dyDescent="0.25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</row>
    <row r="910" spans="1:25" ht="15.75" customHeight="1" x14ac:dyDescent="0.25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</row>
    <row r="911" spans="1:25" ht="15.75" customHeight="1" x14ac:dyDescent="0.25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</row>
    <row r="912" spans="1:25" ht="15.75" customHeight="1" x14ac:dyDescent="0.25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</row>
    <row r="913" spans="1:25" ht="15.75" customHeight="1" x14ac:dyDescent="0.25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</row>
    <row r="914" spans="1:25" ht="15.75" customHeight="1" x14ac:dyDescent="0.25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</row>
    <row r="915" spans="1:25" ht="15.75" customHeight="1" x14ac:dyDescent="0.2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</row>
    <row r="916" spans="1:25" ht="15.75" customHeight="1" x14ac:dyDescent="0.25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</row>
    <row r="917" spans="1:25" ht="15.75" customHeight="1" x14ac:dyDescent="0.25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</row>
    <row r="918" spans="1:25" ht="15.75" customHeight="1" x14ac:dyDescent="0.25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</row>
    <row r="919" spans="1:25" ht="15.75" customHeight="1" x14ac:dyDescent="0.25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</row>
    <row r="920" spans="1:25" ht="15.75" customHeight="1" x14ac:dyDescent="0.25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</row>
    <row r="921" spans="1:25" ht="15.75" customHeight="1" x14ac:dyDescent="0.25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</row>
    <row r="922" spans="1:25" ht="15.75" customHeight="1" x14ac:dyDescent="0.25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</row>
    <row r="923" spans="1:25" ht="15.75" customHeight="1" x14ac:dyDescent="0.25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</row>
    <row r="924" spans="1:25" ht="15.75" customHeight="1" x14ac:dyDescent="0.25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</row>
    <row r="925" spans="1:25" ht="15.75" customHeight="1" x14ac:dyDescent="0.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</row>
    <row r="926" spans="1:25" ht="15.75" customHeight="1" x14ac:dyDescent="0.25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</row>
    <row r="927" spans="1:25" ht="15.75" customHeight="1" x14ac:dyDescent="0.25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</row>
    <row r="928" spans="1:25" ht="15.75" customHeight="1" x14ac:dyDescent="0.25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</row>
    <row r="929" spans="1:25" ht="15.75" customHeight="1" x14ac:dyDescent="0.25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</row>
    <row r="930" spans="1:25" ht="15.75" customHeight="1" x14ac:dyDescent="0.25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</row>
    <row r="931" spans="1:25" ht="15.75" customHeight="1" x14ac:dyDescent="0.25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</row>
    <row r="932" spans="1:25" ht="15.75" customHeight="1" x14ac:dyDescent="0.25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</row>
    <row r="933" spans="1:25" ht="15.75" customHeight="1" x14ac:dyDescent="0.25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</row>
    <row r="934" spans="1:25" ht="15.75" customHeight="1" x14ac:dyDescent="0.25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</row>
    <row r="935" spans="1:25" ht="15.75" customHeight="1" x14ac:dyDescent="0.2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</row>
    <row r="936" spans="1:25" ht="15.75" customHeight="1" x14ac:dyDescent="0.25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</row>
    <row r="937" spans="1:25" ht="15.75" customHeight="1" x14ac:dyDescent="0.25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</row>
    <row r="938" spans="1:25" ht="15.75" customHeight="1" x14ac:dyDescent="0.25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</row>
    <row r="939" spans="1:25" ht="15.75" customHeight="1" x14ac:dyDescent="0.25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</row>
    <row r="940" spans="1:25" ht="15.75" customHeight="1" x14ac:dyDescent="0.25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</row>
    <row r="941" spans="1:25" ht="15.75" customHeight="1" x14ac:dyDescent="0.25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</row>
    <row r="942" spans="1:25" ht="15.75" customHeight="1" x14ac:dyDescent="0.25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</row>
    <row r="943" spans="1:25" ht="15.75" customHeight="1" x14ac:dyDescent="0.25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</row>
    <row r="944" spans="1:25" ht="15.75" customHeight="1" x14ac:dyDescent="0.25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</row>
    <row r="945" spans="1:25" ht="15.75" customHeight="1" x14ac:dyDescent="0.2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</row>
  </sheetData>
  <mergeCells count="7">
    <mergeCell ref="B39:B41"/>
    <mergeCell ref="C16:G16"/>
    <mergeCell ref="G22:I26"/>
    <mergeCell ref="B28:I28"/>
    <mergeCell ref="B30:B32"/>
    <mergeCell ref="B33:B35"/>
    <mergeCell ref="B36:B38"/>
  </mergeCells>
  <conditionalFormatting sqref="H30:H41">
    <cfRule type="cellIs" dxfId="5" priority="1" operator="lessThan">
      <formula>2.2</formula>
    </cfRule>
  </conditionalFormatting>
  <conditionalFormatting sqref="H30:H41">
    <cfRule type="cellIs" dxfId="4" priority="2" operator="greaterThanOrEqual">
      <formula>2.2</formula>
    </cfRule>
  </conditionalFormatting>
  <conditionalFormatting sqref="G30:G32 G36:G38">
    <cfRule type="cellIs" dxfId="3" priority="3" operator="lessThan">
      <formula>27000</formula>
    </cfRule>
  </conditionalFormatting>
  <conditionalFormatting sqref="G30:G32 G36:G38">
    <cfRule type="cellIs" dxfId="2" priority="4" operator="greaterThan">
      <formula>27000</formula>
    </cfRule>
  </conditionalFormatting>
  <conditionalFormatting sqref="G33:G35 G39:G41">
    <cfRule type="cellIs" dxfId="1" priority="5" operator="lessThan">
      <formula>21000</formula>
    </cfRule>
  </conditionalFormatting>
  <conditionalFormatting sqref="G33:G35 G39:G41">
    <cfRule type="cellIs" dxfId="0" priority="6" operator="greaterThanOrEqual">
      <formula>21000</formula>
    </cfRule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Informações Definição de CD</vt:lpstr>
      <vt:lpstr>Centro de gravidade</vt:lpstr>
      <vt:lpstr>Centro de Gravidade e Pontuação</vt:lpstr>
      <vt:lpstr>Plan1</vt:lpstr>
      <vt:lpstr>P-Medianas</vt:lpstr>
      <vt:lpstr>P-Centro e P-Mediana</vt:lpstr>
      <vt:lpstr>P-Mediana</vt:lpstr>
      <vt:lpstr>Definição da Localização</vt:lpstr>
      <vt:lpstr>Dimensionamento de Cargas</vt:lpstr>
      <vt:lpstr>Escolha das Rotas</vt:lpstr>
      <vt:lpstr>Gestão de Estoques</vt:lpstr>
      <vt:lpstr>P-Centros</vt:lpstr>
      <vt:lpstr>Centro de gravidade GABARITO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2019-05-23T02:32:08Z</dcterms:modified>
</cp:coreProperties>
</file>