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San\eclipse-workspace\Automation\DataFiles\"/>
    </mc:Choice>
  </mc:AlternateContent>
  <xr:revisionPtr revIDLastSave="0" documentId="13_ncr:1_{70EECA19-A632-472F-9081-EA311311CC4C}" xr6:coauthVersionLast="47" xr6:coauthVersionMax="47" xr10:uidLastSave="{00000000-0000-0000-0000-000000000000}"/>
  <bookViews>
    <workbookView xWindow="120" yWindow="300" windowWidth="27900" windowHeight="14745" activeTab="4" xr2:uid="{AF5C5B81-EE04-4690-B51A-966BCEE5784E}"/>
  </bookViews>
  <sheets>
    <sheet name="Land Acquisition" sheetId="4" r:id="rId1"/>
    <sheet name="Loan Costs" sheetId="3" r:id="rId2"/>
    <sheet name="Operational Costs" sheetId="2" r:id="rId3"/>
    <sheet name="Lease Revenue" sheetId="1" r:id="rId4"/>
    <sheet name="Repayment 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4" i="3"/>
  <c r="B9" i="1"/>
  <c r="B18" i="1"/>
  <c r="B22" i="1" s="1"/>
  <c r="B10" i="4"/>
  <c r="B12" i="4" s="1"/>
  <c r="B14" i="4" s="1"/>
  <c r="B2" i="3" s="1"/>
  <c r="B8" i="4"/>
  <c r="B8" i="2"/>
  <c r="AA5" i="5" l="1"/>
  <c r="V5" i="5"/>
  <c r="Q5" i="5"/>
  <c r="C21" i="5"/>
  <c r="C9" i="5"/>
  <c r="B21" i="5"/>
  <c r="B9" i="5"/>
  <c r="D9" i="5" s="1"/>
  <c r="C20" i="5"/>
  <c r="C8" i="5"/>
  <c r="B20" i="5"/>
  <c r="B8" i="5"/>
  <c r="D8" i="5" s="1"/>
  <c r="C7" i="5"/>
  <c r="B7" i="5"/>
  <c r="B6" i="3"/>
  <c r="B6" i="5"/>
  <c r="C29" i="5"/>
  <c r="B29" i="5"/>
  <c r="C28" i="5"/>
  <c r="B28" i="5"/>
  <c r="C27" i="5"/>
  <c r="B27" i="5"/>
  <c r="B5" i="5"/>
  <c r="C14" i="5"/>
  <c r="C25" i="5"/>
  <c r="C31" i="5" s="1"/>
  <c r="B25" i="5"/>
  <c r="C24" i="5"/>
  <c r="B24" i="5"/>
  <c r="B12" i="5"/>
  <c r="B23" i="5"/>
  <c r="B11" i="5"/>
  <c r="D11" i="5" s="1"/>
  <c r="C22" i="5"/>
  <c r="B10" i="5"/>
  <c r="L5" i="5"/>
  <c r="C17" i="5"/>
  <c r="C5" i="5"/>
  <c r="B15" i="5"/>
  <c r="B14" i="5"/>
  <c r="C13" i="5"/>
  <c r="C12" i="5"/>
  <c r="C11" i="5"/>
  <c r="C10" i="5"/>
  <c r="H5" i="5"/>
  <c r="C19" i="5"/>
  <c r="B19" i="5"/>
  <c r="C18" i="5"/>
  <c r="C6" i="5"/>
  <c r="D6" i="5" s="1"/>
  <c r="B18" i="5"/>
  <c r="B7" i="3"/>
  <c r="B9" i="3" s="1"/>
  <c r="B10" i="3" s="1"/>
  <c r="B11" i="3" s="1"/>
  <c r="B17" i="5"/>
  <c r="C16" i="5"/>
  <c r="B16" i="5"/>
  <c r="C15" i="5"/>
  <c r="C26" i="5"/>
  <c r="B26" i="5"/>
  <c r="D26" i="5" s="1"/>
  <c r="B13" i="5"/>
  <c r="C23" i="5"/>
  <c r="D23" i="5" s="1"/>
  <c r="B22" i="5"/>
  <c r="D28" i="5"/>
  <c r="D29" i="5"/>
  <c r="D13" i="5" l="1"/>
  <c r="D16" i="5"/>
  <c r="D10" i="5"/>
  <c r="D22" i="5"/>
  <c r="D5" i="5"/>
  <c r="W5" i="5" s="1"/>
  <c r="D20" i="5"/>
  <c r="B31" i="5"/>
  <c r="D19" i="5"/>
  <c r="D12" i="5"/>
  <c r="D17" i="5"/>
  <c r="D14" i="5"/>
  <c r="D15" i="5"/>
  <c r="R5" i="5"/>
  <c r="D18" i="5"/>
  <c r="D27" i="5"/>
  <c r="I5" i="5"/>
  <c r="AB5" i="5" s="1"/>
  <c r="D24" i="5"/>
  <c r="D25" i="5"/>
  <c r="D7" i="5"/>
  <c r="D21" i="5"/>
  <c r="B11" i="1"/>
  <c r="B13" i="1"/>
  <c r="B23" i="1" s="1"/>
  <c r="B24" i="1" s="1"/>
  <c r="B12" i="1"/>
  <c r="E6" i="5" s="1"/>
  <c r="M5" i="5" l="1"/>
  <c r="D31" i="5"/>
  <c r="E29" i="5"/>
  <c r="E17" i="5"/>
  <c r="E18" i="5"/>
  <c r="E28" i="5"/>
  <c r="E16" i="5"/>
  <c r="E8" i="5"/>
  <c r="E27" i="5"/>
  <c r="E15" i="5"/>
  <c r="E19" i="5"/>
  <c r="E26" i="5"/>
  <c r="E14" i="5"/>
  <c r="E25" i="5"/>
  <c r="E13" i="5"/>
  <c r="E7" i="5"/>
  <c r="E24" i="5"/>
  <c r="E12" i="5"/>
  <c r="E23" i="5"/>
  <c r="E11" i="5"/>
  <c r="E21" i="5"/>
  <c r="E22" i="5"/>
  <c r="E10" i="5"/>
  <c r="E9" i="5"/>
  <c r="E20" i="5"/>
  <c r="E5" i="5"/>
  <c r="F5" i="5" l="1"/>
  <c r="AC5" i="5" s="1"/>
  <c r="J5" i="5"/>
  <c r="E31" i="5"/>
  <c r="F31" i="5" l="1"/>
  <c r="E33" i="5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AD5" i="5"/>
  <c r="AE5" i="5" s="1"/>
  <c r="S5" i="5"/>
  <c r="T5" i="5" s="1"/>
  <c r="U5" i="5" s="1"/>
  <c r="X5" i="5"/>
  <c r="Y5" i="5" s="1"/>
  <c r="Z5" i="5" s="1"/>
  <c r="N5" i="5"/>
  <c r="O5" i="5" s="1"/>
  <c r="P5" i="5" s="1"/>
  <c r="K5" i="5"/>
  <c r="L6" i="5" l="1"/>
  <c r="V6" i="5"/>
  <c r="Q6" i="5"/>
  <c r="H6" i="5"/>
  <c r="AA6" i="5"/>
  <c r="AC6" i="5" s="1"/>
  <c r="W6" i="5" l="1"/>
  <c r="X6" i="5"/>
  <c r="AD6" i="5"/>
  <c r="J6" i="5"/>
  <c r="Y6" i="5" s="1"/>
  <c r="I6" i="5"/>
  <c r="K6" i="5" s="1"/>
  <c r="R6" i="5"/>
  <c r="S6" i="5"/>
  <c r="T6" i="5" s="1"/>
  <c r="M6" i="5"/>
  <c r="N6" i="5"/>
  <c r="O6" i="5" s="1"/>
  <c r="Z6" i="5" l="1"/>
  <c r="V7" i="5" s="1"/>
  <c r="P6" i="5"/>
  <c r="L7" i="5" s="1"/>
  <c r="U6" i="5"/>
  <c r="AB6" i="5"/>
  <c r="AE6" i="5" s="1"/>
  <c r="AA7" i="5" s="1"/>
  <c r="AC7" i="5" s="1"/>
  <c r="H7" i="5"/>
  <c r="Q7" i="5"/>
  <c r="R7" i="5" l="1"/>
  <c r="S7" i="5"/>
  <c r="N7" i="5"/>
  <c r="M7" i="5"/>
  <c r="W7" i="5"/>
  <c r="X7" i="5"/>
  <c r="AD7" i="5"/>
  <c r="J7" i="5"/>
  <c r="T7" i="5" s="1"/>
  <c r="I7" i="5"/>
  <c r="K7" i="5" l="1"/>
  <c r="H8" i="5" s="1"/>
  <c r="U7" i="5"/>
  <c r="Y7" i="5"/>
  <c r="Z7" i="5" s="1"/>
  <c r="O7" i="5"/>
  <c r="AB7" i="5"/>
  <c r="AE7" i="5" s="1"/>
  <c r="AA8" i="5" s="1"/>
  <c r="AC8" i="5" s="1"/>
  <c r="P7" i="5"/>
  <c r="L8" i="5" s="1"/>
  <c r="V8" i="5"/>
  <c r="Q8" i="5"/>
  <c r="AD8" i="5" l="1"/>
  <c r="I8" i="5"/>
  <c r="AB8" i="5" s="1"/>
  <c r="J8" i="5"/>
  <c r="S8" i="5"/>
  <c r="R8" i="5"/>
  <c r="X8" i="5"/>
  <c r="W8" i="5"/>
  <c r="M8" i="5"/>
  <c r="N8" i="5"/>
  <c r="Y8" i="5" l="1"/>
  <c r="AE8" i="5"/>
  <c r="Z8" i="5"/>
  <c r="O8" i="5"/>
  <c r="P8" i="5" s="1"/>
  <c r="L9" i="5" s="1"/>
  <c r="K8" i="5"/>
  <c r="H9" i="5" s="1"/>
  <c r="T8" i="5"/>
  <c r="U8" i="5" s="1"/>
  <c r="Q9" i="5" s="1"/>
  <c r="V9" i="5"/>
  <c r="AA9" i="5"/>
  <c r="AC9" i="5" s="1"/>
  <c r="J9" i="5" l="1"/>
  <c r="I9" i="5"/>
  <c r="AD9" i="5"/>
  <c r="AB9" i="5"/>
  <c r="S9" i="5"/>
  <c r="R9" i="5"/>
  <c r="M9" i="5"/>
  <c r="N9" i="5"/>
  <c r="O9" i="5" s="1"/>
  <c r="X9" i="5"/>
  <c r="W9" i="5"/>
  <c r="Y9" i="5" l="1"/>
  <c r="Z9" i="5" s="1"/>
  <c r="V10" i="5" s="1"/>
  <c r="T9" i="5"/>
  <c r="U9" i="5" s="1"/>
  <c r="Q10" i="5" s="1"/>
  <c r="K9" i="5"/>
  <c r="AE9" i="5"/>
  <c r="AA10" i="5" s="1"/>
  <c r="AC10" i="5" s="1"/>
  <c r="P9" i="5"/>
  <c r="L10" i="5" s="1"/>
  <c r="H10" i="5"/>
  <c r="AD10" i="5" l="1"/>
  <c r="R10" i="5"/>
  <c r="S10" i="5"/>
  <c r="I10" i="5"/>
  <c r="AB10" i="5" s="1"/>
  <c r="J10" i="5"/>
  <c r="M10" i="5"/>
  <c r="N10" i="5"/>
  <c r="W10" i="5"/>
  <c r="X10" i="5"/>
  <c r="AE10" i="5" l="1"/>
  <c r="AA11" i="5" s="1"/>
  <c r="K10" i="5"/>
  <c r="H11" i="5" s="1"/>
  <c r="T10" i="5"/>
  <c r="U10" i="5" s="1"/>
  <c r="Q11" i="5" s="1"/>
  <c r="O10" i="5"/>
  <c r="P10" i="5" s="1"/>
  <c r="L11" i="5" s="1"/>
  <c r="Y10" i="5"/>
  <c r="Z10" i="5" s="1"/>
  <c r="V11" i="5" s="1"/>
  <c r="W11" i="5" s="1"/>
  <c r="J11" i="5"/>
  <c r="I11" i="5"/>
  <c r="AC11" i="5" l="1"/>
  <c r="AD11" i="5" s="1"/>
  <c r="AB11" i="5"/>
  <c r="X11" i="5"/>
  <c r="Y11" i="5" s="1"/>
  <c r="Z11" i="5" s="1"/>
  <c r="V12" i="5" s="1"/>
  <c r="X12" i="5" s="1"/>
  <c r="K11" i="5"/>
  <c r="H12" i="5" s="1"/>
  <c r="N11" i="5"/>
  <c r="O11" i="5" s="1"/>
  <c r="M11" i="5"/>
  <c r="R11" i="5"/>
  <c r="S11" i="5"/>
  <c r="T11" i="5" s="1"/>
  <c r="I12" i="5"/>
  <c r="J12" i="5"/>
  <c r="AE11" i="5" l="1"/>
  <c r="AA12" i="5" s="1"/>
  <c r="AC12" i="5" s="1"/>
  <c r="AD12" i="5" s="1"/>
  <c r="AB12" i="5"/>
  <c r="P11" i="5"/>
  <c r="L12" i="5" s="1"/>
  <c r="N12" i="5" s="1"/>
  <c r="O12" i="5" s="1"/>
  <c r="K12" i="5"/>
  <c r="H13" i="5" s="1"/>
  <c r="I13" i="5" s="1"/>
  <c r="W12" i="5"/>
  <c r="Y12" i="5"/>
  <c r="U11" i="5"/>
  <c r="Q12" i="5" s="1"/>
  <c r="AE12" i="5" l="1"/>
  <c r="AA13" i="5" s="1"/>
  <c r="AC13" i="5" s="1"/>
  <c r="J13" i="5"/>
  <c r="M12" i="5"/>
  <c r="P12" i="5" s="1"/>
  <c r="L13" i="5" s="1"/>
  <c r="Z12" i="5"/>
  <c r="V13" i="5" s="1"/>
  <c r="W13" i="5" s="1"/>
  <c r="AD13" i="5"/>
  <c r="AB13" i="5"/>
  <c r="K13" i="5"/>
  <c r="H14" i="5" s="1"/>
  <c r="J14" i="5" s="1"/>
  <c r="S12" i="5"/>
  <c r="T12" i="5" s="1"/>
  <c r="R12" i="5"/>
  <c r="AE13" i="5" l="1"/>
  <c r="AA14" i="5" s="1"/>
  <c r="AC14" i="5" s="1"/>
  <c r="N13" i="5"/>
  <c r="O13" i="5" s="1"/>
  <c r="M13" i="5"/>
  <c r="X13" i="5"/>
  <c r="Y13" i="5" s="1"/>
  <c r="Z13" i="5" s="1"/>
  <c r="V14" i="5" s="1"/>
  <c r="I14" i="5"/>
  <c r="K14" i="5" s="1"/>
  <c r="H15" i="5" s="1"/>
  <c r="I15" i="5" s="1"/>
  <c r="U12" i="5"/>
  <c r="Q13" i="5" s="1"/>
  <c r="S13" i="5" s="1"/>
  <c r="T13" i="5" s="1"/>
  <c r="AB14" i="5" l="1"/>
  <c r="AD14" i="5"/>
  <c r="AE14" i="5" s="1"/>
  <c r="AA15" i="5" s="1"/>
  <c r="AC15" i="5" s="1"/>
  <c r="P13" i="5"/>
  <c r="L14" i="5" s="1"/>
  <c r="M14" i="5" s="1"/>
  <c r="W14" i="5"/>
  <c r="X14" i="5"/>
  <c r="Y14" i="5" s="1"/>
  <c r="R13" i="5"/>
  <c r="U13" i="5" s="1"/>
  <c r="Q14" i="5" s="1"/>
  <c r="J15" i="5"/>
  <c r="AB15" i="5" l="1"/>
  <c r="AD15" i="5"/>
  <c r="N14" i="5"/>
  <c r="O14" i="5" s="1"/>
  <c r="P14" i="5" s="1"/>
  <c r="L15" i="5" s="1"/>
  <c r="Z14" i="5"/>
  <c r="V15" i="5" s="1"/>
  <c r="K15" i="5"/>
  <c r="H16" i="5" s="1"/>
  <c r="I16" i="5" s="1"/>
  <c r="R14" i="5"/>
  <c r="S14" i="5"/>
  <c r="T14" i="5" s="1"/>
  <c r="AE15" i="5" l="1"/>
  <c r="AA16" i="5" s="1"/>
  <c r="AC16" i="5" s="1"/>
  <c r="AD16" i="5" s="1"/>
  <c r="N15" i="5"/>
  <c r="M15" i="5"/>
  <c r="O15" i="5"/>
  <c r="P15" i="5" s="1"/>
  <c r="L16" i="5" s="1"/>
  <c r="N16" i="5" s="1"/>
  <c r="W15" i="5"/>
  <c r="X15" i="5"/>
  <c r="Y15" i="5"/>
  <c r="J16" i="5"/>
  <c r="K16" i="5" s="1"/>
  <c r="H17" i="5" s="1"/>
  <c r="J17" i="5" s="1"/>
  <c r="U14" i="5"/>
  <c r="Q15" i="5" s="1"/>
  <c r="R15" i="5" s="1"/>
  <c r="AB16" i="5" l="1"/>
  <c r="AE16" i="5"/>
  <c r="AA17" i="5" s="1"/>
  <c r="AC17" i="5" s="1"/>
  <c r="M16" i="5"/>
  <c r="O16" i="5"/>
  <c r="Z15" i="5"/>
  <c r="V16" i="5" s="1"/>
  <c r="X16" i="5" s="1"/>
  <c r="I17" i="5"/>
  <c r="K17" i="5" s="1"/>
  <c r="H18" i="5" s="1"/>
  <c r="I18" i="5" s="1"/>
  <c r="S15" i="5"/>
  <c r="T15" i="5" s="1"/>
  <c r="U15" i="5" s="1"/>
  <c r="Q16" i="5" s="1"/>
  <c r="S16" i="5" s="1"/>
  <c r="AD17" i="5" l="1"/>
  <c r="W16" i="5"/>
  <c r="P16" i="5"/>
  <c r="L17" i="5" s="1"/>
  <c r="N17" i="5" s="1"/>
  <c r="O17" i="5" s="1"/>
  <c r="AB17" i="5"/>
  <c r="Y16" i="5"/>
  <c r="Z16" i="5" s="1"/>
  <c r="V17" i="5" s="1"/>
  <c r="J18" i="5"/>
  <c r="K18" i="5" s="1"/>
  <c r="H19" i="5" s="1"/>
  <c r="J19" i="5" s="1"/>
  <c r="T16" i="5"/>
  <c r="R16" i="5"/>
  <c r="M17" i="5"/>
  <c r="W17" i="5" l="1"/>
  <c r="X17" i="5"/>
  <c r="Y17" i="5" s="1"/>
  <c r="AE17" i="5"/>
  <c r="AA18" i="5" s="1"/>
  <c r="AC18" i="5" s="1"/>
  <c r="U16" i="5"/>
  <c r="Q17" i="5" s="1"/>
  <c r="R17" i="5" s="1"/>
  <c r="I19" i="5"/>
  <c r="K19" i="5" s="1"/>
  <c r="H20" i="5" s="1"/>
  <c r="I20" i="5" s="1"/>
  <c r="S17" i="5"/>
  <c r="P17" i="5"/>
  <c r="L18" i="5" s="1"/>
  <c r="Z17" i="5" l="1"/>
  <c r="V18" i="5" s="1"/>
  <c r="AD18" i="5"/>
  <c r="AB18" i="5"/>
  <c r="AE18" i="5" s="1"/>
  <c r="AA19" i="5" s="1"/>
  <c r="AC19" i="5" s="1"/>
  <c r="T17" i="5"/>
  <c r="J20" i="5"/>
  <c r="K20" i="5" s="1"/>
  <c r="H21" i="5" s="1"/>
  <c r="J21" i="5" s="1"/>
  <c r="U17" i="5"/>
  <c r="Q18" i="5" s="1"/>
  <c r="S18" i="5" s="1"/>
  <c r="M18" i="5"/>
  <c r="N18" i="5"/>
  <c r="O18" i="5" s="1"/>
  <c r="W18" i="5" l="1"/>
  <c r="X18" i="5"/>
  <c r="Y18" i="5" s="1"/>
  <c r="AD19" i="5"/>
  <c r="AB19" i="5"/>
  <c r="AE19" i="5" s="1"/>
  <c r="AA20" i="5" s="1"/>
  <c r="R18" i="5"/>
  <c r="T18" i="5"/>
  <c r="U18" i="5" s="1"/>
  <c r="Q19" i="5" s="1"/>
  <c r="I21" i="5"/>
  <c r="K21" i="5" s="1"/>
  <c r="H22" i="5" s="1"/>
  <c r="I22" i="5" s="1"/>
  <c r="P18" i="5"/>
  <c r="L19" i="5" s="1"/>
  <c r="Z18" i="5" l="1"/>
  <c r="V19" i="5" s="1"/>
  <c r="AC20" i="5"/>
  <c r="AB20" i="5"/>
  <c r="AD20" i="5"/>
  <c r="AE20" i="5" s="1"/>
  <c r="AA21" i="5" s="1"/>
  <c r="AC21" i="5" s="1"/>
  <c r="S19" i="5"/>
  <c r="T19" i="5" s="1"/>
  <c r="R19" i="5"/>
  <c r="N19" i="5"/>
  <c r="O19" i="5" s="1"/>
  <c r="J22" i="5"/>
  <c r="K22" i="5" s="1"/>
  <c r="H23" i="5" s="1"/>
  <c r="J23" i="5" s="1"/>
  <c r="M19" i="5"/>
  <c r="W19" i="5" l="1"/>
  <c r="X19" i="5"/>
  <c r="Y19" i="5" s="1"/>
  <c r="Z19" i="5" s="1"/>
  <c r="V20" i="5" s="1"/>
  <c r="AD21" i="5"/>
  <c r="AB21" i="5"/>
  <c r="AE21" i="5" s="1"/>
  <c r="AA22" i="5" s="1"/>
  <c r="AC22" i="5" s="1"/>
  <c r="U19" i="5"/>
  <c r="Q20" i="5" s="1"/>
  <c r="I23" i="5"/>
  <c r="K23" i="5" s="1"/>
  <c r="H24" i="5" s="1"/>
  <c r="J24" i="5" s="1"/>
  <c r="P19" i="5"/>
  <c r="L20" i="5" s="1"/>
  <c r="N20" i="5" s="1"/>
  <c r="O20" i="5" s="1"/>
  <c r="W20" i="5" l="1"/>
  <c r="X20" i="5"/>
  <c r="Y20" i="5" s="1"/>
  <c r="Z20" i="5"/>
  <c r="V21" i="5" s="1"/>
  <c r="AD22" i="5"/>
  <c r="AB22" i="5"/>
  <c r="I24" i="5"/>
  <c r="K24" i="5" s="1"/>
  <c r="H25" i="5" s="1"/>
  <c r="J25" i="5" s="1"/>
  <c r="S20" i="5"/>
  <c r="T20" i="5" s="1"/>
  <c r="R20" i="5"/>
  <c r="M20" i="5"/>
  <c r="P20" i="5" s="1"/>
  <c r="L21" i="5" s="1"/>
  <c r="N21" i="5" s="1"/>
  <c r="X21" i="5" l="1"/>
  <c r="Y21" i="5"/>
  <c r="W21" i="5"/>
  <c r="AE22" i="5"/>
  <c r="AA23" i="5" s="1"/>
  <c r="AC23" i="5" s="1"/>
  <c r="I25" i="5"/>
  <c r="K25" i="5" s="1"/>
  <c r="H26" i="5" s="1"/>
  <c r="AB23" i="5"/>
  <c r="AD23" i="5"/>
  <c r="AE23" i="5" s="1"/>
  <c r="AA24" i="5" s="1"/>
  <c r="AC24" i="5" s="1"/>
  <c r="U20" i="5"/>
  <c r="Q21" i="5" s="1"/>
  <c r="O21" i="5"/>
  <c r="M21" i="5"/>
  <c r="Z21" i="5" l="1"/>
  <c r="V22" i="5" s="1"/>
  <c r="AB24" i="5"/>
  <c r="AD24" i="5"/>
  <c r="R21" i="5"/>
  <c r="S21" i="5"/>
  <c r="T21" i="5" s="1"/>
  <c r="P21" i="5"/>
  <c r="L22" i="5" s="1"/>
  <c r="N22" i="5" s="1"/>
  <c r="J26" i="5"/>
  <c r="I26" i="5"/>
  <c r="W22" i="5" l="1"/>
  <c r="X22" i="5"/>
  <c r="Y22" i="5" s="1"/>
  <c r="Z22" i="5" s="1"/>
  <c r="V23" i="5" s="1"/>
  <c r="U21" i="5"/>
  <c r="Q22" i="5" s="1"/>
  <c r="S22" i="5" s="1"/>
  <c r="T22" i="5" s="1"/>
  <c r="AE24" i="5"/>
  <c r="AA25" i="5" s="1"/>
  <c r="AC25" i="5" s="1"/>
  <c r="M22" i="5"/>
  <c r="O22" i="5"/>
  <c r="K26" i="5"/>
  <c r="H27" i="5" s="1"/>
  <c r="I27" i="5" s="1"/>
  <c r="P22" i="5" l="1"/>
  <c r="L23" i="5" s="1"/>
  <c r="M23" i="5" s="1"/>
  <c r="W23" i="5"/>
  <c r="X23" i="5"/>
  <c r="Y23" i="5"/>
  <c r="Z23" i="5" s="1"/>
  <c r="V24" i="5" s="1"/>
  <c r="R22" i="5"/>
  <c r="U22" i="5" s="1"/>
  <c r="Q23" i="5" s="1"/>
  <c r="AD25" i="5"/>
  <c r="AB25" i="5"/>
  <c r="AE25" i="5" s="1"/>
  <c r="AA26" i="5" s="1"/>
  <c r="AC26" i="5" s="1"/>
  <c r="J27" i="5"/>
  <c r="K27" i="5" s="1"/>
  <c r="H28" i="5" s="1"/>
  <c r="I28" i="5" s="1"/>
  <c r="N23" i="5"/>
  <c r="O23" i="5"/>
  <c r="P23" i="5" s="1"/>
  <c r="L24" i="5" s="1"/>
  <c r="S23" i="5" l="1"/>
  <c r="R23" i="5"/>
  <c r="T23" i="5"/>
  <c r="X24" i="5"/>
  <c r="Y24" i="5"/>
  <c r="Z24" i="5" s="1"/>
  <c r="V25" i="5" s="1"/>
  <c r="W24" i="5"/>
  <c r="AD26" i="5"/>
  <c r="AB26" i="5"/>
  <c r="AE26" i="5" s="1"/>
  <c r="AA27" i="5" s="1"/>
  <c r="AC27" i="5" s="1"/>
  <c r="U23" i="5"/>
  <c r="Q24" i="5" s="1"/>
  <c r="J28" i="5"/>
  <c r="K28" i="5" s="1"/>
  <c r="H29" i="5" s="1"/>
  <c r="S24" i="5"/>
  <c r="T24" i="5" s="1"/>
  <c r="R24" i="5"/>
  <c r="N24" i="5"/>
  <c r="M24" i="5"/>
  <c r="O24" i="5"/>
  <c r="X25" i="5" l="1"/>
  <c r="W25" i="5"/>
  <c r="Y25" i="5"/>
  <c r="Z25" i="5"/>
  <c r="V26" i="5" s="1"/>
  <c r="W26" i="5" s="1"/>
  <c r="AD27" i="5"/>
  <c r="AB27" i="5"/>
  <c r="AE27" i="5" s="1"/>
  <c r="AA28" i="5" s="1"/>
  <c r="AC28" i="5" s="1"/>
  <c r="U24" i="5"/>
  <c r="Q25" i="5" s="1"/>
  <c r="R25" i="5" s="1"/>
  <c r="P24" i="5"/>
  <c r="L25" i="5" s="1"/>
  <c r="N25" i="5" s="1"/>
  <c r="Y26" i="5"/>
  <c r="Z26" i="5" s="1"/>
  <c r="V27" i="5" s="1"/>
  <c r="X26" i="5"/>
  <c r="J29" i="5"/>
  <c r="I29" i="5"/>
  <c r="S25" i="5" l="1"/>
  <c r="T25" i="5"/>
  <c r="AB28" i="5"/>
  <c r="AD28" i="5"/>
  <c r="AE28" i="5" s="1"/>
  <c r="AA29" i="5" s="1"/>
  <c r="AC29" i="5" s="1"/>
  <c r="K29" i="5"/>
  <c r="I31" i="5" s="1"/>
  <c r="O25" i="5"/>
  <c r="M25" i="5"/>
  <c r="P25" i="5" s="1"/>
  <c r="L26" i="5" s="1"/>
  <c r="N26" i="5" s="1"/>
  <c r="U25" i="5"/>
  <c r="Q26" i="5" s="1"/>
  <c r="M26" i="5"/>
  <c r="W27" i="5"/>
  <c r="X27" i="5"/>
  <c r="Y27" i="5"/>
  <c r="K31" i="5" l="1"/>
  <c r="K32" i="5"/>
  <c r="O26" i="5"/>
  <c r="AD29" i="5"/>
  <c r="AB29" i="5"/>
  <c r="AE29" i="5" s="1"/>
  <c r="AC31" i="5" s="1"/>
  <c r="AE32" i="5" s="1" a="1"/>
  <c r="AE32" i="5" s="1"/>
  <c r="S26" i="5"/>
  <c r="T26" i="5" s="1"/>
  <c r="R26" i="5"/>
  <c r="P26" i="5"/>
  <c r="L27" i="5" s="1"/>
  <c r="Z27" i="5"/>
  <c r="V28" i="5" s="1"/>
  <c r="W28" i="5" s="1"/>
  <c r="U26" i="5" l="1"/>
  <c r="Q27" i="5" s="1"/>
  <c r="N27" i="5"/>
  <c r="O27" i="5" s="1"/>
  <c r="M27" i="5"/>
  <c r="AE31" i="5"/>
  <c r="S27" i="5"/>
  <c r="T27" i="5" s="1"/>
  <c r="R27" i="5"/>
  <c r="X28" i="5"/>
  <c r="Y28" i="5"/>
  <c r="Z28" i="5" s="1"/>
  <c r="V29" i="5" s="1"/>
  <c r="U27" i="5" l="1"/>
  <c r="Q28" i="5" s="1"/>
  <c r="R28" i="5" s="1"/>
  <c r="P27" i="5"/>
  <c r="L28" i="5" s="1"/>
  <c r="M28" i="5" s="1"/>
  <c r="S28" i="5"/>
  <c r="T28" i="5" s="1"/>
  <c r="U28" i="5" s="1"/>
  <c r="Q29" i="5" s="1"/>
  <c r="R29" i="5" s="1"/>
  <c r="Y29" i="5"/>
  <c r="W29" i="5"/>
  <c r="X29" i="5"/>
  <c r="S29" i="5" l="1"/>
  <c r="T29" i="5" s="1"/>
  <c r="N28" i="5"/>
  <c r="O28" i="5" s="1"/>
  <c r="U29" i="5"/>
  <c r="S31" i="5" s="1"/>
  <c r="U32" i="5" s="1" a="1"/>
  <c r="U32" i="5" s="1"/>
  <c r="Z29" i="5"/>
  <c r="X31" i="5" s="1"/>
  <c r="Z32" i="5" s="1" a="1"/>
  <c r="Z32" i="5" s="1"/>
  <c r="P28" i="5"/>
  <c r="L29" i="5" s="1"/>
  <c r="M29" i="5" s="1"/>
  <c r="Z31" i="5" l="1"/>
  <c r="U31" i="5"/>
  <c r="N29" i="5"/>
  <c r="O29" i="5"/>
  <c r="P29" i="5"/>
  <c r="N31" i="5" s="1"/>
  <c r="P32" i="5" s="1" a="1"/>
  <c r="P32" i="5" s="1"/>
  <c r="P3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<sst xmlns="http://schemas.openxmlformats.org/spreadsheetml/2006/main" count="112" uniqueCount="83">
  <si>
    <t>Acres</t>
  </si>
  <si>
    <t>Payment/Acre</t>
  </si>
  <si>
    <t>Term (Years)</t>
  </si>
  <si>
    <t>Loan Amount</t>
  </si>
  <si>
    <t>Terms(Years)</t>
  </si>
  <si>
    <t>Legal</t>
  </si>
  <si>
    <t>Operational Costs Yearly</t>
  </si>
  <si>
    <t>Accounting</t>
  </si>
  <si>
    <t>GeoThinQ</t>
  </si>
  <si>
    <t>Total</t>
  </si>
  <si>
    <t>Monthly Payments</t>
  </si>
  <si>
    <t>Yearly Payments</t>
  </si>
  <si>
    <t>Land Loan Financing</t>
  </si>
  <si>
    <t>Total Payed w/ Terms</t>
  </si>
  <si>
    <t>Property Details</t>
  </si>
  <si>
    <t>Net Acres</t>
  </si>
  <si>
    <t>Street Address</t>
  </si>
  <si>
    <t>555 Main street</t>
  </si>
  <si>
    <t>Cit/State/Zip</t>
  </si>
  <si>
    <t>Austin, TX</t>
  </si>
  <si>
    <t>Land Acquisiton Information</t>
  </si>
  <si>
    <t>LA Price</t>
  </si>
  <si>
    <t>Land Price/Acre</t>
  </si>
  <si>
    <t>Closing cost (%LA Price)</t>
  </si>
  <si>
    <t>Closing Costs</t>
  </si>
  <si>
    <t>Land Closing Date</t>
  </si>
  <si>
    <t>9/31/2022</t>
  </si>
  <si>
    <t>Full Term Revenue</t>
  </si>
  <si>
    <t>Manager</t>
  </si>
  <si>
    <t>Phone Number</t>
  </si>
  <si>
    <t>Solar Farm Developer</t>
  </si>
  <si>
    <t>Leaser Details</t>
  </si>
  <si>
    <t>Lessor Generated Revenue</t>
  </si>
  <si>
    <t>Revenue Per Year</t>
  </si>
  <si>
    <t>Down Payment</t>
  </si>
  <si>
    <t>DP of Full Term %</t>
  </si>
  <si>
    <t>Profit</t>
  </si>
  <si>
    <t>Terms(Year)</t>
  </si>
  <si>
    <t>Terms Covered</t>
  </si>
  <si>
    <t>Interest</t>
  </si>
  <si>
    <t>Total Interest</t>
  </si>
  <si>
    <t>Interest Rate per Year</t>
  </si>
  <si>
    <t>Interest Rate per Month</t>
  </si>
  <si>
    <t>Principal</t>
  </si>
  <si>
    <t>Total Due</t>
  </si>
  <si>
    <t>Lease Revenue</t>
  </si>
  <si>
    <t>% of DP for Operations</t>
  </si>
  <si>
    <t>% of DP for Financing</t>
  </si>
  <si>
    <t>Total DP in $</t>
  </si>
  <si>
    <t>DP for Operations</t>
  </si>
  <si>
    <t>DP for Financing</t>
  </si>
  <si>
    <t>Profit/Loss</t>
  </si>
  <si>
    <t>Starting Balance</t>
  </si>
  <si>
    <t>Ending Balance</t>
  </si>
  <si>
    <t>Total Principal</t>
  </si>
  <si>
    <t>Payment+50% Profit</t>
  </si>
  <si>
    <t>50% Profit</t>
  </si>
  <si>
    <t>75% Profit</t>
  </si>
  <si>
    <t>Payment+75%Profit</t>
  </si>
  <si>
    <t>Payment+0%Profit</t>
  </si>
  <si>
    <t>25% Profit</t>
  </si>
  <si>
    <t>Payment+25% Profit</t>
  </si>
  <si>
    <t>EB with 25% Profit</t>
  </si>
  <si>
    <t>Payments with 75% of Profit</t>
  </si>
  <si>
    <t>Payments with 50% of Profit</t>
  </si>
  <si>
    <t>Payments with 25% of Profit</t>
  </si>
  <si>
    <t>Payments with 0% of Profit</t>
  </si>
  <si>
    <t>Loan Repayed</t>
  </si>
  <si>
    <t>Term Repayed</t>
  </si>
  <si>
    <t>Cost to Revenue Summary (per Term)</t>
  </si>
  <si>
    <t>94% Profit</t>
  </si>
  <si>
    <t>Payment+94%Profit</t>
  </si>
  <si>
    <t>Total Revenue</t>
  </si>
  <si>
    <t>Payments Due</t>
  </si>
  <si>
    <t>Total LA Price</t>
  </si>
  <si>
    <t>Price After DP</t>
  </si>
  <si>
    <t>0% Down Revenue Structure</t>
  </si>
  <si>
    <t>Revenue after DP</t>
  </si>
  <si>
    <t>Revenue per Year(After DP Term)</t>
  </si>
  <si>
    <t>w/ DP for Oper</t>
  </si>
  <si>
    <t>10% Down Revenue Structure</t>
  </si>
  <si>
    <t>Minimum Profit Margin 10%</t>
  </si>
  <si>
    <t>Payments with 90%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</si>
</sst>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44" fontId="0" fillId="0" borderId="0" xfId="1" applyFont="1"/>
    <xf numFmtId="44" fontId="0" fillId="0" borderId="0" xfId="0" applyNumberFormat="1"/>
    <xf numFmtId="9" fontId="0" fillId="0" borderId="0" xfId="2" applyFont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44" fontId="0" fillId="0" borderId="1" xfId="1" applyFont="1" applyBorder="1"/>
    <xf numFmtId="6" fontId="0" fillId="0" borderId="1" xfId="0" applyNumberFormat="1" applyBorder="1"/>
    <xf numFmtId="44" fontId="3" fillId="0" borderId="1" xfId="0" applyNumberFormat="1" applyFont="1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9" fontId="0" fillId="0" borderId="1" xfId="2" applyFont="1" applyBorder="1"/>
    <xf numFmtId="8" fontId="0" fillId="0" borderId="1" xfId="0" applyNumberFormat="1" applyBorder="1"/>
    <xf numFmtId="8" fontId="0" fillId="0" borderId="3" xfId="0" applyNumberFormat="1" applyBorder="1"/>
    <xf numFmtId="0" fontId="0" fillId="0" borderId="0" xfId="0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7" xfId="0" applyBorder="1"/>
    <xf numFmtId="44" fontId="0" fillId="0" borderId="17" xfId="0" applyNumberFormat="1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0" xfId="0" applyNumberFormat="1"/>
    <xf numFmtId="164" fontId="0" fillId="0" borderId="0" xfId="1" applyNumberFormat="1" applyFont="1"/>
    <xf numFmtId="0" fontId="0" fillId="0" borderId="14" xfId="0" applyBorder="1"/>
    <xf numFmtId="0" fontId="0" fillId="0" borderId="21" xfId="0" applyBorder="1"/>
    <xf numFmtId="0" fontId="0" fillId="0" borderId="15" xfId="0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8" xfId="0" applyNumberFormat="1" applyBorder="1"/>
    <xf numFmtId="164" fontId="0" fillId="0" borderId="22" xfId="0" applyNumberFormat="1" applyBorder="1"/>
    <xf numFmtId="164" fontId="0" fillId="0" borderId="9" xfId="0" applyNumberFormat="1" applyBorder="1"/>
    <xf numFmtId="44" fontId="0" fillId="0" borderId="0" xfId="1" applyFont="1" applyBorder="1"/>
    <xf numFmtId="164" fontId="0" fillId="0" borderId="17" xfId="1" applyNumberFormat="1" applyFont="1" applyBorder="1"/>
    <xf numFmtId="44" fontId="0" fillId="0" borderId="22" xfId="1" applyFont="1" applyBorder="1"/>
    <xf numFmtId="164" fontId="0" fillId="0" borderId="9" xfId="1" applyNumberFormat="1" applyFont="1" applyBorder="1"/>
    <xf numFmtId="0" fontId="0" fillId="0" borderId="16" xfId="0" applyBorder="1"/>
    <xf numFmtId="8" fontId="0" fillId="0" borderId="22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4" fontId="2" fillId="0" borderId="23" xfId="1" applyFont="1" applyBorder="1"/>
    <xf numFmtId="44" fontId="0" fillId="0" borderId="23" xfId="0" applyNumberFormat="1" applyBorder="1"/>
    <xf numFmtId="0" fontId="0" fillId="0" borderId="2" xfId="0" applyBorder="1"/>
    <xf numFmtId="164" fontId="0" fillId="0" borderId="25" xfId="1" applyNumberFormat="1" applyFon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" xfId="0" applyNumberFormat="1" applyBorder="1"/>
    <xf numFmtId="8" fontId="0" fillId="0" borderId="24" xfId="0" applyNumberFormat="1" applyBorder="1"/>
    <xf numFmtId="44" fontId="0" fillId="0" borderId="24" xfId="0" applyNumberFormat="1" applyBorder="1"/>
    <xf numFmtId="8" fontId="0" fillId="0" borderId="25" xfId="0" applyNumberFormat="1" applyBorder="1"/>
    <xf numFmtId="8" fontId="0" fillId="0" borderId="25" xfId="1" applyNumberFormat="1" applyFont="1" applyBorder="1"/>
    <xf numFmtId="8" fontId="0" fillId="0" borderId="26" xfId="1" applyNumberFormat="1" applyFont="1" applyBorder="1"/>
    <xf numFmtId="8" fontId="0" fillId="0" borderId="2" xfId="0" applyNumberFormat="1" applyBorder="1"/>
    <xf numFmtId="0" fontId="0" fillId="0" borderId="12" xfId="0" applyBorder="1"/>
    <xf numFmtId="8" fontId="0" fillId="0" borderId="19" xfId="0" applyNumberFormat="1" applyBorder="1"/>
    <xf numFmtId="0" fontId="0" fillId="0" borderId="13" xfId="0" applyBorder="1"/>
    <xf numFmtId="44" fontId="0" fillId="0" borderId="13" xfId="1" applyFont="1" applyBorder="1"/>
    <xf numFmtId="0" fontId="0" fillId="0" borderId="13" xfId="0" applyBorder="1" applyAlignment="1">
      <alignment horizontal="right"/>
    </xf>
    <xf numFmtId="6" fontId="0" fillId="0" borderId="13" xfId="1" applyNumberFormat="1" applyFont="1" applyBorder="1"/>
    <xf numFmtId="0" fontId="0" fillId="0" borderId="3" xfId="0" applyBorder="1" applyAlignment="1">
      <alignment horizontal="right"/>
    </xf>
    <xf numFmtId="0" fontId="0" fillId="0" borderId="27" xfId="0" applyBorder="1" applyAlignment="1">
      <alignment horizontal="right"/>
    </xf>
    <xf numFmtId="8" fontId="0" fillId="0" borderId="15" xfId="0" applyNumberFormat="1" applyBorder="1"/>
    <xf numFmtId="0" fontId="0" fillId="0" borderId="28" xfId="0" applyBorder="1" applyAlignment="1">
      <alignment horizontal="right"/>
    </xf>
    <xf numFmtId="8" fontId="0" fillId="0" borderId="17" xfId="0" applyNumberFormat="1" applyBorder="1"/>
    <xf numFmtId="0" fontId="0" fillId="0" borderId="4" xfId="0" applyBorder="1" applyAlignment="1">
      <alignment horizontal="right"/>
    </xf>
    <xf numFmtId="8" fontId="0" fillId="0" borderId="7" xfId="0" applyNumberFormat="1" applyBorder="1"/>
    <xf numFmtId="8" fontId="0" fillId="0" borderId="13" xfId="1" applyNumberFormat="1" applyFont="1" applyBorder="1"/>
    <xf numFmtId="0" fontId="0" fillId="0" borderId="9" xfId="0" applyBorder="1"/>
    <xf numFmtId="0" fontId="0" fillId="0" borderId="11" xfId="0" applyBorder="1" applyAlignment="1">
      <alignment horizontal="center"/>
    </xf>
    <xf numFmtId="44" fontId="0" fillId="0" borderId="18" xfId="1" applyFont="1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5" xfId="2" applyFont="1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7" xfId="2" applyFon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44" fontId="0" fillId="0" borderId="1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9" xfId="1" applyFont="1" applyBorder="1" applyAlignment="1">
      <alignment horizontal="center"/>
    </xf>
    <xf numFmtId="44" fontId="0" fillId="0" borderId="17" xfId="1" applyFont="1" applyBorder="1"/>
    <xf numFmtId="44" fontId="0" fillId="0" borderId="9" xfId="2" applyNumberFormat="1" applyFont="1" applyBorder="1"/>
    <xf numFmtId="44" fontId="2" fillId="0" borderId="0" xfId="1" applyFont="1" applyBorder="1"/>
    <xf numFmtId="44" fontId="3" fillId="0" borderId="7" xfId="0" applyNumberFormat="1" applyFont="1" applyBorder="1"/>
    <xf numFmtId="8" fontId="3" fillId="0" borderId="7" xfId="0" applyNumberFormat="1" applyFont="1" applyBorder="1"/>
    <xf numFmtId="44" fontId="3" fillId="0" borderId="2" xfId="0" applyNumberFormat="1" applyFont="1" applyBorder="1"/>
    <xf numFmtId="164" fontId="3" fillId="0" borderId="2" xfId="0" applyNumberFormat="1" applyFont="1" applyBorder="1"/>
    <xf numFmtId="0" fontId="0" fillId="0" borderId="20" xfId="0" applyBorder="1"/>
    <xf numFmtId="0" fontId="0" fillId="0" borderId="29" xfId="0" applyBorder="1"/>
    <xf numFmtId="164" fontId="0" fillId="0" borderId="20" xfId="0" applyNumberFormat="1" applyBorder="1"/>
    <xf numFmtId="164" fontId="0" fillId="0" borderId="29" xfId="0" applyNumberFormat="1" applyBorder="1"/>
    <xf numFmtId="44" fontId="0" fillId="0" borderId="20" xfId="1" applyFont="1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1" applyNumberFormat="1" applyFont="1" applyAlignment="1">
      <alignment horizontal="center"/>
    </xf>
    <xf numFmtId="40" fontId="0" fillId="0" borderId="25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5F5-3FC3-483D-A7E4-A11780819511}">
  <dimension ref="A1:B14"/>
  <sheetViews>
    <sheetView workbookViewId="0">
      <selection activeCell="B13" sqref="B13"/>
    </sheetView>
  </sheetViews>
  <sheetFormatPr defaultRowHeight="15" x14ac:dyDescent="0.25"/>
  <cols>
    <col min="1" max="1" width="22.5703125" customWidth="1"/>
    <col min="2" max="2" width="19" customWidth="1"/>
  </cols>
  <sheetData>
    <row r="1" spans="1:2" ht="15.75" thickBot="1" x14ac:dyDescent="0.3">
      <c r="A1" s="97" t="s">
        <v>14</v>
      </c>
      <c r="B1" s="98"/>
    </row>
    <row r="2" spans="1:2" x14ac:dyDescent="0.25">
      <c r="A2" s="63" t="s">
        <v>15</v>
      </c>
      <c r="B2" s="61">
        <v>70</v>
      </c>
    </row>
    <row r="3" spans="1:2" x14ac:dyDescent="0.25">
      <c r="A3" s="26" t="s">
        <v>16</v>
      </c>
      <c r="B3" s="6" t="s">
        <v>17</v>
      </c>
    </row>
    <row r="4" spans="1:2" x14ac:dyDescent="0.25">
      <c r="A4" s="26" t="s">
        <v>18</v>
      </c>
      <c r="B4" s="6" t="s">
        <v>19</v>
      </c>
    </row>
    <row r="5" spans="1:2" ht="15.75" thickBot="1" x14ac:dyDescent="0.3">
      <c r="A5" s="16"/>
    </row>
    <row r="6" spans="1:2" ht="15.75" thickBot="1" x14ac:dyDescent="0.3">
      <c r="A6" s="97" t="s">
        <v>20</v>
      </c>
      <c r="B6" s="98"/>
    </row>
    <row r="7" spans="1:2" x14ac:dyDescent="0.25">
      <c r="A7" s="63" t="s">
        <v>21</v>
      </c>
      <c r="B7" s="64">
        <v>329000</v>
      </c>
    </row>
    <row r="8" spans="1:2" x14ac:dyDescent="0.25">
      <c r="A8" s="26" t="s">
        <v>22</v>
      </c>
      <c r="B8" s="7">
        <f>B7/B2</f>
        <v>4700</v>
      </c>
    </row>
    <row r="9" spans="1:2" x14ac:dyDescent="0.25">
      <c r="A9" s="26" t="s">
        <v>23</v>
      </c>
      <c r="B9" s="13">
        <v>0.05</v>
      </c>
    </row>
    <row r="10" spans="1:2" x14ac:dyDescent="0.25">
      <c r="A10" s="26" t="s">
        <v>24</v>
      </c>
      <c r="B10" s="7">
        <f>B7*B9</f>
        <v>16450</v>
      </c>
    </row>
    <row r="11" spans="1:2" ht="15.75" thickBot="1" x14ac:dyDescent="0.3">
      <c r="A11" s="65" t="s">
        <v>25</v>
      </c>
      <c r="B11" s="10" t="s">
        <v>26</v>
      </c>
    </row>
    <row r="12" spans="1:2" x14ac:dyDescent="0.25">
      <c r="A12" s="66" t="s">
        <v>74</v>
      </c>
      <c r="B12" s="67">
        <f>B7+B10</f>
        <v>345450</v>
      </c>
    </row>
    <row r="13" spans="1:2" ht="15.75" thickBot="1" x14ac:dyDescent="0.3">
      <c r="A13" s="68" t="s">
        <v>34</v>
      </c>
      <c r="B13" s="69">
        <v>69100</v>
      </c>
    </row>
    <row r="14" spans="1:2" ht="15.75" thickBot="1" x14ac:dyDescent="0.3">
      <c r="A14" s="70" t="s">
        <v>75</v>
      </c>
      <c r="B14" s="71">
        <f>B12-B13</f>
        <v>276350</v>
      </c>
    </row>
  </sheetData>
  <mergeCells count="2">
    <mergeCell ref="A1:B1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CDAF-72CB-4E38-8CB6-89E45A132A1D}">
  <dimension ref="A1:B11"/>
  <sheetViews>
    <sheetView workbookViewId="0">
      <selection activeCell="B3" sqref="B3"/>
    </sheetView>
  </sheetViews>
  <sheetFormatPr defaultRowHeight="15" x14ac:dyDescent="0.25"/>
  <cols>
    <col min="1" max="1" width="21.85546875" customWidth="1"/>
    <col min="2" max="2" width="17.5703125" customWidth="1"/>
  </cols>
  <sheetData>
    <row r="1" spans="1:2" ht="15.75" thickBot="1" x14ac:dyDescent="0.3">
      <c r="A1" s="97" t="s">
        <v>12</v>
      </c>
      <c r="B1" s="98"/>
    </row>
    <row r="2" spans="1:2" x14ac:dyDescent="0.25">
      <c r="A2" s="61" t="s">
        <v>3</v>
      </c>
      <c r="B2" s="72">
        <f>'Land Acquisition'!B14</f>
        <v>276350</v>
      </c>
    </row>
    <row r="3" spans="1:2" x14ac:dyDescent="0.25">
      <c r="A3" s="6" t="s">
        <v>41</v>
      </c>
      <c r="B3" s="13">
        <v>0.12</v>
      </c>
    </row>
    <row r="4" spans="1:2" x14ac:dyDescent="0.25">
      <c r="A4" s="6" t="s">
        <v>42</v>
      </c>
      <c r="B4" s="13">
        <f>B3/12</f>
        <v>0.01</v>
      </c>
    </row>
    <row r="5" spans="1:2" x14ac:dyDescent="0.25">
      <c r="A5" s="6" t="s">
        <v>4</v>
      </c>
      <c r="B5" s="6">
        <v>25</v>
      </c>
    </row>
    <row r="6" spans="1:2" x14ac:dyDescent="0.25">
      <c r="A6" s="6" t="s">
        <v>10</v>
      </c>
      <c r="B6" s="14">
        <f>PMT(B3/12,B5*12,B2)</f>
        <v>-2910.5849169631447</v>
      </c>
    </row>
    <row r="7" spans="1:2" x14ac:dyDescent="0.25">
      <c r="A7" s="6" t="s">
        <v>11</v>
      </c>
      <c r="B7" s="14">
        <f>PMT(B3,B5,B2)</f>
        <v>-35234.61665685747</v>
      </c>
    </row>
    <row r="8" spans="1:2" ht="15.75" thickBot="1" x14ac:dyDescent="0.3">
      <c r="A8" s="10"/>
      <c r="B8" s="15"/>
    </row>
    <row r="9" spans="1:2" ht="15.75" thickBot="1" x14ac:dyDescent="0.3">
      <c r="A9" s="11" t="s">
        <v>13</v>
      </c>
      <c r="B9" s="88">
        <f>B7*B5</f>
        <v>-880865.4164214367</v>
      </c>
    </row>
    <row r="10" spans="1:2" x14ac:dyDescent="0.25">
      <c r="A10" s="59" t="s">
        <v>40</v>
      </c>
      <c r="B10" s="60">
        <f>B9+B2</f>
        <v>-604515.4164214367</v>
      </c>
    </row>
    <row r="11" spans="1:2" x14ac:dyDescent="0.25">
      <c r="A11" s="59" t="s">
        <v>54</v>
      </c>
      <c r="B11" s="60">
        <f>B9-B10</f>
        <v>-276350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5EE-F8D3-4BB0-BDEA-6F954A806EEE}">
  <dimension ref="A1:B8"/>
  <sheetViews>
    <sheetView workbookViewId="0">
      <selection activeCell="E31" sqref="E31"/>
    </sheetView>
  </sheetViews>
  <sheetFormatPr defaultRowHeight="15" x14ac:dyDescent="0.25"/>
  <cols>
    <col min="1" max="1" width="12.42578125" customWidth="1"/>
    <col min="2" max="2" width="11.28515625" customWidth="1"/>
  </cols>
  <sheetData>
    <row r="1" spans="1:2" ht="15.75" thickBot="1" x14ac:dyDescent="0.3">
      <c r="A1" s="99" t="s">
        <v>6</v>
      </c>
      <c r="B1" s="100"/>
    </row>
    <row r="2" spans="1:2" x14ac:dyDescent="0.25">
      <c r="A2" s="61" t="s">
        <v>5</v>
      </c>
      <c r="B2" s="62">
        <v>500</v>
      </c>
    </row>
    <row r="3" spans="1:2" x14ac:dyDescent="0.25">
      <c r="A3" s="6" t="s">
        <v>7</v>
      </c>
      <c r="B3" s="8">
        <v>3000</v>
      </c>
    </row>
    <row r="4" spans="1:2" x14ac:dyDescent="0.25">
      <c r="A4" s="6" t="s">
        <v>8</v>
      </c>
      <c r="B4" s="7">
        <v>3600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 t="s">
        <v>9</v>
      </c>
      <c r="B8" s="9">
        <f>SUM(B2:B6)</f>
        <v>7100</v>
      </c>
    </row>
  </sheetData>
  <mergeCells count="1">
    <mergeCell ref="A1:B1"/>
  </mergeCells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3371-8C01-48B8-86DB-0599A6BC7E78}">
  <dimension ref="A1:I30"/>
  <sheetViews>
    <sheetView workbookViewId="0">
      <selection activeCell="E26" sqref="E26"/>
    </sheetView>
  </sheetViews>
  <sheetFormatPr defaultRowHeight="15" x14ac:dyDescent="0.25"/>
  <cols>
    <col min="1" max="1" width="30.85546875" customWidth="1"/>
    <col min="2" max="2" width="15.140625" customWidth="1"/>
    <col min="5" max="5" width="13.140625" customWidth="1"/>
    <col min="6" max="6" width="12.5703125" bestFit="1" customWidth="1"/>
    <col min="8" max="8" width="10.42578125" customWidth="1"/>
    <col min="9" max="9" width="10.5703125" bestFit="1" customWidth="1"/>
  </cols>
  <sheetData>
    <row r="1" spans="1:9" ht="15.75" thickBot="1" x14ac:dyDescent="0.3">
      <c r="A1" s="97" t="s">
        <v>31</v>
      </c>
      <c r="B1" s="98"/>
      <c r="F1" s="1"/>
      <c r="I1" s="1"/>
    </row>
    <row r="2" spans="1:9" x14ac:dyDescent="0.25">
      <c r="A2" s="17" t="s">
        <v>30</v>
      </c>
      <c r="B2" s="18"/>
      <c r="F2" s="1"/>
      <c r="I2" s="1"/>
    </row>
    <row r="3" spans="1:9" x14ac:dyDescent="0.25">
      <c r="A3" s="17" t="s">
        <v>28</v>
      </c>
      <c r="B3" s="18"/>
      <c r="F3" s="1"/>
      <c r="I3" s="1"/>
    </row>
    <row r="4" spans="1:9" ht="15.75" thickBot="1" x14ac:dyDescent="0.3">
      <c r="A4" s="19" t="s">
        <v>29</v>
      </c>
      <c r="B4" s="20"/>
      <c r="F4" s="1"/>
      <c r="I4" s="1"/>
    </row>
    <row r="5" spans="1:9" ht="15.75" thickBot="1" x14ac:dyDescent="0.3">
      <c r="A5" s="16"/>
      <c r="B5" s="5"/>
      <c r="F5" s="1"/>
      <c r="I5" s="1"/>
    </row>
    <row r="6" spans="1:9" ht="15.75" thickBot="1" x14ac:dyDescent="0.3">
      <c r="A6" s="103" t="s">
        <v>32</v>
      </c>
      <c r="B6" s="104"/>
      <c r="F6" s="1"/>
      <c r="I6" s="1"/>
    </row>
    <row r="7" spans="1:9" x14ac:dyDescent="0.25">
      <c r="A7" s="76" t="s">
        <v>46</v>
      </c>
      <c r="B7" s="77">
        <v>0.01</v>
      </c>
      <c r="F7" s="1"/>
      <c r="I7" s="1"/>
    </row>
    <row r="8" spans="1:9" x14ac:dyDescent="0.25">
      <c r="A8" s="78" t="s">
        <v>47</v>
      </c>
      <c r="B8" s="79">
        <v>0.09</v>
      </c>
      <c r="F8" s="1"/>
      <c r="I8" s="1"/>
    </row>
    <row r="9" spans="1:9" x14ac:dyDescent="0.25">
      <c r="A9" s="78" t="s">
        <v>35</v>
      </c>
      <c r="B9" s="80">
        <f>B7+B8</f>
        <v>9.9999999999999992E-2</v>
      </c>
      <c r="F9" s="1"/>
      <c r="I9" s="1"/>
    </row>
    <row r="10" spans="1:9" x14ac:dyDescent="0.25">
      <c r="A10" s="78" t="s">
        <v>38</v>
      </c>
      <c r="B10" s="18">
        <v>2</v>
      </c>
      <c r="F10" s="1"/>
      <c r="I10" s="1"/>
    </row>
    <row r="11" spans="1:9" x14ac:dyDescent="0.25">
      <c r="A11" s="78" t="s">
        <v>49</v>
      </c>
      <c r="B11" s="81">
        <f>B22*B7</f>
        <v>13125</v>
      </c>
      <c r="F11" s="1"/>
      <c r="I11" s="1"/>
    </row>
    <row r="12" spans="1:9" x14ac:dyDescent="0.25">
      <c r="A12" s="78" t="s">
        <v>50</v>
      </c>
      <c r="B12" s="81">
        <f>B22*B8</f>
        <v>118125</v>
      </c>
      <c r="F12" s="1"/>
      <c r="I12" s="1"/>
    </row>
    <row r="13" spans="1:9" ht="15.75" thickBot="1" x14ac:dyDescent="0.3">
      <c r="A13" s="82" t="s">
        <v>48</v>
      </c>
      <c r="B13" s="83">
        <f>B22*B9</f>
        <v>131250</v>
      </c>
      <c r="F13" s="1"/>
      <c r="I13" s="1"/>
    </row>
    <row r="14" spans="1:9" ht="15.75" thickBot="1" x14ac:dyDescent="0.3">
      <c r="A14" s="74"/>
      <c r="B14" s="75"/>
      <c r="F14" s="1"/>
      <c r="I14" s="1"/>
    </row>
    <row r="15" spans="1:9" ht="15.75" thickBot="1" x14ac:dyDescent="0.3">
      <c r="A15" s="97" t="s">
        <v>76</v>
      </c>
      <c r="B15" s="98"/>
      <c r="F15" s="1"/>
      <c r="I15" s="1"/>
    </row>
    <row r="16" spans="1:9" x14ac:dyDescent="0.25">
      <c r="A16" s="17" t="s">
        <v>1</v>
      </c>
      <c r="B16" s="84">
        <v>750</v>
      </c>
      <c r="F16" s="3"/>
    </row>
    <row r="17" spans="1:7" x14ac:dyDescent="0.25">
      <c r="A17" s="17" t="s">
        <v>0</v>
      </c>
      <c r="B17" s="21">
        <f>'Land Acquisition'!B2</f>
        <v>70</v>
      </c>
    </row>
    <row r="18" spans="1:7" x14ac:dyDescent="0.25">
      <c r="A18" s="17" t="s">
        <v>33</v>
      </c>
      <c r="B18" s="22">
        <f>B16*B17</f>
        <v>52500</v>
      </c>
      <c r="F18" s="4"/>
    </row>
    <row r="19" spans="1:7" ht="15.75" thickBot="1" x14ac:dyDescent="0.3">
      <c r="A19" s="19" t="s">
        <v>2</v>
      </c>
      <c r="B19" s="73">
        <v>25</v>
      </c>
      <c r="F19" s="4"/>
    </row>
    <row r="20" spans="1:7" ht="15.75" thickBot="1" x14ac:dyDescent="0.3">
      <c r="A20" s="23"/>
      <c r="B20" s="24"/>
      <c r="F20" s="4"/>
    </row>
    <row r="21" spans="1:7" ht="15.75" thickBot="1" x14ac:dyDescent="0.3">
      <c r="A21" s="97" t="s">
        <v>80</v>
      </c>
      <c r="B21" s="98"/>
      <c r="F21" s="4"/>
    </row>
    <row r="22" spans="1:7" ht="15.75" thickBot="1" x14ac:dyDescent="0.3">
      <c r="A22" s="25" t="s">
        <v>27</v>
      </c>
      <c r="B22" s="87">
        <f>B18*B19</f>
        <v>1312500</v>
      </c>
      <c r="F22" s="4"/>
    </row>
    <row r="23" spans="1:7" x14ac:dyDescent="0.25">
      <c r="A23" s="17" t="s">
        <v>77</v>
      </c>
      <c r="B23" s="22">
        <f>B22-B13</f>
        <v>1181250</v>
      </c>
      <c r="F23" s="4"/>
    </row>
    <row r="24" spans="1:7" ht="15.75" thickBot="1" x14ac:dyDescent="0.3">
      <c r="A24" s="19" t="s">
        <v>78</v>
      </c>
      <c r="B24" s="85">
        <f>B23/(B19-B10)</f>
        <v>51358.695652173912</v>
      </c>
      <c r="F24" s="4"/>
    </row>
    <row r="25" spans="1:7" x14ac:dyDescent="0.25">
      <c r="F25" s="4"/>
    </row>
    <row r="26" spans="1:7" x14ac:dyDescent="0.25">
      <c r="F26" s="4"/>
    </row>
    <row r="27" spans="1:7" x14ac:dyDescent="0.25">
      <c r="F27" s="4"/>
    </row>
    <row r="29" spans="1:7" x14ac:dyDescent="0.25">
      <c r="E29" s="101"/>
      <c r="F29" s="101"/>
      <c r="G29" s="101"/>
    </row>
    <row r="30" spans="1:7" x14ac:dyDescent="0.25">
      <c r="E30" s="102"/>
      <c r="F30" s="101"/>
      <c r="G30" s="101"/>
    </row>
  </sheetData>
  <mergeCells count="6">
    <mergeCell ref="E29:G29"/>
    <mergeCell ref="E30:G30"/>
    <mergeCell ref="A1:B1"/>
    <mergeCell ref="A6:B6"/>
    <mergeCell ref="A15:B15"/>
    <mergeCell ref="A21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BD8F-DA48-4058-AE69-451D7F5C1FE9}">
  <dimension ref="A1:AF33"/>
  <sheetViews>
    <sheetView tabSelected="1" workbookViewId="0">
      <selection activeCell="B5" sqref="B5"/>
    </sheetView>
  </sheetViews>
  <sheetFormatPr defaultRowHeight="15" x14ac:dyDescent="0.25"/>
  <cols>
    <col min="1" max="2" width="14" customWidth="1"/>
    <col min="3" max="3" width="15.42578125" customWidth="1"/>
    <col min="4" max="4" width="13.7109375" customWidth="1"/>
    <col min="5" max="5" width="15.140625" customWidth="1"/>
    <col min="6" max="7" width="14" customWidth="1"/>
    <col min="8" max="9" width="15.7109375" customWidth="1"/>
    <col min="10" max="10" width="17.42578125" customWidth="1"/>
    <col min="11" max="11" width="14.28515625" customWidth="1"/>
    <col min="12" max="12" width="15.140625" customWidth="1"/>
    <col min="13" max="13" width="15.7109375" customWidth="1"/>
    <col min="14" max="14" width="14.28515625" customWidth="1"/>
    <col min="15" max="16" width="19.7109375" customWidth="1"/>
    <col min="17" max="17" width="15.140625" customWidth="1"/>
    <col min="18" max="18" width="15.7109375" customWidth="1"/>
    <col min="19" max="19" width="19.28515625" customWidth="1"/>
    <col min="20" max="20" width="19" customWidth="1"/>
    <col min="21" max="21" width="15.85546875" customWidth="1"/>
    <col min="22" max="22" width="15.140625" customWidth="1"/>
    <col min="23" max="23" width="15.7109375" customWidth="1"/>
    <col min="24" max="24" width="11.42578125" customWidth="1"/>
    <col min="25" max="25" width="18.42578125" customWidth="1"/>
    <col min="26" max="26" width="14.28515625" customWidth="1"/>
    <col min="27" max="27" width="12" customWidth="1"/>
    <col min="28" max="28" width="12.5703125" customWidth="1"/>
    <col min="29" max="29" width="13.42578125" bestFit="1" customWidth="1"/>
    <col min="30" max="30" width="18.7109375" customWidth="1"/>
    <col min="31" max="31" width="14" customWidth="1"/>
  </cols>
  <sheetData>
    <row r="1" spans="1:32" ht="15.75" thickBot="1" x14ac:dyDescent="0.3">
      <c r="A1" s="101"/>
      <c r="B1" s="101"/>
      <c r="C1" s="106"/>
      <c r="D1" s="106"/>
    </row>
    <row r="2" spans="1:32" ht="15.75" thickBot="1" x14ac:dyDescent="0.3">
      <c r="B2" s="2"/>
      <c r="D2" s="4"/>
      <c r="AA2" s="97" t="s">
        <v>81</v>
      </c>
      <c r="AB2" s="105"/>
      <c r="AC2" s="105"/>
      <c r="AD2" s="105"/>
      <c r="AE2" s="98"/>
    </row>
    <row r="3" spans="1:32" ht="15.75" thickBot="1" x14ac:dyDescent="0.3">
      <c r="A3" s="97" t="s">
        <v>69</v>
      </c>
      <c r="B3" s="105"/>
      <c r="C3" s="105"/>
      <c r="D3" s="105"/>
      <c r="E3" s="105"/>
      <c r="F3" s="98"/>
      <c r="H3" s="97" t="s">
        <v>66</v>
      </c>
      <c r="I3" s="105"/>
      <c r="J3" s="105"/>
      <c r="K3" s="98"/>
      <c r="L3" s="97" t="s">
        <v>65</v>
      </c>
      <c r="M3" s="105"/>
      <c r="N3" s="105"/>
      <c r="O3" s="105"/>
      <c r="P3" s="98"/>
      <c r="Q3" s="97" t="s">
        <v>64</v>
      </c>
      <c r="R3" s="105"/>
      <c r="S3" s="105"/>
      <c r="T3" s="105"/>
      <c r="U3" s="98"/>
      <c r="V3" s="97" t="s">
        <v>63</v>
      </c>
      <c r="W3" s="105"/>
      <c r="X3" s="105"/>
      <c r="Y3" s="105"/>
      <c r="Z3" s="98"/>
      <c r="AA3" s="97" t="s">
        <v>82</v>
      </c>
      <c r="AB3" s="105"/>
      <c r="AC3" s="105"/>
      <c r="AD3" s="105"/>
      <c r="AE3" s="98"/>
    </row>
    <row r="4" spans="1:32" x14ac:dyDescent="0.25">
      <c r="A4" s="29" t="s">
        <v>37</v>
      </c>
      <c r="B4" s="54" t="s">
        <v>43</v>
      </c>
      <c r="C4" s="30" t="s">
        <v>39</v>
      </c>
      <c r="D4" s="53" t="s">
        <v>73</v>
      </c>
      <c r="E4" s="30" t="s">
        <v>45</v>
      </c>
      <c r="F4" s="43" t="s">
        <v>51</v>
      </c>
      <c r="H4" s="29" t="s">
        <v>52</v>
      </c>
      <c r="I4" s="30" t="s">
        <v>44</v>
      </c>
      <c r="J4" s="30" t="s">
        <v>59</v>
      </c>
      <c r="K4" s="31" t="s">
        <v>53</v>
      </c>
      <c r="L4" s="29" t="s">
        <v>52</v>
      </c>
      <c r="M4" s="30" t="s">
        <v>44</v>
      </c>
      <c r="N4" s="30" t="s">
        <v>60</v>
      </c>
      <c r="O4" s="30" t="s">
        <v>61</v>
      </c>
      <c r="P4" s="31" t="s">
        <v>62</v>
      </c>
      <c r="Q4" s="29" t="s">
        <v>52</v>
      </c>
      <c r="R4" s="30" t="s">
        <v>44</v>
      </c>
      <c r="S4" s="30" t="s">
        <v>56</v>
      </c>
      <c r="T4" s="30" t="s">
        <v>55</v>
      </c>
      <c r="U4" s="31" t="s">
        <v>53</v>
      </c>
      <c r="V4" s="29" t="s">
        <v>52</v>
      </c>
      <c r="W4" s="30" t="s">
        <v>44</v>
      </c>
      <c r="X4" s="30" t="s">
        <v>57</v>
      </c>
      <c r="Y4" s="30" t="s">
        <v>58</v>
      </c>
      <c r="Z4" s="31" t="s">
        <v>53</v>
      </c>
      <c r="AA4" s="29" t="s">
        <v>52</v>
      </c>
      <c r="AB4" s="30" t="s">
        <v>44</v>
      </c>
      <c r="AC4" s="30" t="s">
        <v>70</v>
      </c>
      <c r="AD4" s="30" t="s">
        <v>71</v>
      </c>
      <c r="AE4" s="31" t="s">
        <v>53</v>
      </c>
      <c r="AF4" s="43" t="s">
        <v>37</v>
      </c>
    </row>
    <row r="5" spans="1:32" x14ac:dyDescent="0.25">
      <c r="A5" s="41">
        <v>1</v>
      </c>
      <c r="B5" s="107">
        <f>PPMT('Loan Costs'!B3,'Repayment Details'!A5,'Loan Costs'!B5,'Loan Costs'!B2)</f>
        <v>-2072.616656857474</v>
      </c>
      <c r="C5" s="4">
        <f>IPMT('Loan Costs'!B3,'Repayment Details'!A5,'Loan Costs'!B5,'Loan Costs'!B2)</f>
        <v>-33162</v>
      </c>
      <c r="D5" s="50">
        <f>B5+C5</f>
        <v>-35234.616656857477</v>
      </c>
      <c r="E5" s="37">
        <f>'Lease Revenue'!B12/'Lease Revenue'!B10</f>
        <v>59062.5</v>
      </c>
      <c r="F5" s="49">
        <f>D5+E5</f>
        <v>23827.883343142523</v>
      </c>
      <c r="G5" s="28"/>
      <c r="H5" s="32">
        <f>-'Loan Costs'!B2</f>
        <v>-276350</v>
      </c>
      <c r="I5" s="27">
        <f>IF(H5&lt;0,D5,0)</f>
        <v>-35234.616656857477</v>
      </c>
      <c r="J5" s="27">
        <f>IF(H5&lt;0,E5,0)</f>
        <v>59062.5</v>
      </c>
      <c r="K5" s="33">
        <f>IF(H5+I5+J5&lt;0,H5+I5+J5,0)</f>
        <v>-252522.11665685748</v>
      </c>
      <c r="L5" s="32">
        <f>-'Loan Costs'!B2</f>
        <v>-276350</v>
      </c>
      <c r="M5" s="27">
        <f>IF(L5&lt;0,D5,0)</f>
        <v>-35234.616656857477</v>
      </c>
      <c r="N5" s="27">
        <f>IF(L5&lt;0,IF(F5&gt;0,0.25*F5,"N/A"),0)</f>
        <v>5956.9708357856307</v>
      </c>
      <c r="O5" s="27">
        <f>IF(L5&lt;0,J5+N5,0)</f>
        <v>65019.470835785629</v>
      </c>
      <c r="P5" s="33">
        <f>IF(L5+M5+O5&lt;0,L5+M5+O5,0)</f>
        <v>-246565.14582107187</v>
      </c>
      <c r="Q5" s="32">
        <f>-'Loan Costs'!B2</f>
        <v>-276350</v>
      </c>
      <c r="R5" s="27">
        <f t="shared" ref="R5:R14" si="0">IF(Q5&lt;0,D5,0)</f>
        <v>-35234.616656857477</v>
      </c>
      <c r="S5" s="27">
        <f t="shared" ref="S5:S29" si="1">IF(Q5&lt;0,IF(F5&gt;0,0.5*F5,"N/A"),0)</f>
        <v>11913.941671571261</v>
      </c>
      <c r="T5" s="27">
        <f t="shared" ref="T5:T14" si="2">IF(Q5&lt;0,J5+S5,0)</f>
        <v>70976.441671571258</v>
      </c>
      <c r="U5" s="33">
        <f t="shared" ref="U5:U29" si="3">IF(Q5+R5+T5&lt;0,Q5+I5+T5,0)</f>
        <v>-240608.17498528623</v>
      </c>
      <c r="V5" s="32">
        <f>-'Loan Costs'!B2</f>
        <v>-276350</v>
      </c>
      <c r="W5" s="27">
        <f>IF(V5&lt;0,D5,0)</f>
        <v>-35234.616656857477</v>
      </c>
      <c r="X5" s="37">
        <f>IF(V5&lt;0,IF(F5&gt;0,0.75*F5,"N/A"),0)</f>
        <v>17870.912507356894</v>
      </c>
      <c r="Y5" s="27">
        <f>IF(V5&lt;0,J5+X5,0)</f>
        <v>76933.412507356901</v>
      </c>
      <c r="Z5" s="38">
        <f>IF(V5+W5+Y5&lt;0,V5+W5+Y5,0)</f>
        <v>-234651.20414950058</v>
      </c>
      <c r="AA5" s="32">
        <f>-'Loan Costs'!B2</f>
        <v>-276350</v>
      </c>
      <c r="AB5" s="27">
        <f>IF(AA5&lt;0,I5,0)</f>
        <v>-35234.616656857477</v>
      </c>
      <c r="AC5" s="37">
        <f>IF(AA5&lt;0,IF(F5&gt;0,0.9*F5,"N/A"),0)</f>
        <v>21445.09500882827</v>
      </c>
      <c r="AD5" s="27">
        <f>IF(AA5&lt;0,E5+AC5,0)</f>
        <v>80507.59500882827</v>
      </c>
      <c r="AE5" s="38">
        <f>IF(AA5+AB5+AD5&lt;0,AA5+AB5+AD5,0)</f>
        <v>-231077.02164802921</v>
      </c>
      <c r="AF5" s="44">
        <v>1</v>
      </c>
    </row>
    <row r="6" spans="1:32" x14ac:dyDescent="0.25">
      <c r="A6" s="41">
        <v>2</v>
      </c>
      <c r="B6" s="55">
        <f>PPMT('Loan Costs'!B3,'Repayment Details'!A6,'Loan Costs'!B5,'Loan Costs'!B2)</f>
        <v>-2321.3306556803695</v>
      </c>
      <c r="C6" s="4">
        <f>IPMT('Loan Costs'!B3,'Repayment Details'!A6,'Loan Costs'!B5,'Loan Costs'!B2)</f>
        <v>-32913.286001177097</v>
      </c>
      <c r="D6" s="50">
        <f>B6+C6</f>
        <v>-35234.61665685747</v>
      </c>
      <c r="E6" s="2">
        <f>'Lease Revenue'!B12/'Lease Revenue'!B10</f>
        <v>59062.5</v>
      </c>
      <c r="F6" s="50">
        <f>F5+D6+E6</f>
        <v>47655.766686285053</v>
      </c>
      <c r="G6" s="27"/>
      <c r="H6" s="32">
        <f>IF(K5&lt;0,K5,0)</f>
        <v>-252522.11665685748</v>
      </c>
      <c r="I6" s="27">
        <f t="shared" ref="I6:I29" si="4">IF(H6&lt;0,D6,0)</f>
        <v>-35234.61665685747</v>
      </c>
      <c r="J6" s="27">
        <f t="shared" ref="J6:J29" si="5">IF(H6&lt;0,E6,0)</f>
        <v>59062.5</v>
      </c>
      <c r="K6" s="33">
        <f t="shared" ref="K6:K29" si="6">IF(H6+I6+J6&lt;0,H6+I6+J6,0)</f>
        <v>-228694.23331371497</v>
      </c>
      <c r="L6" s="32">
        <f>IF(P5&lt;0,P5,0)</f>
        <v>-246565.14582107187</v>
      </c>
      <c r="M6" s="27">
        <f>IF(L6&lt;0,D6,0)</f>
        <v>-35234.61665685747</v>
      </c>
      <c r="N6" s="27">
        <f t="shared" ref="N6:N29" si="7">IF(L6&lt;0,IF(F6&gt;0,0.25*F6,"N/A"),0)</f>
        <v>11913.941671571263</v>
      </c>
      <c r="O6" s="27">
        <f>IF(L6&lt;0,J6+N6,0)</f>
        <v>70976.441671571258</v>
      </c>
      <c r="P6" s="33">
        <f t="shared" ref="P6:P14" si="8">IF(L6+M6+O6&lt;0,L6+M6+O6,0)</f>
        <v>-210823.3208063581</v>
      </c>
      <c r="Q6" s="32">
        <f>IF(U5&lt;0,U5,0)</f>
        <v>-240608.17498528623</v>
      </c>
      <c r="R6" s="27">
        <f t="shared" si="0"/>
        <v>-35234.61665685747</v>
      </c>
      <c r="S6" s="27">
        <f t="shared" si="1"/>
        <v>23827.883343142526</v>
      </c>
      <c r="T6" s="27">
        <f t="shared" si="2"/>
        <v>82890.38334314253</v>
      </c>
      <c r="U6" s="33">
        <f t="shared" si="3"/>
        <v>-192952.40829900117</v>
      </c>
      <c r="V6" s="32">
        <f>IF(Z5&lt;0,Z5,0)</f>
        <v>-234651.20414950058</v>
      </c>
      <c r="W6" s="27">
        <f t="shared" ref="W6:W29" si="9">IF(V6&lt;0,D6,0)</f>
        <v>-35234.61665685747</v>
      </c>
      <c r="X6" s="37">
        <f t="shared" ref="X6:X29" si="10">IF(V6&lt;0,IF(F6&gt;0,0.75*F6,"N/A"),0)</f>
        <v>35741.825014713788</v>
      </c>
      <c r="Y6" s="27">
        <f t="shared" ref="Y6:Y29" si="11">IF(V6&lt;0,J6+X6,0)</f>
        <v>94804.325014713788</v>
      </c>
      <c r="Z6" s="38">
        <f t="shared" ref="Z6:Z29" si="12">IF(V6+W6+Y6&lt;0,V6+W6+Y6,0)</f>
        <v>-175081.49579164427</v>
      </c>
      <c r="AA6" s="32">
        <f>IF(AE5&lt;0,AE5,0)</f>
        <v>-231077.02164802921</v>
      </c>
      <c r="AB6" s="27">
        <f t="shared" ref="AB6:AB29" si="13">IF(AA6&lt;0,I6,0)</f>
        <v>-35234.61665685747</v>
      </c>
      <c r="AC6" s="37">
        <f t="shared" ref="AC6:AC29" si="14">IF(AA6&lt;0,IF(F6&gt;0,0.9*F6,"N/A"),0)</f>
        <v>42890.190017656547</v>
      </c>
      <c r="AD6" s="27">
        <f t="shared" ref="AD6:AD29" si="15">IF(AA6&lt;0,E6+AC6,0)</f>
        <v>101952.69001765654</v>
      </c>
      <c r="AE6" s="38">
        <f>IF(AA6+AB6+AD6&lt;0,AA6+AB6+AD6,0)</f>
        <v>-164358.94828723016</v>
      </c>
      <c r="AF6" s="44">
        <v>2</v>
      </c>
    </row>
    <row r="7" spans="1:32" x14ac:dyDescent="0.25">
      <c r="A7" s="41">
        <v>3</v>
      </c>
      <c r="B7" s="56">
        <f>PPMT('Loan Costs'!B3,'Repayment Details'!A7,'Loan Costs'!B5,'Loan Costs'!B2)</f>
        <v>-2599.8903343620145</v>
      </c>
      <c r="C7" s="4">
        <f>IPMT('Loan Costs'!B3,'Repayment Details'!A7,'Loan Costs'!B5,'Loan Costs'!B2)</f>
        <v>-32634.726322495455</v>
      </c>
      <c r="D7" s="50">
        <f t="shared" ref="D7:D29" si="16">B7+C7</f>
        <v>-35234.61665685747</v>
      </c>
      <c r="E7" s="2">
        <f>'Lease Revenue'!B24</f>
        <v>51358.695652173912</v>
      </c>
      <c r="F7" s="50">
        <f>F6+D7+E7</f>
        <v>63779.845681601495</v>
      </c>
      <c r="G7" s="27"/>
      <c r="H7" s="32">
        <f t="shared" ref="H7:H29" si="17">IF(K6&lt;0,K6,0)</f>
        <v>-228694.23331371497</v>
      </c>
      <c r="I7" s="27">
        <f t="shared" si="4"/>
        <v>-35234.61665685747</v>
      </c>
      <c r="J7" s="27">
        <f t="shared" si="5"/>
        <v>51358.695652173912</v>
      </c>
      <c r="K7" s="33">
        <f t="shared" si="6"/>
        <v>-212570.15431839853</v>
      </c>
      <c r="L7" s="32">
        <f t="shared" ref="L7:L18" si="18">IF(P6&lt;0,P6,0)</f>
        <v>-210823.3208063581</v>
      </c>
      <c r="M7" s="27">
        <f t="shared" ref="M7:M16" si="19">IF(L7&lt;0,D7,0)</f>
        <v>-35234.61665685747</v>
      </c>
      <c r="N7" s="27">
        <f t="shared" si="7"/>
        <v>15944.961420400374</v>
      </c>
      <c r="O7" s="27">
        <f t="shared" ref="O7:O15" si="20">IF(L7&lt;0,J7+N7,0)</f>
        <v>67303.657072574279</v>
      </c>
      <c r="P7" s="33">
        <f t="shared" si="8"/>
        <v>-178754.28039064127</v>
      </c>
      <c r="Q7" s="32">
        <f t="shared" ref="Q7:Q29" si="21">IF(U6&lt;0,U6,0)</f>
        <v>-192952.40829900117</v>
      </c>
      <c r="R7" s="27">
        <f t="shared" si="0"/>
        <v>-35234.61665685747</v>
      </c>
      <c r="S7" s="27">
        <f t="shared" si="1"/>
        <v>31889.922840800748</v>
      </c>
      <c r="T7" s="27">
        <f t="shared" si="2"/>
        <v>83248.618492974667</v>
      </c>
      <c r="U7" s="33">
        <f t="shared" si="3"/>
        <v>-144938.40646288398</v>
      </c>
      <c r="V7" s="32">
        <f t="shared" ref="V7:V29" si="22">IF(Z6&lt;0,Z6,0)</f>
        <v>-175081.49579164427</v>
      </c>
      <c r="W7" s="27">
        <f t="shared" si="9"/>
        <v>-35234.61665685747</v>
      </c>
      <c r="X7" s="37">
        <f t="shared" si="10"/>
        <v>47834.884261201121</v>
      </c>
      <c r="Y7" s="27">
        <f t="shared" si="11"/>
        <v>99193.579913375026</v>
      </c>
      <c r="Z7" s="38">
        <f t="shared" si="12"/>
        <v>-111122.53253512672</v>
      </c>
      <c r="AA7" s="32">
        <f t="shared" ref="AA7:AA29" si="23">IF(AE6&lt;0,AE6,0)</f>
        <v>-164358.94828723016</v>
      </c>
      <c r="AB7" s="27">
        <f t="shared" si="13"/>
        <v>-35234.61665685747</v>
      </c>
      <c r="AC7" s="37">
        <f t="shared" si="14"/>
        <v>57401.861113441344</v>
      </c>
      <c r="AD7" s="27">
        <f t="shared" si="15"/>
        <v>108760.55676561526</v>
      </c>
      <c r="AE7" s="38">
        <f t="shared" ref="AE7:AE29" si="24">IF(AA7+AB7+AD7&lt;0,AA7+AB7+AD7,0)</f>
        <v>-90833.008178472388</v>
      </c>
      <c r="AF7" s="44">
        <v>3</v>
      </c>
    </row>
    <row r="8" spans="1:32" x14ac:dyDescent="0.25">
      <c r="A8" s="41">
        <v>4</v>
      </c>
      <c r="B8" s="55">
        <f>PPMT('Loan Costs'!B3,'Repayment Details'!A8,'Loan Costs'!B5,'Loan Costs'!B2)</f>
        <v>-2911.8771744854566</v>
      </c>
      <c r="C8" s="4">
        <f>IPMT('Loan Costs'!B3,'Repayment Details'!A8,'Loan Costs'!B5,'Loan Costs'!B2)</f>
        <v>-32322.739482372017</v>
      </c>
      <c r="D8" s="50">
        <f t="shared" si="16"/>
        <v>-35234.61665685747</v>
      </c>
      <c r="E8" s="2">
        <f>'Lease Revenue'!B24</f>
        <v>51358.695652173912</v>
      </c>
      <c r="F8" s="50">
        <f t="shared" ref="F8:F29" si="25">F7+D8+E8</f>
        <v>79903.92467691793</v>
      </c>
      <c r="G8" s="27"/>
      <c r="H8" s="32">
        <f t="shared" si="17"/>
        <v>-212570.15431839853</v>
      </c>
      <c r="I8" s="27">
        <f t="shared" si="4"/>
        <v>-35234.61665685747</v>
      </c>
      <c r="J8" s="27">
        <f t="shared" si="5"/>
        <v>51358.695652173912</v>
      </c>
      <c r="K8" s="33">
        <f t="shared" si="6"/>
        <v>-196446.07532308207</v>
      </c>
      <c r="L8" s="32">
        <f t="shared" si="18"/>
        <v>-178754.28039064127</v>
      </c>
      <c r="M8" s="27">
        <f t="shared" si="19"/>
        <v>-35234.61665685747</v>
      </c>
      <c r="N8" s="27">
        <f t="shared" si="7"/>
        <v>19975.981169229482</v>
      </c>
      <c r="O8" s="27">
        <f t="shared" si="20"/>
        <v>71334.676821403395</v>
      </c>
      <c r="P8" s="33">
        <f t="shared" si="8"/>
        <v>-142654.22022609535</v>
      </c>
      <c r="Q8" s="32">
        <f t="shared" si="21"/>
        <v>-144938.40646288398</v>
      </c>
      <c r="R8" s="27">
        <f t="shared" si="0"/>
        <v>-35234.61665685747</v>
      </c>
      <c r="S8" s="27">
        <f t="shared" si="1"/>
        <v>39951.962338458965</v>
      </c>
      <c r="T8" s="27">
        <f t="shared" si="2"/>
        <v>91310.65799063287</v>
      </c>
      <c r="U8" s="33">
        <f t="shared" si="3"/>
        <v>-88862.365129108599</v>
      </c>
      <c r="V8" s="32">
        <f t="shared" si="22"/>
        <v>-111122.53253512672</v>
      </c>
      <c r="W8" s="27">
        <f t="shared" si="9"/>
        <v>-35234.61665685747</v>
      </c>
      <c r="X8" s="37">
        <f t="shared" si="10"/>
        <v>59927.943507688447</v>
      </c>
      <c r="Y8" s="27">
        <f t="shared" si="11"/>
        <v>111286.63915986236</v>
      </c>
      <c r="Z8" s="38">
        <f t="shared" si="12"/>
        <v>-35070.510032121849</v>
      </c>
      <c r="AA8" s="32">
        <f t="shared" si="23"/>
        <v>-90833.008178472388</v>
      </c>
      <c r="AB8" s="27">
        <f t="shared" si="13"/>
        <v>-35234.61665685747</v>
      </c>
      <c r="AC8" s="37">
        <f t="shared" si="14"/>
        <v>71913.532209226134</v>
      </c>
      <c r="AD8" s="27">
        <f t="shared" si="15"/>
        <v>123272.22786140005</v>
      </c>
      <c r="AE8" s="38">
        <f t="shared" si="24"/>
        <v>-2795.3969739298045</v>
      </c>
      <c r="AF8" s="44">
        <v>4</v>
      </c>
    </row>
    <row r="9" spans="1:32" x14ac:dyDescent="0.25">
      <c r="A9" s="41">
        <v>5</v>
      </c>
      <c r="B9" s="56">
        <f>PPMT('Loan Costs'!B3,'Repayment Details'!A9,'Loan Costs'!B5,'Loan Costs'!B2)</f>
        <v>-3261.3024354237114</v>
      </c>
      <c r="C9" s="4">
        <f>IPMT('Loan Costs'!B3,'Repayment Details'!A9,'Loan Costs'!B5,'Loan Costs'!B2)</f>
        <v>-31973.314221433757</v>
      </c>
      <c r="D9" s="50">
        <f t="shared" si="16"/>
        <v>-35234.61665685747</v>
      </c>
      <c r="E9" s="2">
        <f>'Lease Revenue'!B24</f>
        <v>51358.695652173912</v>
      </c>
      <c r="F9" s="50">
        <f t="shared" si="25"/>
        <v>96028.003672234365</v>
      </c>
      <c r="G9" s="27"/>
      <c r="H9" s="32">
        <f t="shared" si="17"/>
        <v>-196446.07532308207</v>
      </c>
      <c r="I9" s="27">
        <f t="shared" si="4"/>
        <v>-35234.61665685747</v>
      </c>
      <c r="J9" s="27">
        <f t="shared" si="5"/>
        <v>51358.695652173912</v>
      </c>
      <c r="K9" s="33">
        <f t="shared" si="6"/>
        <v>-180321.99632776561</v>
      </c>
      <c r="L9" s="32">
        <f t="shared" si="18"/>
        <v>-142654.22022609535</v>
      </c>
      <c r="M9" s="27">
        <f t="shared" si="19"/>
        <v>-35234.61665685747</v>
      </c>
      <c r="N9" s="27">
        <f t="shared" si="7"/>
        <v>24007.000918058591</v>
      </c>
      <c r="O9" s="27">
        <f t="shared" si="20"/>
        <v>75365.696570232511</v>
      </c>
      <c r="P9" s="33">
        <f t="shared" si="8"/>
        <v>-102523.14031272032</v>
      </c>
      <c r="Q9" s="32">
        <f t="shared" si="21"/>
        <v>-88862.365129108599</v>
      </c>
      <c r="R9" s="27">
        <f t="shared" si="0"/>
        <v>-35234.61665685747</v>
      </c>
      <c r="S9" s="27">
        <f t="shared" si="1"/>
        <v>48014.001836117182</v>
      </c>
      <c r="T9" s="27">
        <f t="shared" si="2"/>
        <v>99372.697488291102</v>
      </c>
      <c r="U9" s="33">
        <f t="shared" si="3"/>
        <v>-24724.284297674967</v>
      </c>
      <c r="V9" s="32">
        <f t="shared" si="22"/>
        <v>-35070.510032121849</v>
      </c>
      <c r="W9" s="27">
        <f t="shared" si="9"/>
        <v>-35234.61665685747</v>
      </c>
      <c r="X9" s="37">
        <f t="shared" si="10"/>
        <v>72021.002754175774</v>
      </c>
      <c r="Y9" s="27">
        <f t="shared" si="11"/>
        <v>123379.69840634969</v>
      </c>
      <c r="Z9" s="38">
        <f t="shared" si="12"/>
        <v>0</v>
      </c>
      <c r="AA9" s="32">
        <f t="shared" si="23"/>
        <v>-2795.3969739298045</v>
      </c>
      <c r="AB9" s="27">
        <f t="shared" si="13"/>
        <v>-35234.61665685747</v>
      </c>
      <c r="AC9" s="37">
        <f t="shared" si="14"/>
        <v>86425.203305010931</v>
      </c>
      <c r="AD9" s="27">
        <f t="shared" si="15"/>
        <v>137783.89895718484</v>
      </c>
      <c r="AE9" s="38">
        <f t="shared" si="24"/>
        <v>0</v>
      </c>
      <c r="AF9" s="44">
        <v>5</v>
      </c>
    </row>
    <row r="10" spans="1:32" x14ac:dyDescent="0.25">
      <c r="A10" s="41">
        <v>6</v>
      </c>
      <c r="B10" s="56">
        <f>PPMT('Loan Costs'!B3,'Repayment Details'!A10,'Loan Costs'!B5,'Loan Costs'!B2)</f>
        <v>-3652.6587276745572</v>
      </c>
      <c r="C10" s="4">
        <f>IPMT('Loan Costs'!B3,'Repayment Details'!A10,'Loan Costs'!B5,'Loan Costs'!B2)</f>
        <v>-31581.957929182914</v>
      </c>
      <c r="D10" s="50">
        <f t="shared" si="16"/>
        <v>-35234.61665685747</v>
      </c>
      <c r="E10" s="2">
        <f>'Lease Revenue'!B24</f>
        <v>51358.695652173912</v>
      </c>
      <c r="F10" s="50">
        <f t="shared" si="25"/>
        <v>112152.0826675508</v>
      </c>
      <c r="G10" s="27"/>
      <c r="H10" s="32">
        <f t="shared" si="17"/>
        <v>-180321.99632776561</v>
      </c>
      <c r="I10" s="27">
        <f t="shared" si="4"/>
        <v>-35234.61665685747</v>
      </c>
      <c r="J10" s="27">
        <f t="shared" si="5"/>
        <v>51358.695652173912</v>
      </c>
      <c r="K10" s="33">
        <f t="shared" si="6"/>
        <v>-164197.91733244914</v>
      </c>
      <c r="L10" s="32">
        <f t="shared" si="18"/>
        <v>-102523.14031272032</v>
      </c>
      <c r="M10" s="27">
        <f t="shared" si="19"/>
        <v>-35234.61665685747</v>
      </c>
      <c r="N10" s="27">
        <f t="shared" si="7"/>
        <v>28038.0206668877</v>
      </c>
      <c r="O10" s="27">
        <f t="shared" si="20"/>
        <v>79396.716319061612</v>
      </c>
      <c r="P10" s="33">
        <f t="shared" si="8"/>
        <v>-58361.040650516195</v>
      </c>
      <c r="Q10" s="32">
        <f t="shared" si="21"/>
        <v>-24724.284297674967</v>
      </c>
      <c r="R10" s="27">
        <f t="shared" si="0"/>
        <v>-35234.61665685747</v>
      </c>
      <c r="S10" s="27">
        <f t="shared" si="1"/>
        <v>56076.0413337754</v>
      </c>
      <c r="T10" s="27">
        <f t="shared" si="2"/>
        <v>107434.7369859493</v>
      </c>
      <c r="U10" s="33">
        <f t="shared" si="3"/>
        <v>0</v>
      </c>
      <c r="V10" s="32">
        <f t="shared" si="22"/>
        <v>0</v>
      </c>
      <c r="W10" s="27">
        <f t="shared" si="9"/>
        <v>0</v>
      </c>
      <c r="X10" s="37">
        <f t="shared" si="10"/>
        <v>0</v>
      </c>
      <c r="Y10" s="27">
        <f t="shared" si="11"/>
        <v>0</v>
      </c>
      <c r="Z10" s="38">
        <f t="shared" si="12"/>
        <v>0</v>
      </c>
      <c r="AA10" s="32">
        <f t="shared" si="23"/>
        <v>0</v>
      </c>
      <c r="AB10" s="27">
        <f t="shared" si="13"/>
        <v>0</v>
      </c>
      <c r="AC10" s="37">
        <f t="shared" si="14"/>
        <v>0</v>
      </c>
      <c r="AD10" s="27">
        <f t="shared" si="15"/>
        <v>0</v>
      </c>
      <c r="AE10" s="38">
        <f t="shared" si="24"/>
        <v>0</v>
      </c>
      <c r="AF10" s="44">
        <v>6</v>
      </c>
    </row>
    <row r="11" spans="1:32" x14ac:dyDescent="0.25">
      <c r="A11" s="41">
        <v>7</v>
      </c>
      <c r="B11" s="56">
        <f>PPMT('Loan Costs'!B3,'Repayment Details'!A11,'Loan Costs'!B5,'Loan Costs'!B2)</f>
        <v>-4090.9777749955038</v>
      </c>
      <c r="C11" s="4">
        <f>IPMT('Loan Costs'!B3,'Repayment Details'!A11,'Loan Costs'!B5,'Loan Costs'!B2)</f>
        <v>-31143.638881861967</v>
      </c>
      <c r="D11" s="50">
        <f t="shared" si="16"/>
        <v>-35234.61665685747</v>
      </c>
      <c r="E11" s="2">
        <f>'Lease Revenue'!B24</f>
        <v>51358.695652173912</v>
      </c>
      <c r="F11" s="50">
        <f t="shared" si="25"/>
        <v>128276.16166286723</v>
      </c>
      <c r="G11" s="27"/>
      <c r="H11" s="32">
        <f t="shared" si="17"/>
        <v>-164197.91733244914</v>
      </c>
      <c r="I11" s="27">
        <f t="shared" si="4"/>
        <v>-35234.61665685747</v>
      </c>
      <c r="J11" s="27">
        <f t="shared" si="5"/>
        <v>51358.695652173912</v>
      </c>
      <c r="K11" s="33">
        <f t="shared" si="6"/>
        <v>-148073.83833713268</v>
      </c>
      <c r="L11" s="32">
        <f t="shared" si="18"/>
        <v>-58361.040650516195</v>
      </c>
      <c r="M11" s="27">
        <f t="shared" si="19"/>
        <v>-35234.61665685747</v>
      </c>
      <c r="N11" s="27">
        <f t="shared" si="7"/>
        <v>32069.040415716809</v>
      </c>
      <c r="O11" s="27">
        <f t="shared" si="20"/>
        <v>83427.736067890713</v>
      </c>
      <c r="P11" s="33">
        <f t="shared" si="8"/>
        <v>-10167.921239482952</v>
      </c>
      <c r="Q11" s="32">
        <f t="shared" si="21"/>
        <v>0</v>
      </c>
      <c r="R11" s="27">
        <f t="shared" si="0"/>
        <v>0</v>
      </c>
      <c r="S11" s="27">
        <f t="shared" si="1"/>
        <v>0</v>
      </c>
      <c r="T11" s="27">
        <f t="shared" si="2"/>
        <v>0</v>
      </c>
      <c r="U11" s="33">
        <f t="shared" si="3"/>
        <v>0</v>
      </c>
      <c r="V11" s="32">
        <f t="shared" si="22"/>
        <v>0</v>
      </c>
      <c r="W11" s="27">
        <f t="shared" si="9"/>
        <v>0</v>
      </c>
      <c r="X11" s="37">
        <f t="shared" si="10"/>
        <v>0</v>
      </c>
      <c r="Y11" s="27">
        <f t="shared" si="11"/>
        <v>0</v>
      </c>
      <c r="Z11" s="38">
        <f t="shared" si="12"/>
        <v>0</v>
      </c>
      <c r="AA11" s="32">
        <f t="shared" si="23"/>
        <v>0</v>
      </c>
      <c r="AB11" s="27">
        <f t="shared" si="13"/>
        <v>0</v>
      </c>
      <c r="AC11" s="37">
        <f t="shared" si="14"/>
        <v>0</v>
      </c>
      <c r="AD11" s="27">
        <f t="shared" si="15"/>
        <v>0</v>
      </c>
      <c r="AE11" s="38">
        <f t="shared" si="24"/>
        <v>0</v>
      </c>
      <c r="AF11" s="44">
        <v>7</v>
      </c>
    </row>
    <row r="12" spans="1:32" x14ac:dyDescent="0.25">
      <c r="A12" s="41">
        <v>8</v>
      </c>
      <c r="B12" s="56">
        <f>PPMT('Loan Costs'!B3,'Repayment Details'!A12,'Loan Costs'!B5,'Loan Costs'!B2)</f>
        <v>-4581.8951079949629</v>
      </c>
      <c r="C12" s="4">
        <f>IPMT('Loan Costs'!B3,'Repayment Details'!A12,'Loan Costs'!B5,'Loan Costs'!B2)</f>
        <v>-30652.721548862508</v>
      </c>
      <c r="D12" s="50">
        <f t="shared" si="16"/>
        <v>-35234.61665685747</v>
      </c>
      <c r="E12" s="2">
        <f>'Lease Revenue'!B24</f>
        <v>51358.695652173912</v>
      </c>
      <c r="F12" s="50">
        <f t="shared" si="25"/>
        <v>144400.24065818367</v>
      </c>
      <c r="G12" s="27"/>
      <c r="H12" s="32">
        <f t="shared" si="17"/>
        <v>-148073.83833713268</v>
      </c>
      <c r="I12" s="27">
        <f t="shared" si="4"/>
        <v>-35234.61665685747</v>
      </c>
      <c r="J12" s="27">
        <f t="shared" si="5"/>
        <v>51358.695652173912</v>
      </c>
      <c r="K12" s="33">
        <f t="shared" si="6"/>
        <v>-131949.75934181621</v>
      </c>
      <c r="L12" s="32">
        <f t="shared" si="18"/>
        <v>-10167.921239482952</v>
      </c>
      <c r="M12" s="27">
        <f t="shared" si="19"/>
        <v>-35234.61665685747</v>
      </c>
      <c r="N12" s="27">
        <f t="shared" si="7"/>
        <v>36100.060164545917</v>
      </c>
      <c r="O12" s="27">
        <f t="shared" si="20"/>
        <v>87458.755816719829</v>
      </c>
      <c r="P12" s="33">
        <f t="shared" si="8"/>
        <v>0</v>
      </c>
      <c r="Q12" s="32">
        <f t="shared" si="21"/>
        <v>0</v>
      </c>
      <c r="R12" s="27">
        <f t="shared" si="0"/>
        <v>0</v>
      </c>
      <c r="S12" s="27">
        <f t="shared" si="1"/>
        <v>0</v>
      </c>
      <c r="T12" s="27">
        <f t="shared" si="2"/>
        <v>0</v>
      </c>
      <c r="U12" s="33">
        <f t="shared" si="3"/>
        <v>0</v>
      </c>
      <c r="V12" s="32">
        <f t="shared" si="22"/>
        <v>0</v>
      </c>
      <c r="W12" s="27">
        <f t="shared" si="9"/>
        <v>0</v>
      </c>
      <c r="X12" s="37">
        <f t="shared" si="10"/>
        <v>0</v>
      </c>
      <c r="Y12" s="27">
        <f t="shared" si="11"/>
        <v>0</v>
      </c>
      <c r="Z12" s="38">
        <f t="shared" si="12"/>
        <v>0</v>
      </c>
      <c r="AA12" s="32">
        <f t="shared" si="23"/>
        <v>0</v>
      </c>
      <c r="AB12" s="27">
        <f t="shared" si="13"/>
        <v>0</v>
      </c>
      <c r="AC12" s="37">
        <f t="shared" si="14"/>
        <v>0</v>
      </c>
      <c r="AD12" s="27">
        <f t="shared" si="15"/>
        <v>0</v>
      </c>
      <c r="AE12" s="38">
        <f t="shared" si="24"/>
        <v>0</v>
      </c>
      <c r="AF12" s="44">
        <v>8</v>
      </c>
    </row>
    <row r="13" spans="1:32" x14ac:dyDescent="0.25">
      <c r="A13" s="41">
        <v>9</v>
      </c>
      <c r="B13" s="56">
        <f>PPMT('Loan Costs'!B3,'Repayment Details'!A13,'Loan Costs'!B5,'Loan Costs'!B2)</f>
        <v>-5131.7225209543585</v>
      </c>
      <c r="C13" s="4">
        <f>IPMT('Loan Costs'!B3,'Repayment Details'!A13,'Loan Costs'!B5,'Loan Costs'!B2)</f>
        <v>-30102.894135903109</v>
      </c>
      <c r="D13" s="50">
        <f t="shared" si="16"/>
        <v>-35234.61665685747</v>
      </c>
      <c r="E13" s="2">
        <f>'Lease Revenue'!B24</f>
        <v>51358.695652173912</v>
      </c>
      <c r="F13" s="50">
        <f t="shared" si="25"/>
        <v>160524.3196535001</v>
      </c>
      <c r="G13" s="27"/>
      <c r="H13" s="32">
        <f t="shared" si="17"/>
        <v>-131949.75934181621</v>
      </c>
      <c r="I13" s="27">
        <f t="shared" si="4"/>
        <v>-35234.61665685747</v>
      </c>
      <c r="J13" s="27">
        <f t="shared" si="5"/>
        <v>51358.695652173912</v>
      </c>
      <c r="K13" s="33">
        <f t="shared" si="6"/>
        <v>-115825.68034649975</v>
      </c>
      <c r="L13" s="32">
        <f t="shared" si="18"/>
        <v>0</v>
      </c>
      <c r="M13" s="27">
        <f t="shared" si="19"/>
        <v>0</v>
      </c>
      <c r="N13" s="27">
        <f t="shared" si="7"/>
        <v>0</v>
      </c>
      <c r="O13" s="27">
        <f t="shared" si="20"/>
        <v>0</v>
      </c>
      <c r="P13" s="33">
        <f t="shared" si="8"/>
        <v>0</v>
      </c>
      <c r="Q13" s="32">
        <f t="shared" si="21"/>
        <v>0</v>
      </c>
      <c r="R13" s="27">
        <f t="shared" si="0"/>
        <v>0</v>
      </c>
      <c r="S13" s="27">
        <f t="shared" si="1"/>
        <v>0</v>
      </c>
      <c r="T13" s="27">
        <f t="shared" si="2"/>
        <v>0</v>
      </c>
      <c r="U13" s="33">
        <f t="shared" si="3"/>
        <v>0</v>
      </c>
      <c r="V13" s="32">
        <f t="shared" si="22"/>
        <v>0</v>
      </c>
      <c r="W13" s="27">
        <f t="shared" si="9"/>
        <v>0</v>
      </c>
      <c r="X13" s="37">
        <f t="shared" si="10"/>
        <v>0</v>
      </c>
      <c r="Y13" s="27">
        <f t="shared" si="11"/>
        <v>0</v>
      </c>
      <c r="Z13" s="38">
        <f t="shared" si="12"/>
        <v>0</v>
      </c>
      <c r="AA13" s="32">
        <f t="shared" si="23"/>
        <v>0</v>
      </c>
      <c r="AB13" s="27">
        <f t="shared" si="13"/>
        <v>0</v>
      </c>
      <c r="AC13" s="37">
        <f t="shared" si="14"/>
        <v>0</v>
      </c>
      <c r="AD13" s="27">
        <f t="shared" si="15"/>
        <v>0</v>
      </c>
      <c r="AE13" s="38">
        <f t="shared" si="24"/>
        <v>0</v>
      </c>
      <c r="AF13" s="44">
        <v>9</v>
      </c>
    </row>
    <row r="14" spans="1:32" x14ac:dyDescent="0.25">
      <c r="A14" s="41">
        <v>10</v>
      </c>
      <c r="B14" s="56">
        <f>PPMT('Loan Costs'!B3,'Repayment Details'!A14,'Loan Costs'!B5,'Loan Costs'!B2)</f>
        <v>-5747.5292234688814</v>
      </c>
      <c r="C14" s="4">
        <f>IPMT('Loan Costs'!B3,'Repayment Details'!A14,'Loan Costs'!B5,'Loan Costs'!B2)</f>
        <v>-29487.087433388591</v>
      </c>
      <c r="D14" s="50">
        <f t="shared" si="16"/>
        <v>-35234.61665685747</v>
      </c>
      <c r="E14" s="2">
        <f>'Lease Revenue'!B24</f>
        <v>51358.695652173912</v>
      </c>
      <c r="F14" s="50">
        <f t="shared" si="25"/>
        <v>176648.39864881654</v>
      </c>
      <c r="G14" s="27"/>
      <c r="H14" s="32">
        <f t="shared" si="17"/>
        <v>-115825.68034649975</v>
      </c>
      <c r="I14" s="27">
        <f t="shared" si="4"/>
        <v>-35234.61665685747</v>
      </c>
      <c r="J14" s="27">
        <f t="shared" si="5"/>
        <v>51358.695652173912</v>
      </c>
      <c r="K14" s="33">
        <f t="shared" si="6"/>
        <v>-99701.601351183286</v>
      </c>
      <c r="L14" s="32">
        <f t="shared" si="18"/>
        <v>0</v>
      </c>
      <c r="M14" s="27">
        <f t="shared" si="19"/>
        <v>0</v>
      </c>
      <c r="N14" s="27">
        <f t="shared" si="7"/>
        <v>0</v>
      </c>
      <c r="O14" s="27">
        <f t="shared" si="20"/>
        <v>0</v>
      </c>
      <c r="P14" s="33">
        <f t="shared" si="8"/>
        <v>0</v>
      </c>
      <c r="Q14" s="32">
        <f t="shared" si="21"/>
        <v>0</v>
      </c>
      <c r="R14" s="27">
        <f t="shared" si="0"/>
        <v>0</v>
      </c>
      <c r="S14" s="27">
        <f t="shared" si="1"/>
        <v>0</v>
      </c>
      <c r="T14" s="27">
        <f t="shared" si="2"/>
        <v>0</v>
      </c>
      <c r="U14" s="33">
        <f>IF(Q14+R14+T14&lt;0,Q14+I14+T14,0)</f>
        <v>0</v>
      </c>
      <c r="V14" s="32">
        <f t="shared" si="22"/>
        <v>0</v>
      </c>
      <c r="W14" s="27">
        <f t="shared" si="9"/>
        <v>0</v>
      </c>
      <c r="X14" s="37">
        <f t="shared" si="10"/>
        <v>0</v>
      </c>
      <c r="Y14" s="27">
        <f t="shared" si="11"/>
        <v>0</v>
      </c>
      <c r="Z14" s="38">
        <f t="shared" si="12"/>
        <v>0</v>
      </c>
      <c r="AA14" s="32">
        <f t="shared" si="23"/>
        <v>0</v>
      </c>
      <c r="AB14" s="27">
        <f t="shared" si="13"/>
        <v>0</v>
      </c>
      <c r="AC14" s="37">
        <f t="shared" si="14"/>
        <v>0</v>
      </c>
      <c r="AD14" s="27">
        <f t="shared" si="15"/>
        <v>0</v>
      </c>
      <c r="AE14" s="38">
        <f t="shared" si="24"/>
        <v>0</v>
      </c>
      <c r="AF14" s="44">
        <v>10</v>
      </c>
    </row>
    <row r="15" spans="1:32" x14ac:dyDescent="0.25">
      <c r="A15" s="41">
        <v>11</v>
      </c>
      <c r="B15" s="56">
        <f>PPMT('Loan Costs'!B3,'Repayment Details'!A15,'Loan Costs'!B5,'Loan Costs'!B2)</f>
        <v>-6437.232730285149</v>
      </c>
      <c r="C15" s="4">
        <f>IPMT('Loan Costs'!B3,'Repayment Details'!A15,'Loan Costs'!B5,'Loan Costs'!B2)</f>
        <v>-28797.383926572322</v>
      </c>
      <c r="D15" s="50">
        <f t="shared" si="16"/>
        <v>-35234.61665685747</v>
      </c>
      <c r="E15" s="2">
        <f>'Lease Revenue'!B24</f>
        <v>51358.695652173912</v>
      </c>
      <c r="F15" s="50">
        <f t="shared" si="25"/>
        <v>192772.477644133</v>
      </c>
      <c r="G15" s="27"/>
      <c r="H15" s="32">
        <f t="shared" si="17"/>
        <v>-99701.601351183286</v>
      </c>
      <c r="I15" s="27">
        <f t="shared" si="4"/>
        <v>-35234.61665685747</v>
      </c>
      <c r="J15" s="27">
        <f t="shared" si="5"/>
        <v>51358.695652173912</v>
      </c>
      <c r="K15" s="33">
        <f t="shared" si="6"/>
        <v>-83577.522355866822</v>
      </c>
      <c r="L15" s="32">
        <f t="shared" si="18"/>
        <v>0</v>
      </c>
      <c r="M15" s="27">
        <f t="shared" si="19"/>
        <v>0</v>
      </c>
      <c r="N15" s="27">
        <f t="shared" si="7"/>
        <v>0</v>
      </c>
      <c r="O15" s="27">
        <f t="shared" si="20"/>
        <v>0</v>
      </c>
      <c r="P15" s="33">
        <f t="shared" ref="P15:P29" si="26">IF(L15+M15+O15&lt;0,L15+M15+O15,0)</f>
        <v>0</v>
      </c>
      <c r="Q15" s="32">
        <f t="shared" si="21"/>
        <v>0</v>
      </c>
      <c r="R15" s="27">
        <f>IF(Q15&lt;0,D15,0)</f>
        <v>0</v>
      </c>
      <c r="S15" s="27">
        <f>IF(Q15&lt;0,IF(F15&gt;0,0.5*F15,"N/A"),0)</f>
        <v>0</v>
      </c>
      <c r="T15" s="27">
        <f>IF(Q15&lt;0,J15+S15,0)</f>
        <v>0</v>
      </c>
      <c r="U15" s="33">
        <f>IF(Q15+R15+T15&lt;0,Q15+I15+T15,0)</f>
        <v>0</v>
      </c>
      <c r="V15" s="32">
        <f t="shared" si="22"/>
        <v>0</v>
      </c>
      <c r="W15" s="27">
        <f t="shared" si="9"/>
        <v>0</v>
      </c>
      <c r="X15" s="37">
        <f t="shared" si="10"/>
        <v>0</v>
      </c>
      <c r="Y15" s="27">
        <f t="shared" si="11"/>
        <v>0</v>
      </c>
      <c r="Z15" s="38">
        <f t="shared" si="12"/>
        <v>0</v>
      </c>
      <c r="AA15" s="32">
        <f t="shared" si="23"/>
        <v>0</v>
      </c>
      <c r="AB15" s="27">
        <f t="shared" si="13"/>
        <v>0</v>
      </c>
      <c r="AC15" s="37">
        <f t="shared" si="14"/>
        <v>0</v>
      </c>
      <c r="AD15" s="27">
        <f t="shared" si="15"/>
        <v>0</v>
      </c>
      <c r="AE15" s="38">
        <f t="shared" si="24"/>
        <v>0</v>
      </c>
      <c r="AF15" s="44">
        <v>11</v>
      </c>
    </row>
    <row r="16" spans="1:32" x14ac:dyDescent="0.25">
      <c r="A16" s="41">
        <v>12</v>
      </c>
      <c r="B16" s="56">
        <f>PPMT('Loan Costs'!B3,'Repayment Details'!A16,'Loan Costs'!B5,'Loan Costs'!B2)</f>
        <v>-7209.7006579193658</v>
      </c>
      <c r="C16" s="4">
        <f>IPMT('Loan Costs'!B3,'Repayment Details'!A16,'Loan Costs'!B5,'Loan Costs'!B2)</f>
        <v>-28024.915998938104</v>
      </c>
      <c r="D16" s="50">
        <f t="shared" si="16"/>
        <v>-35234.61665685747</v>
      </c>
      <c r="E16" s="2">
        <f>'Lease Revenue'!B24</f>
        <v>51358.695652173912</v>
      </c>
      <c r="F16" s="50">
        <f t="shared" si="25"/>
        <v>208896.55663944947</v>
      </c>
      <c r="G16" s="27"/>
      <c r="H16" s="32">
        <f t="shared" si="17"/>
        <v>-83577.522355866822</v>
      </c>
      <c r="I16" s="27">
        <f t="shared" si="4"/>
        <v>-35234.61665685747</v>
      </c>
      <c r="J16" s="27">
        <f t="shared" si="5"/>
        <v>51358.695652173912</v>
      </c>
      <c r="K16" s="33">
        <f t="shared" si="6"/>
        <v>-67453.443360550387</v>
      </c>
      <c r="L16" s="32">
        <f t="shared" si="18"/>
        <v>0</v>
      </c>
      <c r="M16" s="27">
        <f t="shared" si="19"/>
        <v>0</v>
      </c>
      <c r="N16" s="27">
        <f t="shared" si="7"/>
        <v>0</v>
      </c>
      <c r="O16" s="27">
        <f>IF(L16&lt;0,J16+N16,0)</f>
        <v>0</v>
      </c>
      <c r="P16" s="33">
        <f t="shared" si="26"/>
        <v>0</v>
      </c>
      <c r="Q16" s="32">
        <f t="shared" si="21"/>
        <v>0</v>
      </c>
      <c r="R16" s="27">
        <f t="shared" ref="R16:R29" si="27">IF(Q16&lt;0,D16,0)</f>
        <v>0</v>
      </c>
      <c r="S16" s="27">
        <f t="shared" si="1"/>
        <v>0</v>
      </c>
      <c r="T16" s="27">
        <f t="shared" ref="T16:T29" si="28">IF(Q16&lt;0,J16+S16,0)</f>
        <v>0</v>
      </c>
      <c r="U16" s="33">
        <f t="shared" si="3"/>
        <v>0</v>
      </c>
      <c r="V16" s="32">
        <f t="shared" si="22"/>
        <v>0</v>
      </c>
      <c r="W16" s="27">
        <f t="shared" si="9"/>
        <v>0</v>
      </c>
      <c r="X16" s="37">
        <f t="shared" si="10"/>
        <v>0</v>
      </c>
      <c r="Y16" s="27">
        <f t="shared" si="11"/>
        <v>0</v>
      </c>
      <c r="Z16" s="38">
        <f t="shared" si="12"/>
        <v>0</v>
      </c>
      <c r="AA16" s="32">
        <f t="shared" si="23"/>
        <v>0</v>
      </c>
      <c r="AB16" s="27">
        <f t="shared" si="13"/>
        <v>0</v>
      </c>
      <c r="AC16" s="37">
        <f t="shared" si="14"/>
        <v>0</v>
      </c>
      <c r="AD16" s="27">
        <f t="shared" si="15"/>
        <v>0</v>
      </c>
      <c r="AE16" s="38">
        <f t="shared" si="24"/>
        <v>0</v>
      </c>
      <c r="AF16" s="44">
        <v>12</v>
      </c>
    </row>
    <row r="17" spans="1:32" x14ac:dyDescent="0.25">
      <c r="A17" s="41">
        <v>13</v>
      </c>
      <c r="B17" s="56">
        <f>PPMT('Loan Costs'!B3,'Repayment Details'!A17,'Loan Costs'!B5,'Loan Costs'!B2)</f>
        <v>-8074.8647368696902</v>
      </c>
      <c r="C17" s="4">
        <f>IPMT('Loan Costs'!B3,'Repayment Details'!A17,'Loan Costs'!B5,'Loan Costs'!B2)</f>
        <v>-27159.751919987779</v>
      </c>
      <c r="D17" s="50">
        <f t="shared" si="16"/>
        <v>-35234.61665685747</v>
      </c>
      <c r="E17" s="2">
        <f>'Lease Revenue'!B24</f>
        <v>51358.695652173912</v>
      </c>
      <c r="F17" s="50">
        <f t="shared" si="25"/>
        <v>225020.63563476593</v>
      </c>
      <c r="G17" s="27"/>
      <c r="H17" s="32">
        <f t="shared" si="17"/>
        <v>-67453.443360550387</v>
      </c>
      <c r="I17" s="27">
        <f t="shared" si="4"/>
        <v>-35234.61665685747</v>
      </c>
      <c r="J17" s="27">
        <f t="shared" si="5"/>
        <v>51358.695652173912</v>
      </c>
      <c r="K17" s="33">
        <f t="shared" si="6"/>
        <v>-51329.364365233945</v>
      </c>
      <c r="L17" s="32">
        <f t="shared" si="18"/>
        <v>0</v>
      </c>
      <c r="M17" s="27">
        <f t="shared" ref="M17:M29" si="29">IF(L17&lt;0,D17,0)</f>
        <v>0</v>
      </c>
      <c r="N17" s="27">
        <f>IF(L17&lt;0,IF(F17&gt;0,0.25*F17,"N/A"),0)</f>
        <v>0</v>
      </c>
      <c r="O17" s="27">
        <f>IF(L17&lt;0,J17+N17,0)</f>
        <v>0</v>
      </c>
      <c r="P17" s="33">
        <f t="shared" si="26"/>
        <v>0</v>
      </c>
      <c r="Q17" s="32">
        <f t="shared" si="21"/>
        <v>0</v>
      </c>
      <c r="R17" s="27">
        <f t="shared" si="27"/>
        <v>0</v>
      </c>
      <c r="S17" s="27">
        <f t="shared" si="1"/>
        <v>0</v>
      </c>
      <c r="T17" s="27">
        <f t="shared" si="28"/>
        <v>0</v>
      </c>
      <c r="U17" s="33">
        <f t="shared" si="3"/>
        <v>0</v>
      </c>
      <c r="V17" s="32">
        <f t="shared" si="22"/>
        <v>0</v>
      </c>
      <c r="W17" s="27">
        <f t="shared" si="9"/>
        <v>0</v>
      </c>
      <c r="X17" s="37">
        <f t="shared" si="10"/>
        <v>0</v>
      </c>
      <c r="Y17" s="27">
        <f t="shared" si="11"/>
        <v>0</v>
      </c>
      <c r="Z17" s="38">
        <f t="shared" si="12"/>
        <v>0</v>
      </c>
      <c r="AA17" s="32">
        <f t="shared" si="23"/>
        <v>0</v>
      </c>
      <c r="AB17" s="27">
        <f t="shared" si="13"/>
        <v>0</v>
      </c>
      <c r="AC17" s="37">
        <f t="shared" si="14"/>
        <v>0</v>
      </c>
      <c r="AD17" s="27">
        <f t="shared" si="15"/>
        <v>0</v>
      </c>
      <c r="AE17" s="38">
        <f t="shared" si="24"/>
        <v>0</v>
      </c>
      <c r="AF17" s="44">
        <v>13</v>
      </c>
    </row>
    <row r="18" spans="1:32" x14ac:dyDescent="0.25">
      <c r="A18" s="41">
        <v>14</v>
      </c>
      <c r="B18" s="55">
        <f>PPMT('Loan Costs'!B3,'Repayment Details'!A18,'Loan Costs'!B5,'Loan Costs'!B2)</f>
        <v>-9043.8485052940505</v>
      </c>
      <c r="C18" s="4">
        <f>IPMT('Loan Costs'!B3,'Repayment Details'!A18,'Loan Costs'!B5,'Loan Costs'!B2)</f>
        <v>-26190.768151563421</v>
      </c>
      <c r="D18" s="50">
        <f t="shared" si="16"/>
        <v>-35234.61665685747</v>
      </c>
      <c r="E18" s="2">
        <f>'Lease Revenue'!B24</f>
        <v>51358.695652173912</v>
      </c>
      <c r="F18" s="50">
        <f t="shared" si="25"/>
        <v>241144.7146300824</v>
      </c>
      <c r="G18" s="27"/>
      <c r="H18" s="32">
        <f t="shared" si="17"/>
        <v>-51329.364365233945</v>
      </c>
      <c r="I18" s="27">
        <f t="shared" si="4"/>
        <v>-35234.61665685747</v>
      </c>
      <c r="J18" s="27">
        <f t="shared" si="5"/>
        <v>51358.695652173912</v>
      </c>
      <c r="K18" s="33">
        <f t="shared" si="6"/>
        <v>-35205.285369917496</v>
      </c>
      <c r="L18" s="32">
        <f t="shared" si="18"/>
        <v>0</v>
      </c>
      <c r="M18" s="27">
        <f t="shared" si="29"/>
        <v>0</v>
      </c>
      <c r="N18" s="27">
        <f t="shared" si="7"/>
        <v>0</v>
      </c>
      <c r="O18" s="27">
        <f t="shared" ref="O18:O29" si="30">IF(L18&lt;0,J18+N18,0)</f>
        <v>0</v>
      </c>
      <c r="P18" s="33">
        <f t="shared" si="26"/>
        <v>0</v>
      </c>
      <c r="Q18" s="32">
        <f t="shared" si="21"/>
        <v>0</v>
      </c>
      <c r="R18" s="27">
        <f t="shared" si="27"/>
        <v>0</v>
      </c>
      <c r="S18" s="27">
        <f t="shared" si="1"/>
        <v>0</v>
      </c>
      <c r="T18" s="27">
        <f t="shared" si="28"/>
        <v>0</v>
      </c>
      <c r="U18" s="33">
        <f t="shared" si="3"/>
        <v>0</v>
      </c>
      <c r="V18" s="32">
        <f t="shared" si="22"/>
        <v>0</v>
      </c>
      <c r="W18" s="27">
        <f t="shared" si="9"/>
        <v>0</v>
      </c>
      <c r="X18" s="37">
        <f t="shared" si="10"/>
        <v>0</v>
      </c>
      <c r="Y18" s="27">
        <f t="shared" si="11"/>
        <v>0</v>
      </c>
      <c r="Z18" s="38">
        <f t="shared" si="12"/>
        <v>0</v>
      </c>
      <c r="AA18" s="32">
        <f t="shared" si="23"/>
        <v>0</v>
      </c>
      <c r="AB18" s="27">
        <f t="shared" si="13"/>
        <v>0</v>
      </c>
      <c r="AC18" s="37">
        <f t="shared" si="14"/>
        <v>0</v>
      </c>
      <c r="AD18" s="27">
        <f t="shared" si="15"/>
        <v>0</v>
      </c>
      <c r="AE18" s="38">
        <f t="shared" si="24"/>
        <v>0</v>
      </c>
      <c r="AF18" s="44">
        <v>14</v>
      </c>
    </row>
    <row r="19" spans="1:32" x14ac:dyDescent="0.25">
      <c r="A19" s="41">
        <v>15</v>
      </c>
      <c r="B19" s="56">
        <f>PPMT('Loan Costs'!B3,'Repayment Details'!A19,'Loan Costs'!B5,'Loan Costs'!B2)</f>
        <v>-10129.110325929338</v>
      </c>
      <c r="C19" s="4">
        <f>IPMT('Loan Costs'!B3,'Repayment Details'!A19,'Loan Costs'!B5,'Loan Costs'!B2)</f>
        <v>-25105.506330928136</v>
      </c>
      <c r="D19" s="50">
        <f t="shared" si="16"/>
        <v>-35234.61665685747</v>
      </c>
      <c r="E19" s="2">
        <f>'Lease Revenue'!B24</f>
        <v>51358.695652173912</v>
      </c>
      <c r="F19" s="50">
        <f t="shared" si="25"/>
        <v>257268.79362539886</v>
      </c>
      <c r="G19" s="27"/>
      <c r="H19" s="32">
        <f t="shared" si="17"/>
        <v>-35205.285369917496</v>
      </c>
      <c r="I19" s="27">
        <f t="shared" si="4"/>
        <v>-35234.61665685747</v>
      </c>
      <c r="J19" s="27">
        <f t="shared" si="5"/>
        <v>51358.695652173912</v>
      </c>
      <c r="K19" s="33">
        <f t="shared" si="6"/>
        <v>-19081.206374601061</v>
      </c>
      <c r="L19" s="32">
        <f>IF(P18&lt;0,P18,0)</f>
        <v>0</v>
      </c>
      <c r="M19" s="27">
        <f t="shared" si="29"/>
        <v>0</v>
      </c>
      <c r="N19" s="27">
        <f t="shared" si="7"/>
        <v>0</v>
      </c>
      <c r="O19" s="27">
        <f t="shared" si="30"/>
        <v>0</v>
      </c>
      <c r="P19" s="33">
        <f t="shared" si="26"/>
        <v>0</v>
      </c>
      <c r="Q19" s="32">
        <f t="shared" si="21"/>
        <v>0</v>
      </c>
      <c r="R19" s="27">
        <f t="shared" si="27"/>
        <v>0</v>
      </c>
      <c r="S19" s="27">
        <f t="shared" si="1"/>
        <v>0</v>
      </c>
      <c r="T19" s="27">
        <f t="shared" si="28"/>
        <v>0</v>
      </c>
      <c r="U19" s="33">
        <f t="shared" si="3"/>
        <v>0</v>
      </c>
      <c r="V19" s="32">
        <f t="shared" si="22"/>
        <v>0</v>
      </c>
      <c r="W19" s="27">
        <f t="shared" si="9"/>
        <v>0</v>
      </c>
      <c r="X19" s="37">
        <f t="shared" si="10"/>
        <v>0</v>
      </c>
      <c r="Y19" s="27">
        <f t="shared" si="11"/>
        <v>0</v>
      </c>
      <c r="Z19" s="38">
        <f t="shared" si="12"/>
        <v>0</v>
      </c>
      <c r="AA19" s="32">
        <f t="shared" si="23"/>
        <v>0</v>
      </c>
      <c r="AB19" s="27">
        <f t="shared" si="13"/>
        <v>0</v>
      </c>
      <c r="AC19" s="37">
        <f t="shared" si="14"/>
        <v>0</v>
      </c>
      <c r="AD19" s="27">
        <f t="shared" si="15"/>
        <v>0</v>
      </c>
      <c r="AE19" s="38">
        <f t="shared" si="24"/>
        <v>0</v>
      </c>
      <c r="AF19" s="44">
        <v>15</v>
      </c>
    </row>
    <row r="20" spans="1:32" x14ac:dyDescent="0.25">
      <c r="A20" s="41">
        <v>16</v>
      </c>
      <c r="B20" s="56">
        <f>PPMT('Loan Costs'!B3,'Repayment Details'!A20,'Loan Costs'!B5,'Loan Costs'!B2)</f>
        <v>-11344.603565040858</v>
      </c>
      <c r="C20" s="4">
        <f>IPMT('Loan Costs'!B3,'Repayment Details'!A20,'Loan Costs'!B5,'Loan Costs'!B2)</f>
        <v>-23890.013091816614</v>
      </c>
      <c r="D20" s="50">
        <f t="shared" si="16"/>
        <v>-35234.61665685747</v>
      </c>
      <c r="E20" s="2">
        <f>'Lease Revenue'!B24</f>
        <v>51358.695652173912</v>
      </c>
      <c r="F20" s="50">
        <f t="shared" si="25"/>
        <v>273392.87262071529</v>
      </c>
      <c r="G20" s="27"/>
      <c r="H20" s="32">
        <f t="shared" si="17"/>
        <v>-19081.206374601061</v>
      </c>
      <c r="I20" s="27">
        <f t="shared" si="4"/>
        <v>-35234.61665685747</v>
      </c>
      <c r="J20" s="27">
        <f t="shared" si="5"/>
        <v>51358.695652173912</v>
      </c>
      <c r="K20" s="33">
        <f t="shared" si="6"/>
        <v>-2957.1273792846187</v>
      </c>
      <c r="L20" s="32">
        <f>IF(P19&lt;0,P19,0)</f>
        <v>0</v>
      </c>
      <c r="M20" s="27">
        <f t="shared" si="29"/>
        <v>0</v>
      </c>
      <c r="N20" s="27">
        <f t="shared" si="7"/>
        <v>0</v>
      </c>
      <c r="O20" s="27">
        <f t="shared" si="30"/>
        <v>0</v>
      </c>
      <c r="P20" s="33">
        <f t="shared" si="26"/>
        <v>0</v>
      </c>
      <c r="Q20" s="32">
        <f t="shared" si="21"/>
        <v>0</v>
      </c>
      <c r="R20" s="27">
        <f t="shared" si="27"/>
        <v>0</v>
      </c>
      <c r="S20" s="27">
        <f t="shared" si="1"/>
        <v>0</v>
      </c>
      <c r="T20" s="27">
        <f t="shared" si="28"/>
        <v>0</v>
      </c>
      <c r="U20" s="33">
        <f t="shared" si="3"/>
        <v>0</v>
      </c>
      <c r="V20" s="32">
        <f t="shared" si="22"/>
        <v>0</v>
      </c>
      <c r="W20" s="27">
        <f t="shared" si="9"/>
        <v>0</v>
      </c>
      <c r="X20" s="37">
        <f t="shared" si="10"/>
        <v>0</v>
      </c>
      <c r="Y20" s="27">
        <f t="shared" si="11"/>
        <v>0</v>
      </c>
      <c r="Z20" s="38">
        <f t="shared" si="12"/>
        <v>0</v>
      </c>
      <c r="AA20" s="32">
        <f t="shared" si="23"/>
        <v>0</v>
      </c>
      <c r="AB20" s="27">
        <f t="shared" si="13"/>
        <v>0</v>
      </c>
      <c r="AC20" s="37">
        <f t="shared" si="14"/>
        <v>0</v>
      </c>
      <c r="AD20" s="27">
        <f t="shared" si="15"/>
        <v>0</v>
      </c>
      <c r="AE20" s="38">
        <f t="shared" si="24"/>
        <v>0</v>
      </c>
      <c r="AF20" s="44">
        <v>16</v>
      </c>
    </row>
    <row r="21" spans="1:32" x14ac:dyDescent="0.25">
      <c r="A21" s="41">
        <v>17</v>
      </c>
      <c r="B21" s="56">
        <f>PPMT('Loan Costs'!B3,'Repayment Details'!A21,'Loan Costs'!B5,'Loan Costs'!B2)</f>
        <v>-12705.95599284576</v>
      </c>
      <c r="C21" s="4">
        <f>IPMT('Loan Costs'!B3,'Repayment Details'!A21,'Loan Costs'!B5,'Loan Costs'!B2)</f>
        <v>-22528.660664011713</v>
      </c>
      <c r="D21" s="50">
        <f t="shared" si="16"/>
        <v>-35234.61665685747</v>
      </c>
      <c r="E21" s="2">
        <f>'Lease Revenue'!B24</f>
        <v>51358.695652173912</v>
      </c>
      <c r="F21" s="50">
        <f t="shared" si="25"/>
        <v>289516.9516160317</v>
      </c>
      <c r="G21" s="27"/>
      <c r="H21" s="32">
        <f t="shared" si="17"/>
        <v>-2957.1273792846187</v>
      </c>
      <c r="I21" s="27">
        <f t="shared" si="4"/>
        <v>-35234.61665685747</v>
      </c>
      <c r="J21" s="27">
        <f t="shared" si="5"/>
        <v>51358.695652173912</v>
      </c>
      <c r="K21" s="33">
        <f t="shared" si="6"/>
        <v>0</v>
      </c>
      <c r="L21" s="32">
        <f t="shared" ref="L21:L29" si="31">IF(P20&lt;0,P20,0)</f>
        <v>0</v>
      </c>
      <c r="M21" s="27">
        <f t="shared" si="29"/>
        <v>0</v>
      </c>
      <c r="N21" s="27">
        <f t="shared" si="7"/>
        <v>0</v>
      </c>
      <c r="O21" s="27">
        <f t="shared" si="30"/>
        <v>0</v>
      </c>
      <c r="P21" s="33">
        <f t="shared" si="26"/>
        <v>0</v>
      </c>
      <c r="Q21" s="32">
        <f t="shared" si="21"/>
        <v>0</v>
      </c>
      <c r="R21" s="27">
        <f t="shared" si="27"/>
        <v>0</v>
      </c>
      <c r="S21" s="27">
        <f t="shared" si="1"/>
        <v>0</v>
      </c>
      <c r="T21" s="27">
        <f t="shared" si="28"/>
        <v>0</v>
      </c>
      <c r="U21" s="33">
        <f t="shared" si="3"/>
        <v>0</v>
      </c>
      <c r="V21" s="32">
        <f t="shared" si="22"/>
        <v>0</v>
      </c>
      <c r="W21" s="27">
        <f t="shared" si="9"/>
        <v>0</v>
      </c>
      <c r="X21" s="37">
        <f t="shared" si="10"/>
        <v>0</v>
      </c>
      <c r="Y21" s="27">
        <f t="shared" si="11"/>
        <v>0</v>
      </c>
      <c r="Z21" s="38">
        <f t="shared" si="12"/>
        <v>0</v>
      </c>
      <c r="AA21" s="32">
        <f t="shared" si="23"/>
        <v>0</v>
      </c>
      <c r="AB21" s="27">
        <f t="shared" si="13"/>
        <v>0</v>
      </c>
      <c r="AC21" s="37">
        <f t="shared" si="14"/>
        <v>0</v>
      </c>
      <c r="AD21" s="27">
        <f t="shared" si="15"/>
        <v>0</v>
      </c>
      <c r="AE21" s="38">
        <f t="shared" si="24"/>
        <v>0</v>
      </c>
      <c r="AF21" s="44">
        <v>17</v>
      </c>
    </row>
    <row r="22" spans="1:32" x14ac:dyDescent="0.25">
      <c r="A22" s="41">
        <v>18</v>
      </c>
      <c r="B22" s="56">
        <f>PPMT('Loan Costs'!B3,'Repayment Details'!A22,'Loan Costs'!B5,'Loan Costs'!B2)</f>
        <v>-14230.670711987254</v>
      </c>
      <c r="C22" s="4">
        <f>IPMT('Loan Costs'!B3,'Repayment Details'!A22,'Loan Costs'!B5,'Loan Costs'!B2)</f>
        <v>-21003.945944870222</v>
      </c>
      <c r="D22" s="50">
        <f t="shared" si="16"/>
        <v>-35234.616656857477</v>
      </c>
      <c r="E22" s="2">
        <f>'Lease Revenue'!B24</f>
        <v>51358.695652173912</v>
      </c>
      <c r="F22" s="50">
        <f t="shared" si="25"/>
        <v>305641.03061134811</v>
      </c>
      <c r="G22" s="27"/>
      <c r="H22" s="32">
        <f t="shared" si="17"/>
        <v>0</v>
      </c>
      <c r="I22" s="27">
        <f t="shared" si="4"/>
        <v>0</v>
      </c>
      <c r="J22" s="27">
        <f t="shared" si="5"/>
        <v>0</v>
      </c>
      <c r="K22" s="33">
        <f t="shared" si="6"/>
        <v>0</v>
      </c>
      <c r="L22" s="32">
        <f t="shared" si="31"/>
        <v>0</v>
      </c>
      <c r="M22" s="27">
        <f t="shared" si="29"/>
        <v>0</v>
      </c>
      <c r="N22" s="27">
        <f t="shared" si="7"/>
        <v>0</v>
      </c>
      <c r="O22" s="27">
        <f t="shared" si="30"/>
        <v>0</v>
      </c>
      <c r="P22" s="33">
        <f t="shared" si="26"/>
        <v>0</v>
      </c>
      <c r="Q22" s="32">
        <f t="shared" si="21"/>
        <v>0</v>
      </c>
      <c r="R22" s="27">
        <f t="shared" si="27"/>
        <v>0</v>
      </c>
      <c r="S22" s="27">
        <f t="shared" si="1"/>
        <v>0</v>
      </c>
      <c r="T22" s="27">
        <f t="shared" si="28"/>
        <v>0</v>
      </c>
      <c r="U22" s="33">
        <f t="shared" si="3"/>
        <v>0</v>
      </c>
      <c r="V22" s="32">
        <f t="shared" si="22"/>
        <v>0</v>
      </c>
      <c r="W22" s="27">
        <f t="shared" si="9"/>
        <v>0</v>
      </c>
      <c r="X22" s="37">
        <f t="shared" si="10"/>
        <v>0</v>
      </c>
      <c r="Y22" s="27">
        <f t="shared" si="11"/>
        <v>0</v>
      </c>
      <c r="Z22" s="38">
        <f t="shared" si="12"/>
        <v>0</v>
      </c>
      <c r="AA22" s="32">
        <f t="shared" si="23"/>
        <v>0</v>
      </c>
      <c r="AB22" s="27">
        <f t="shared" si="13"/>
        <v>0</v>
      </c>
      <c r="AC22" s="37">
        <f t="shared" si="14"/>
        <v>0</v>
      </c>
      <c r="AD22" s="27">
        <f t="shared" si="15"/>
        <v>0</v>
      </c>
      <c r="AE22" s="38">
        <f t="shared" si="24"/>
        <v>0</v>
      </c>
      <c r="AF22" s="44">
        <v>18</v>
      </c>
    </row>
    <row r="23" spans="1:32" x14ac:dyDescent="0.25">
      <c r="A23" s="41">
        <v>19</v>
      </c>
      <c r="B23" s="56">
        <f>PPMT('Loan Costs'!B3,'Repayment Details'!A23,'Loan Costs'!B5,'Loan Costs'!B2)</f>
        <v>-15938.351197425724</v>
      </c>
      <c r="C23" s="4">
        <f>IPMT('Loan Costs'!B3,'Repayment Details'!A23,'Loan Costs'!B5,'Loan Costs'!B2)</f>
        <v>-19296.265459431746</v>
      </c>
      <c r="D23" s="50">
        <f t="shared" si="16"/>
        <v>-35234.61665685747</v>
      </c>
      <c r="E23" s="2">
        <f>'Lease Revenue'!B24</f>
        <v>51358.695652173912</v>
      </c>
      <c r="F23" s="50">
        <f t="shared" si="25"/>
        <v>321765.10960666451</v>
      </c>
      <c r="G23" s="27"/>
      <c r="H23" s="32">
        <f t="shared" si="17"/>
        <v>0</v>
      </c>
      <c r="I23" s="27">
        <f t="shared" si="4"/>
        <v>0</v>
      </c>
      <c r="J23" s="27">
        <f t="shared" si="5"/>
        <v>0</v>
      </c>
      <c r="K23" s="33">
        <f t="shared" si="6"/>
        <v>0</v>
      </c>
      <c r="L23" s="32">
        <f t="shared" si="31"/>
        <v>0</v>
      </c>
      <c r="M23" s="27">
        <f t="shared" si="29"/>
        <v>0</v>
      </c>
      <c r="N23" s="27">
        <f t="shared" si="7"/>
        <v>0</v>
      </c>
      <c r="O23" s="27">
        <f t="shared" si="30"/>
        <v>0</v>
      </c>
      <c r="P23" s="33">
        <f t="shared" si="26"/>
        <v>0</v>
      </c>
      <c r="Q23" s="32">
        <f t="shared" si="21"/>
        <v>0</v>
      </c>
      <c r="R23" s="27">
        <f t="shared" si="27"/>
        <v>0</v>
      </c>
      <c r="S23" s="27">
        <f t="shared" si="1"/>
        <v>0</v>
      </c>
      <c r="T23" s="27">
        <f t="shared" si="28"/>
        <v>0</v>
      </c>
      <c r="U23" s="33">
        <f t="shared" si="3"/>
        <v>0</v>
      </c>
      <c r="V23" s="32">
        <f t="shared" si="22"/>
        <v>0</v>
      </c>
      <c r="W23" s="27">
        <f t="shared" si="9"/>
        <v>0</v>
      </c>
      <c r="X23" s="37">
        <f t="shared" si="10"/>
        <v>0</v>
      </c>
      <c r="Y23" s="27">
        <f t="shared" si="11"/>
        <v>0</v>
      </c>
      <c r="Z23" s="38">
        <f t="shared" si="12"/>
        <v>0</v>
      </c>
      <c r="AA23" s="32">
        <f t="shared" si="23"/>
        <v>0</v>
      </c>
      <c r="AB23" s="27">
        <f t="shared" si="13"/>
        <v>0</v>
      </c>
      <c r="AC23" s="37">
        <f t="shared" si="14"/>
        <v>0</v>
      </c>
      <c r="AD23" s="27">
        <f t="shared" si="15"/>
        <v>0</v>
      </c>
      <c r="AE23" s="38">
        <f t="shared" si="24"/>
        <v>0</v>
      </c>
      <c r="AF23" s="44">
        <v>19</v>
      </c>
    </row>
    <row r="24" spans="1:32" x14ac:dyDescent="0.25">
      <c r="A24" s="41">
        <v>20</v>
      </c>
      <c r="B24" s="56">
        <f>PPMT('Loan Costs'!B3,'Repayment Details'!A24,'Loan Costs'!B5,'Loan Costs'!B2)</f>
        <v>-17850.953341116805</v>
      </c>
      <c r="C24" s="4">
        <f>IPMT('Loan Costs'!B3,'Repayment Details'!A24,'Loan Costs'!B5,'Loan Costs'!B2)</f>
        <v>-17383.663315740665</v>
      </c>
      <c r="D24" s="50">
        <f t="shared" si="16"/>
        <v>-35234.61665685747</v>
      </c>
      <c r="E24" s="2">
        <f>'Lease Revenue'!B24</f>
        <v>51358.695652173912</v>
      </c>
      <c r="F24" s="50">
        <f t="shared" si="25"/>
        <v>337889.18860198092</v>
      </c>
      <c r="G24" s="27"/>
      <c r="H24" s="32">
        <f t="shared" si="17"/>
        <v>0</v>
      </c>
      <c r="I24" s="27">
        <f t="shared" si="4"/>
        <v>0</v>
      </c>
      <c r="J24" s="27">
        <f t="shared" si="5"/>
        <v>0</v>
      </c>
      <c r="K24" s="33">
        <f t="shared" si="6"/>
        <v>0</v>
      </c>
      <c r="L24" s="32">
        <f t="shared" si="31"/>
        <v>0</v>
      </c>
      <c r="M24" s="27">
        <f t="shared" si="29"/>
        <v>0</v>
      </c>
      <c r="N24" s="27">
        <f t="shared" si="7"/>
        <v>0</v>
      </c>
      <c r="O24" s="27">
        <f t="shared" si="30"/>
        <v>0</v>
      </c>
      <c r="P24" s="33">
        <f t="shared" si="26"/>
        <v>0</v>
      </c>
      <c r="Q24" s="32">
        <f t="shared" si="21"/>
        <v>0</v>
      </c>
      <c r="R24" s="27">
        <f t="shared" si="27"/>
        <v>0</v>
      </c>
      <c r="S24" s="27">
        <f t="shared" si="1"/>
        <v>0</v>
      </c>
      <c r="T24" s="27">
        <f t="shared" si="28"/>
        <v>0</v>
      </c>
      <c r="U24" s="33">
        <f t="shared" si="3"/>
        <v>0</v>
      </c>
      <c r="V24" s="32">
        <f t="shared" si="22"/>
        <v>0</v>
      </c>
      <c r="W24" s="27">
        <f t="shared" si="9"/>
        <v>0</v>
      </c>
      <c r="X24" s="37">
        <f t="shared" si="10"/>
        <v>0</v>
      </c>
      <c r="Y24" s="27">
        <f t="shared" si="11"/>
        <v>0</v>
      </c>
      <c r="Z24" s="38">
        <f t="shared" si="12"/>
        <v>0</v>
      </c>
      <c r="AA24" s="32">
        <f t="shared" si="23"/>
        <v>0</v>
      </c>
      <c r="AB24" s="27">
        <f t="shared" si="13"/>
        <v>0</v>
      </c>
      <c r="AC24" s="37">
        <f t="shared" si="14"/>
        <v>0</v>
      </c>
      <c r="AD24" s="27">
        <f t="shared" si="15"/>
        <v>0</v>
      </c>
      <c r="AE24" s="38">
        <f t="shared" si="24"/>
        <v>0</v>
      </c>
      <c r="AF24" s="44">
        <v>20</v>
      </c>
    </row>
    <row r="25" spans="1:32" x14ac:dyDescent="0.25">
      <c r="A25" s="41">
        <v>21</v>
      </c>
      <c r="B25" s="56">
        <f>PPMT('Loan Costs'!B3,'Repayment Details'!A25,'Loan Costs'!B5,'Loan Costs'!B2)</f>
        <v>-19993.067742050822</v>
      </c>
      <c r="C25" s="4">
        <f>IPMT('Loan Costs'!B3,'Repayment Details'!A25,'Loan Costs'!B5,'Loan Costs'!B2)</f>
        <v>-15241.548914806646</v>
      </c>
      <c r="D25" s="50">
        <f t="shared" si="16"/>
        <v>-35234.61665685747</v>
      </c>
      <c r="E25" s="2">
        <f>'Lease Revenue'!B24</f>
        <v>51358.695652173912</v>
      </c>
      <c r="F25" s="50">
        <f t="shared" si="25"/>
        <v>354013.26759729732</v>
      </c>
      <c r="G25" s="27"/>
      <c r="H25" s="32">
        <f t="shared" si="17"/>
        <v>0</v>
      </c>
      <c r="I25" s="27">
        <f t="shared" si="4"/>
        <v>0</v>
      </c>
      <c r="J25" s="27">
        <f t="shared" si="5"/>
        <v>0</v>
      </c>
      <c r="K25" s="33">
        <f t="shared" si="6"/>
        <v>0</v>
      </c>
      <c r="L25" s="32">
        <f t="shared" si="31"/>
        <v>0</v>
      </c>
      <c r="M25" s="27">
        <f t="shared" si="29"/>
        <v>0</v>
      </c>
      <c r="N25" s="27">
        <f t="shared" si="7"/>
        <v>0</v>
      </c>
      <c r="O25" s="27">
        <f t="shared" si="30"/>
        <v>0</v>
      </c>
      <c r="P25" s="33">
        <f t="shared" si="26"/>
        <v>0</v>
      </c>
      <c r="Q25" s="32">
        <f t="shared" si="21"/>
        <v>0</v>
      </c>
      <c r="R25" s="27">
        <f t="shared" si="27"/>
        <v>0</v>
      </c>
      <c r="S25" s="27">
        <f t="shared" si="1"/>
        <v>0</v>
      </c>
      <c r="T25" s="27">
        <f t="shared" si="28"/>
        <v>0</v>
      </c>
      <c r="U25" s="33">
        <f t="shared" si="3"/>
        <v>0</v>
      </c>
      <c r="V25" s="32">
        <f t="shared" si="22"/>
        <v>0</v>
      </c>
      <c r="W25" s="27">
        <f t="shared" si="9"/>
        <v>0</v>
      </c>
      <c r="X25" s="37">
        <f t="shared" si="10"/>
        <v>0</v>
      </c>
      <c r="Y25" s="27">
        <f t="shared" si="11"/>
        <v>0</v>
      </c>
      <c r="Z25" s="38">
        <f t="shared" si="12"/>
        <v>0</v>
      </c>
      <c r="AA25" s="32">
        <f t="shared" si="23"/>
        <v>0</v>
      </c>
      <c r="AB25" s="27">
        <f t="shared" si="13"/>
        <v>0</v>
      </c>
      <c r="AC25" s="37">
        <f t="shared" si="14"/>
        <v>0</v>
      </c>
      <c r="AD25" s="27">
        <f t="shared" si="15"/>
        <v>0</v>
      </c>
      <c r="AE25" s="38">
        <f t="shared" si="24"/>
        <v>0</v>
      </c>
      <c r="AF25" s="44">
        <v>21</v>
      </c>
    </row>
    <row r="26" spans="1:32" x14ac:dyDescent="0.25">
      <c r="A26" s="41">
        <v>22</v>
      </c>
      <c r="B26" s="56">
        <f>PPMT('Loan Costs'!B3,'Repayment Details'!A26,'Loan Costs'!B5,'Loan Costs'!B2)</f>
        <v>-22392.23587109692</v>
      </c>
      <c r="C26" s="4">
        <f>IPMT('Loan Costs'!B3,'Repayment Details'!A26,'Loan Costs'!B5,'Loan Costs'!B2)</f>
        <v>-12842.380785760548</v>
      </c>
      <c r="D26" s="50">
        <f t="shared" si="16"/>
        <v>-35234.61665685747</v>
      </c>
      <c r="E26" s="2">
        <f>'Lease Revenue'!B24</f>
        <v>51358.695652173912</v>
      </c>
      <c r="F26" s="50">
        <f t="shared" si="25"/>
        <v>370137.34659261373</v>
      </c>
      <c r="G26" s="27"/>
      <c r="H26" s="32">
        <f t="shared" si="17"/>
        <v>0</v>
      </c>
      <c r="I26" s="27">
        <f t="shared" si="4"/>
        <v>0</v>
      </c>
      <c r="J26" s="27">
        <f t="shared" si="5"/>
        <v>0</v>
      </c>
      <c r="K26" s="33">
        <f t="shared" si="6"/>
        <v>0</v>
      </c>
      <c r="L26" s="32">
        <f t="shared" si="31"/>
        <v>0</v>
      </c>
      <c r="M26" s="27">
        <f t="shared" si="29"/>
        <v>0</v>
      </c>
      <c r="N26" s="27">
        <f t="shared" si="7"/>
        <v>0</v>
      </c>
      <c r="O26" s="27">
        <f t="shared" si="30"/>
        <v>0</v>
      </c>
      <c r="P26" s="33">
        <f t="shared" si="26"/>
        <v>0</v>
      </c>
      <c r="Q26" s="32">
        <f t="shared" si="21"/>
        <v>0</v>
      </c>
      <c r="R26" s="27">
        <f t="shared" si="27"/>
        <v>0</v>
      </c>
      <c r="S26" s="27">
        <f t="shared" si="1"/>
        <v>0</v>
      </c>
      <c r="T26" s="27">
        <f t="shared" si="28"/>
        <v>0</v>
      </c>
      <c r="U26" s="33">
        <f t="shared" si="3"/>
        <v>0</v>
      </c>
      <c r="V26" s="32">
        <f t="shared" si="22"/>
        <v>0</v>
      </c>
      <c r="W26" s="27">
        <f t="shared" si="9"/>
        <v>0</v>
      </c>
      <c r="X26" s="37">
        <f t="shared" si="10"/>
        <v>0</v>
      </c>
      <c r="Y26" s="27">
        <f t="shared" si="11"/>
        <v>0</v>
      </c>
      <c r="Z26" s="38">
        <f t="shared" si="12"/>
        <v>0</v>
      </c>
      <c r="AA26" s="32">
        <f t="shared" si="23"/>
        <v>0</v>
      </c>
      <c r="AB26" s="27">
        <f t="shared" si="13"/>
        <v>0</v>
      </c>
      <c r="AC26" s="37">
        <f t="shared" si="14"/>
        <v>0</v>
      </c>
      <c r="AD26" s="27">
        <f t="shared" si="15"/>
        <v>0</v>
      </c>
      <c r="AE26" s="38">
        <f t="shared" si="24"/>
        <v>0</v>
      </c>
      <c r="AF26" s="44">
        <v>22</v>
      </c>
    </row>
    <row r="27" spans="1:32" x14ac:dyDescent="0.25">
      <c r="A27" s="41">
        <v>23</v>
      </c>
      <c r="B27" s="56">
        <f>PPMT('Loan Costs'!B3,'Repayment Details'!A27,'Loan Costs'!B5,'Loan Costs'!B2)</f>
        <v>-25079.304175628553</v>
      </c>
      <c r="C27" s="4">
        <f>IPMT('Loan Costs'!B3,'Repayment Details'!A27,'Loan Costs'!B5,'Loan Costs'!B2)</f>
        <v>-10155.312481228919</v>
      </c>
      <c r="D27" s="50">
        <f t="shared" si="16"/>
        <v>-35234.61665685747</v>
      </c>
      <c r="E27" s="2">
        <f>'Lease Revenue'!B24</f>
        <v>51358.695652173912</v>
      </c>
      <c r="F27" s="50">
        <f t="shared" si="25"/>
        <v>386261.42558793013</v>
      </c>
      <c r="G27" s="27"/>
      <c r="H27" s="32">
        <f t="shared" si="17"/>
        <v>0</v>
      </c>
      <c r="I27" s="27">
        <f t="shared" si="4"/>
        <v>0</v>
      </c>
      <c r="J27" s="27">
        <f t="shared" si="5"/>
        <v>0</v>
      </c>
      <c r="K27" s="33">
        <f t="shared" si="6"/>
        <v>0</v>
      </c>
      <c r="L27" s="32">
        <f t="shared" si="31"/>
        <v>0</v>
      </c>
      <c r="M27" s="27">
        <f t="shared" si="29"/>
        <v>0</v>
      </c>
      <c r="N27" s="27">
        <f t="shared" si="7"/>
        <v>0</v>
      </c>
      <c r="O27" s="27">
        <f t="shared" si="30"/>
        <v>0</v>
      </c>
      <c r="P27" s="33">
        <f t="shared" si="26"/>
        <v>0</v>
      </c>
      <c r="Q27" s="32">
        <f t="shared" si="21"/>
        <v>0</v>
      </c>
      <c r="R27" s="27">
        <f t="shared" si="27"/>
        <v>0</v>
      </c>
      <c r="S27" s="27">
        <f t="shared" si="1"/>
        <v>0</v>
      </c>
      <c r="T27" s="27">
        <f t="shared" si="28"/>
        <v>0</v>
      </c>
      <c r="U27" s="33">
        <f t="shared" si="3"/>
        <v>0</v>
      </c>
      <c r="V27" s="32">
        <f t="shared" si="22"/>
        <v>0</v>
      </c>
      <c r="W27" s="27">
        <f t="shared" si="9"/>
        <v>0</v>
      </c>
      <c r="X27" s="37">
        <f t="shared" si="10"/>
        <v>0</v>
      </c>
      <c r="Y27" s="27">
        <f t="shared" si="11"/>
        <v>0</v>
      </c>
      <c r="Z27" s="38">
        <f t="shared" si="12"/>
        <v>0</v>
      </c>
      <c r="AA27" s="32">
        <f t="shared" si="23"/>
        <v>0</v>
      </c>
      <c r="AB27" s="27">
        <f t="shared" si="13"/>
        <v>0</v>
      </c>
      <c r="AC27" s="37">
        <f t="shared" si="14"/>
        <v>0</v>
      </c>
      <c r="AD27" s="27">
        <f t="shared" si="15"/>
        <v>0</v>
      </c>
      <c r="AE27" s="38">
        <f t="shared" si="24"/>
        <v>0</v>
      </c>
      <c r="AF27" s="44">
        <v>23</v>
      </c>
    </row>
    <row r="28" spans="1:32" x14ac:dyDescent="0.25">
      <c r="A28" s="41">
        <v>24</v>
      </c>
      <c r="B28" s="56">
        <f>PPMT('Loan Costs'!B3,'Repayment Details'!A28,'Loan Costs'!B5,'Loan Costs'!B2)</f>
        <v>-28088.820676703981</v>
      </c>
      <c r="C28" s="4">
        <f>IPMT('Loan Costs'!B3,'Repayment Details'!A28,'Loan Costs'!B5,'Loan Costs'!B2)</f>
        <v>-7145.7959801534917</v>
      </c>
      <c r="D28" s="50">
        <f t="shared" si="16"/>
        <v>-35234.61665685747</v>
      </c>
      <c r="E28" s="2">
        <f>'Lease Revenue'!B24</f>
        <v>51358.695652173912</v>
      </c>
      <c r="F28" s="50">
        <f t="shared" si="25"/>
        <v>402385.50458324654</v>
      </c>
      <c r="G28" s="27"/>
      <c r="H28" s="32">
        <f t="shared" si="17"/>
        <v>0</v>
      </c>
      <c r="I28" s="27">
        <f t="shared" si="4"/>
        <v>0</v>
      </c>
      <c r="J28" s="27">
        <f t="shared" si="5"/>
        <v>0</v>
      </c>
      <c r="K28" s="33">
        <f t="shared" si="6"/>
        <v>0</v>
      </c>
      <c r="L28" s="32">
        <f t="shared" si="31"/>
        <v>0</v>
      </c>
      <c r="M28" s="27">
        <f t="shared" si="29"/>
        <v>0</v>
      </c>
      <c r="N28" s="27">
        <f t="shared" si="7"/>
        <v>0</v>
      </c>
      <c r="O28" s="27">
        <f t="shared" si="30"/>
        <v>0</v>
      </c>
      <c r="P28" s="33">
        <f t="shared" si="26"/>
        <v>0</v>
      </c>
      <c r="Q28" s="32">
        <f t="shared" si="21"/>
        <v>0</v>
      </c>
      <c r="R28" s="27">
        <f t="shared" si="27"/>
        <v>0</v>
      </c>
      <c r="S28" s="27">
        <f t="shared" si="1"/>
        <v>0</v>
      </c>
      <c r="T28" s="27">
        <f t="shared" si="28"/>
        <v>0</v>
      </c>
      <c r="U28" s="33">
        <f t="shared" si="3"/>
        <v>0</v>
      </c>
      <c r="V28" s="32">
        <f t="shared" si="22"/>
        <v>0</v>
      </c>
      <c r="W28" s="27">
        <f t="shared" si="9"/>
        <v>0</v>
      </c>
      <c r="X28" s="37">
        <f t="shared" si="10"/>
        <v>0</v>
      </c>
      <c r="Y28" s="27">
        <f t="shared" si="11"/>
        <v>0</v>
      </c>
      <c r="Z28" s="38">
        <f t="shared" si="12"/>
        <v>0</v>
      </c>
      <c r="AA28" s="32">
        <f t="shared" si="23"/>
        <v>0</v>
      </c>
      <c r="AB28" s="27">
        <f t="shared" si="13"/>
        <v>0</v>
      </c>
      <c r="AC28" s="37">
        <f t="shared" si="14"/>
        <v>0</v>
      </c>
      <c r="AD28" s="27">
        <f t="shared" si="15"/>
        <v>0</v>
      </c>
      <c r="AE28" s="38">
        <f t="shared" si="24"/>
        <v>0</v>
      </c>
      <c r="AF28" s="44">
        <v>24</v>
      </c>
    </row>
    <row r="29" spans="1:32" ht="15.75" thickBot="1" x14ac:dyDescent="0.3">
      <c r="A29" s="12">
        <v>25</v>
      </c>
      <c r="B29" s="57">
        <f>PPMT('Loan Costs'!B3,'Repayment Details'!A29,'Loan Costs'!B5,'Loan Costs'!B2)</f>
        <v>-31459.479157908456</v>
      </c>
      <c r="C29" s="42">
        <f>IPMT('Loan Costs'!B3,'Repayment Details'!A29,'Loan Costs'!B5,'Loan Costs'!B2)</f>
        <v>-3775.1374989490146</v>
      </c>
      <c r="D29" s="51">
        <f t="shared" si="16"/>
        <v>-35234.61665685747</v>
      </c>
      <c r="E29" s="2">
        <f>'Lease Revenue'!B24</f>
        <v>51358.695652173912</v>
      </c>
      <c r="F29" s="51">
        <f t="shared" si="25"/>
        <v>418509.58357856295</v>
      </c>
      <c r="G29" s="27"/>
      <c r="H29" s="34">
        <f t="shared" si="17"/>
        <v>0</v>
      </c>
      <c r="I29" s="35">
        <f t="shared" si="4"/>
        <v>0</v>
      </c>
      <c r="J29" s="35">
        <f t="shared" si="5"/>
        <v>0</v>
      </c>
      <c r="K29" s="36">
        <f t="shared" si="6"/>
        <v>0</v>
      </c>
      <c r="L29" s="34">
        <f t="shared" si="31"/>
        <v>0</v>
      </c>
      <c r="M29" s="35">
        <f t="shared" si="29"/>
        <v>0</v>
      </c>
      <c r="N29" s="35">
        <f t="shared" si="7"/>
        <v>0</v>
      </c>
      <c r="O29" s="35">
        <f t="shared" si="30"/>
        <v>0</v>
      </c>
      <c r="P29" s="36">
        <f t="shared" si="26"/>
        <v>0</v>
      </c>
      <c r="Q29" s="34">
        <f t="shared" si="21"/>
        <v>0</v>
      </c>
      <c r="R29" s="35">
        <f t="shared" si="27"/>
        <v>0</v>
      </c>
      <c r="S29" s="35">
        <f t="shared" si="1"/>
        <v>0</v>
      </c>
      <c r="T29" s="35">
        <f t="shared" si="28"/>
        <v>0</v>
      </c>
      <c r="U29" s="36">
        <f t="shared" si="3"/>
        <v>0</v>
      </c>
      <c r="V29" s="34">
        <f t="shared" si="22"/>
        <v>0</v>
      </c>
      <c r="W29" s="35">
        <f t="shared" si="9"/>
        <v>0</v>
      </c>
      <c r="X29" s="39">
        <f t="shared" si="10"/>
        <v>0</v>
      </c>
      <c r="Y29" s="35">
        <f t="shared" si="11"/>
        <v>0</v>
      </c>
      <c r="Z29" s="40">
        <f t="shared" si="12"/>
        <v>0</v>
      </c>
      <c r="AA29" s="34">
        <f t="shared" si="23"/>
        <v>0</v>
      </c>
      <c r="AB29" s="35">
        <f t="shared" si="13"/>
        <v>0</v>
      </c>
      <c r="AC29" s="37">
        <f t="shared" si="14"/>
        <v>0</v>
      </c>
      <c r="AD29" s="35">
        <f t="shared" si="15"/>
        <v>0</v>
      </c>
      <c r="AE29" s="40">
        <f t="shared" si="24"/>
        <v>0</v>
      </c>
      <c r="AF29" s="45">
        <v>25</v>
      </c>
    </row>
    <row r="30" spans="1:32" ht="15.75" thickBot="1" x14ac:dyDescent="0.3">
      <c r="B30" s="44" t="s">
        <v>54</v>
      </c>
      <c r="C30" t="s">
        <v>40</v>
      </c>
      <c r="D30" s="44" t="s">
        <v>44</v>
      </c>
      <c r="E30" s="48" t="s">
        <v>72</v>
      </c>
      <c r="F30" s="44" t="s">
        <v>51</v>
      </c>
    </row>
    <row r="31" spans="1:32" ht="15.75" thickBot="1" x14ac:dyDescent="0.3">
      <c r="A31" s="11" t="s">
        <v>9</v>
      </c>
      <c r="B31" s="58">
        <f>SUMIF(B5:B29,"&lt;&gt;#NUM!")</f>
        <v>-276350.00000000006</v>
      </c>
      <c r="C31" s="46">
        <f>SUMIF(C5:C29,"&lt;&gt;#NUM!")</f>
        <v>-604515.41642143694</v>
      </c>
      <c r="D31" s="90">
        <f>SUMIF(D5:D29,"&lt;&gt;#NUM!")</f>
        <v>-880865.41642143647</v>
      </c>
      <c r="E31" s="47">
        <f>SUM(E5:E29)</f>
        <v>1299375</v>
      </c>
      <c r="F31" s="52">
        <f>D31+E31</f>
        <v>418509.58357856353</v>
      </c>
      <c r="H31" s="48" t="s">
        <v>67</v>
      </c>
      <c r="I31" s="94" t="str">
        <f>IF(COUNTIF(K5:K29,"&gt;-1")=0,"No","Yes")</f>
        <v>Yes</v>
      </c>
      <c r="J31" s="48" t="s">
        <v>68</v>
      </c>
      <c r="K31" s="91">
        <f>IF(I31="Yes",VLOOKUP(0,K:AF,22,0),"N/A")</f>
        <v>17</v>
      </c>
      <c r="M31" s="48" t="s">
        <v>67</v>
      </c>
      <c r="N31" s="92" t="str">
        <f>IF(COUNTIF(P5:P29,"&gt;-1")=0,"No","Yes")</f>
        <v>Yes</v>
      </c>
      <c r="O31" s="48" t="s">
        <v>68</v>
      </c>
      <c r="P31" s="91">
        <f>IF(N31="Yes",VLOOKUP(0,P:AF,17,0),"N/A")</f>
        <v>8</v>
      </c>
      <c r="R31" s="48" t="s">
        <v>67</v>
      </c>
      <c r="S31" s="92" t="str">
        <f>IF(COUNTIF(U5:U29,"&gt;-1")=0,"No","Yes")</f>
        <v>Yes</v>
      </c>
      <c r="T31" s="48" t="s">
        <v>68</v>
      </c>
      <c r="U31" s="91">
        <f>IF(S31="Yes",VLOOKUP(0,U:AF,12,0),"N/A")</f>
        <v>6</v>
      </c>
      <c r="W31" s="11" t="s">
        <v>67</v>
      </c>
      <c r="X31" s="96" t="str">
        <f>IF(COUNTIF(Z5:Z29,"&gt;-1")=0,"No","Yes")</f>
        <v>Yes</v>
      </c>
      <c r="Y31" s="48" t="s">
        <v>68</v>
      </c>
      <c r="Z31" s="91">
        <f>IF(X31="Yes",VLOOKUP(0,Z:AF,7,0),"N/A")</f>
        <v>5</v>
      </c>
      <c r="AB31" s="48" t="s">
        <v>67</v>
      </c>
      <c r="AC31" s="92" t="str">
        <f>IF(COUNTIF(AE5:AE29,"&gt;-1")=0,"No","Yes")</f>
        <v>Yes</v>
      </c>
      <c r="AD31" s="48" t="s">
        <v>68</v>
      </c>
      <c r="AE31" s="91">
        <f>IF(AC31="Yes",VLOOKUP(0,AE:AF,2,0),"N/A")</f>
        <v>5</v>
      </c>
    </row>
    <row r="32" spans="1:32" ht="15.75" thickBot="1" x14ac:dyDescent="0.3">
      <c r="B32" s="4"/>
      <c r="C32" s="86"/>
      <c r="D32" s="27"/>
      <c r="E32" s="2" t="s">
        <v>79</v>
      </c>
      <c r="F32" s="27"/>
      <c r="I32" s="27"/>
      <c r="J32" s="48" t="s">
        <v>36</v>
      </c>
      <c r="K32" s="93">
        <f>IF(I31="Yes",F31, "N/A")</f>
        <v>418509.58357856353</v>
      </c>
      <c r="O32" s="48" t="s">
        <v>36</v>
      </c>
      <c r="P32" s="93" cm="1">
        <f t="array" ref="P32">IF(N31="Yes", F31-LOOKUP(1,0/(0+N5:N29&gt;0),N5:N29), "N/A")</f>
        <v>382409.52341401763</v>
      </c>
      <c r="T32" s="48" t="s">
        <v>36</v>
      </c>
      <c r="U32" s="95" cm="1">
        <f t="array" ref="U32">IF(S31="Yes",F31-LOOKUP(1,0/(0+S5:S29&gt;0),S5:S29),"N/A")</f>
        <v>362433.54224478814</v>
      </c>
      <c r="Y32" s="48" t="s">
        <v>36</v>
      </c>
      <c r="Z32" s="95" cm="1">
        <f t="array" ref="Z32">IF(X31="Yes", F31-LOOKUP(1,0/(0+X5:X29&gt;0),X5:X29),"N/A")</f>
        <v>346488.58082438773</v>
      </c>
      <c r="AD32" s="48" t="s">
        <v>36</v>
      </c>
      <c r="AE32" s="95" cm="1">
        <f t="array" ref="AE32">IF(AC31="Yes", F31-LOOKUP(1,0/(0+AC5:AC29&gt;0),AC5:AC29),"N/A")</f>
        <v>332084.38027355261</v>
      </c>
    </row>
    <row r="33" spans="5:5" ht="15.75" thickBot="1" x14ac:dyDescent="0.3">
      <c r="E33" s="89">
        <f>E31+'Lease Revenue'!B11</f>
        <v>1312500</v>
      </c>
    </row>
  </sheetData>
  <mergeCells count="9">
    <mergeCell ref="AA3:AE3"/>
    <mergeCell ref="AA2:AE2"/>
    <mergeCell ref="A1:B1"/>
    <mergeCell ref="C1:D1"/>
    <mergeCell ref="H3:K3"/>
    <mergeCell ref="L3:P3"/>
    <mergeCell ref="Q3:U3"/>
    <mergeCell ref="V3:Z3"/>
    <mergeCell ref="A3:F3"/>
  </mergeCells>
  <pageMargins left="0.7" right="0.7" top="0.75" bottom="0.75" header="0.3" footer="0.3"/>
  <pageSetup orientation="portrait" horizontalDpi="200" verticalDpi="200" copies="0" r:id="rId1"/>
  <ignoredErrors>
    <ignoredError sqref="E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Land Acquisition</vt:lpstr>
      <vt:lpstr>Loan Costs</vt:lpstr>
      <vt:lpstr>Operational Costs</vt:lpstr>
      <vt:lpstr>Lease Revenue</vt:lpstr>
      <vt:lpstr>Repayment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DannSan</dc:creator>
  <cp:lastModifiedBy>DannSan</cp:lastModifiedBy>
  <dcterms:created xsi:type="dcterms:W3CDTF">2022-10-25T15:23:42Z</dcterms:created>
  <dcterms:modified xsi:type="dcterms:W3CDTF">2023-04-12T23:07:02Z</dcterms:modified>
</cp:coreProperties>
</file>