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filterPrivacy="1" defaultThemeVersion="124226"/>
  <xr:revisionPtr revIDLastSave="0" documentId="13_ncr:1_{1E49E4C1-F081-4E61-B1FB-FE8BAF9DCBAC}" xr6:coauthVersionLast="47" xr6:coauthVersionMax="47" xr10:uidLastSave="{00000000-0000-0000-0000-000000000000}"/>
  <bookViews>
    <workbookView xWindow="-120" yWindow="-120" windowWidth="20730" windowHeight="11160" xr2:uid="{00000000-000D-0000-FFFF-FFFF00000000}"/>
  </bookViews>
  <sheets>
    <sheet name="Sheet1" sheetId="4" r:id="rId1"/>
    <sheet name="Projection Cage Free" sheetId="2" r:id="rId2"/>
    <sheet name="Basic details for egg calc." sheetId="3" r:id="rId3"/>
    <sheet name="Sheet3" sheetId="6"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0" i="4" l="1"/>
  <c r="I20" i="4"/>
  <c r="J20" i="4"/>
  <c r="K20" i="4"/>
  <c r="G20" i="4"/>
  <c r="K18" i="4"/>
  <c r="J18" i="4"/>
  <c r="I18" i="4"/>
  <c r="H18" i="4"/>
  <c r="G18" i="4"/>
  <c r="H17" i="4"/>
  <c r="I17" i="4"/>
  <c r="J17" i="4"/>
  <c r="K17" i="4"/>
  <c r="G17" i="4"/>
  <c r="H15" i="4"/>
  <c r="H16" i="4" s="1"/>
  <c r="I15" i="4"/>
  <c r="I16" i="4" s="1"/>
  <c r="J15" i="4"/>
  <c r="J16" i="4" s="1"/>
  <c r="K15" i="4"/>
  <c r="K16" i="4" s="1"/>
  <c r="G15" i="4"/>
  <c r="G16" i="4" s="1"/>
  <c r="H13" i="4"/>
  <c r="I13" i="4"/>
  <c r="J13" i="4"/>
  <c r="K13" i="4"/>
  <c r="G13" i="4"/>
  <c r="H12" i="4"/>
  <c r="I12" i="4"/>
  <c r="J12" i="4"/>
  <c r="K12" i="4"/>
  <c r="G12" i="4"/>
  <c r="K11" i="4"/>
  <c r="J11" i="4"/>
  <c r="I11" i="4"/>
  <c r="H11" i="4"/>
  <c r="G11" i="4"/>
  <c r="H4" i="4"/>
  <c r="I4" i="4"/>
  <c r="J4" i="4"/>
  <c r="K4" i="4"/>
  <c r="G4" i="4"/>
  <c r="E37" i="2"/>
  <c r="E38" i="2"/>
  <c r="E39" i="2"/>
  <c r="E40" i="2"/>
  <c r="E41" i="2"/>
  <c r="E42" i="2"/>
  <c r="E43" i="2"/>
  <c r="E44" i="2"/>
  <c r="E36" i="2"/>
  <c r="C34" i="4"/>
  <c r="G2" i="4"/>
  <c r="H2" i="4" s="1"/>
  <c r="I2" i="4" s="1"/>
  <c r="J2" i="4" s="1"/>
  <c r="K2" i="4" s="1"/>
  <c r="K3" i="4" s="1"/>
  <c r="K6" i="4" s="1"/>
  <c r="D50" i="2"/>
  <c r="G26" i="2" s="1"/>
  <c r="D66" i="2"/>
  <c r="I3" i="4" l="1"/>
  <c r="I6" i="4" s="1"/>
  <c r="G3" i="4"/>
  <c r="G6" i="4" s="1"/>
  <c r="J3" i="4"/>
  <c r="J6" i="4" s="1"/>
  <c r="H3" i="4"/>
  <c r="H6" i="4" s="1"/>
  <c r="G7" i="4"/>
  <c r="J7" i="4"/>
  <c r="K7" i="4"/>
  <c r="I7" i="4"/>
  <c r="F21" i="2"/>
  <c r="D19" i="2"/>
  <c r="E19" i="2" s="1"/>
  <c r="D18" i="2"/>
  <c r="E18" i="2" s="1"/>
  <c r="D16" i="2"/>
  <c r="E16" i="2" s="1"/>
  <c r="D15" i="2"/>
  <c r="E15" i="2" s="1"/>
  <c r="D13" i="2"/>
  <c r="E13" i="2" s="1"/>
  <c r="G13" i="2" s="1"/>
  <c r="D10" i="2"/>
  <c r="E10" i="2" s="1"/>
  <c r="G10" i="2" s="1"/>
  <c r="D9" i="2"/>
  <c r="E9" i="2" s="1"/>
  <c r="D12" i="2"/>
  <c r="E12" i="2" s="1"/>
  <c r="D7" i="2"/>
  <c r="E7" i="2" s="1"/>
  <c r="D36" i="2"/>
  <c r="D64" i="2"/>
  <c r="I8" i="4" l="1"/>
  <c r="J8" i="4"/>
  <c r="K8" i="4"/>
  <c r="G8" i="4"/>
  <c r="H7" i="4"/>
  <c r="E21" i="2"/>
  <c r="G19" i="2"/>
  <c r="G16" i="2"/>
  <c r="G7" i="2"/>
  <c r="L7" i="2" s="1"/>
  <c r="L10" i="2" s="1"/>
  <c r="L13" i="2" s="1"/>
  <c r="G10" i="4" l="1"/>
  <c r="H8" i="4"/>
  <c r="J10" i="4"/>
  <c r="K10" i="4"/>
  <c r="I10" i="4"/>
  <c r="L16" i="2"/>
  <c r="L19" i="2" s="1"/>
  <c r="H10" i="4" l="1"/>
  <c r="J7" i="2"/>
  <c r="J10" i="2" s="1"/>
  <c r="J13" i="2" s="1"/>
  <c r="J16" i="2" s="1"/>
  <c r="J19" i="2" s="1"/>
  <c r="D37" i="2" l="1"/>
  <c r="D45" i="2" s="1"/>
  <c r="D48" i="2" l="1"/>
  <c r="H19" i="2" s="1"/>
  <c r="H16" i="2" l="1"/>
  <c r="I16" i="2" s="1"/>
  <c r="K16" i="2" s="1"/>
  <c r="H13" i="2"/>
  <c r="I13" i="2" s="1"/>
  <c r="K13" i="2" s="1"/>
  <c r="H7" i="2"/>
  <c r="I7" i="2" s="1"/>
  <c r="K7" i="2" s="1"/>
  <c r="H10" i="2"/>
  <c r="I10" i="2" s="1"/>
  <c r="K10" i="2" s="1"/>
  <c r="I19" i="2"/>
  <c r="K19" i="2" s="1"/>
  <c r="N19" i="2" s="1"/>
  <c r="M19" i="2" l="1"/>
  <c r="N10" i="2"/>
  <c r="M10" i="2"/>
  <c r="M13" i="2"/>
  <c r="N13" i="2"/>
  <c r="N16" i="2"/>
  <c r="M16" i="2"/>
  <c r="M7" i="2"/>
  <c r="N7" i="2"/>
</calcChain>
</file>

<file path=xl/sharedStrings.xml><?xml version="1.0" encoding="utf-8"?>
<sst xmlns="http://schemas.openxmlformats.org/spreadsheetml/2006/main" count="178" uniqueCount="137">
  <si>
    <t xml:space="preserve">YEAR </t>
  </si>
  <si>
    <t xml:space="preserve">FLOCK SIZE </t>
  </si>
  <si>
    <t xml:space="preserve">CAGE FREE PRODUCTION </t>
  </si>
  <si>
    <t xml:space="preserve">PER DAY PRODUCTION </t>
  </si>
  <si>
    <t xml:space="preserve">14 Months Production Cycle </t>
  </si>
  <si>
    <t xml:space="preserve">at 85% Average </t>
  </si>
  <si>
    <t xml:space="preserve">CAPITAL INVESTMENT </t>
  </si>
  <si>
    <t xml:space="preserve">COSTING </t>
  </si>
  <si>
    <t xml:space="preserve">Total Feed Cost Per Bird </t>
  </si>
  <si>
    <t>Breakage @ 2%</t>
  </si>
  <si>
    <t xml:space="preserve">FEED COST @ Rs 23 average </t>
  </si>
  <si>
    <t xml:space="preserve">Egg Production Per Bird @85% = 357 eggs in 14 months </t>
  </si>
  <si>
    <t>Total Eggs / Bird - 14months</t>
  </si>
  <si>
    <t xml:space="preserve">Loss Of Bird 2% </t>
  </si>
  <si>
    <t xml:space="preserve">Electricity </t>
  </si>
  <si>
    <t xml:space="preserve">Vacination </t>
  </si>
  <si>
    <t xml:space="preserve">Per Day Feed Consumption ( laying period ) per bird 0.110gms ( .110 * 420 days { 14 months } ) = 46.2Kgs </t>
  </si>
  <si>
    <t xml:space="preserve">Cost of Rearing ( Day old - 18 weeks ) is Rs 230/ pullet </t>
  </si>
  <si>
    <t xml:space="preserve">Pullet Cost </t>
  </si>
  <si>
    <t xml:space="preserve">TOTAL </t>
  </si>
  <si>
    <t xml:space="preserve">2 Labour ( 20K + 15K )  = 5Lakh / annum </t>
  </si>
  <si>
    <t>Cost Of House @5 Years ROI</t>
  </si>
  <si>
    <t xml:space="preserve">Paper Tray </t>
  </si>
  <si>
    <t xml:space="preserve">Sale of manure </t>
  </si>
  <si>
    <t xml:space="preserve">Sale of Spent Birds @Rs 75/ bird = 9800 * 75 = 735000 </t>
  </si>
  <si>
    <t>PER EGG SALE PRICE IS Rs 9/-</t>
  </si>
  <si>
    <t>PER EGG COST</t>
  </si>
  <si>
    <t xml:space="preserve">Feed Cost Per Egg </t>
  </si>
  <si>
    <t>PER EGG</t>
  </si>
  <si>
    <t>TOTAL  COST PER EGG</t>
  </si>
  <si>
    <t>Additional revenue Buffer</t>
  </si>
  <si>
    <t>Logistics Farm - Client</t>
  </si>
  <si>
    <t xml:space="preserve">FIXED EXPENSES </t>
  </si>
  <si>
    <t xml:space="preserve">LAND RENT Rs 40K / acre / Annum </t>
  </si>
  <si>
    <t xml:space="preserve">PER ANNUM </t>
  </si>
  <si>
    <t>Salary 1L / Month</t>
  </si>
  <si>
    <t xml:space="preserve">Office Rent </t>
  </si>
  <si>
    <t>Turnover</t>
  </si>
  <si>
    <t>Purchase</t>
  </si>
  <si>
    <t>Gross Profit</t>
  </si>
  <si>
    <t>ROCE</t>
  </si>
  <si>
    <t>ROS</t>
  </si>
  <si>
    <t>Indirect Expenses</t>
  </si>
  <si>
    <t>Profit</t>
  </si>
  <si>
    <t>Working capital</t>
  </si>
  <si>
    <t>Sales Rate</t>
  </si>
  <si>
    <t>Purchase Rate</t>
  </si>
  <si>
    <t>Existing Indirect Expenses</t>
  </si>
  <si>
    <t>Breakage at Transit 8%</t>
  </si>
  <si>
    <t>1st Year</t>
  </si>
  <si>
    <t>2nd Year</t>
  </si>
  <si>
    <t>3rd Year</t>
  </si>
  <si>
    <t>4th Year</t>
  </si>
  <si>
    <t>5th Year</t>
  </si>
  <si>
    <t>Farm Inputs (costs)</t>
  </si>
  <si>
    <t>Farm outputs</t>
  </si>
  <si>
    <t>Caculator Output</t>
  </si>
  <si>
    <t>Comments</t>
  </si>
  <si>
    <t>Production parameters</t>
  </si>
  <si>
    <t>Egg production rate</t>
  </si>
  <si>
    <t>Mortality rate</t>
  </si>
  <si>
    <t>Initial flock size</t>
  </si>
  <si>
    <t>Production cycle</t>
  </si>
  <si>
    <t xml:space="preserve">Number of hens that are placed on the farm  </t>
  </si>
  <si>
    <t>Number of hens that die (expressed as a % of flock)</t>
  </si>
  <si>
    <t>Selling price per egg</t>
  </si>
  <si>
    <t>Total inputs ($) / outputs (total eggs)</t>
  </si>
  <si>
    <t>Cost of production (COP) per egg</t>
  </si>
  <si>
    <t>Labour</t>
  </si>
  <si>
    <t xml:space="preserve">Number of eggs laid by the flock per day/month/producion cycle (expressed as a %). </t>
  </si>
  <si>
    <t xml:space="preserve">Most egg farmers do not rear the birds from day old chicks. Instead, egg farmers purchase  birds  that are around 16-18 wks of age from another farm that specialised in rearing these younger birds ('pullets'). </t>
  </si>
  <si>
    <t>Vaccination + veterinary costs</t>
  </si>
  <si>
    <t>Utilities (electricity + gas)</t>
  </si>
  <si>
    <t xml:space="preserve">Eggs </t>
  </si>
  <si>
    <t>Manure</t>
  </si>
  <si>
    <t>Total number of eggs produced by the flock</t>
  </si>
  <si>
    <t>Feed consumption</t>
  </si>
  <si>
    <t>Amount each bird eats per day/month/production cycle (expressed as grams per bird)</t>
  </si>
  <si>
    <t>Capital costs</t>
  </si>
  <si>
    <t>This is the major cost for egg farmers  - generally around 65-70% or more</t>
  </si>
  <si>
    <t>Feed (e.g. cost per tonne)</t>
  </si>
  <si>
    <t>Logistics</t>
  </si>
  <si>
    <t>Misc</t>
  </si>
  <si>
    <t>Pullets</t>
  </si>
  <si>
    <t>Equipment + maintenance</t>
  </si>
  <si>
    <t>e.g. shed building, shed equipment, lighting, ventilation systems</t>
  </si>
  <si>
    <t xml:space="preserve">Replacement  + repairs of feeders, drinkers, lighting, </t>
  </si>
  <si>
    <t>Packaging</t>
  </si>
  <si>
    <t>Litter material</t>
  </si>
  <si>
    <t>e.g. straw, rice rulls, sawdust that is placed on the floor of the shed</t>
  </si>
  <si>
    <t xml:space="preserve">Once the spent hens are removed from the shed, the manure (mix of the birds droppings + litter material) is cleaned out and sold on.  </t>
  </si>
  <si>
    <t>Loan repayments</t>
  </si>
  <si>
    <t>COP per egg + X profit</t>
  </si>
  <si>
    <t>Highlight which aspects  (inputs, outputs or production parameters) are outside the 'average'</t>
  </si>
  <si>
    <t>As discussed at our meeting a few weeks ago, it would also be useful for the calculator to be able to highlight areas of concern e.g.  if the farms feed costs are twice as much as expected (bsaed on data to be sourced) or if the mortality rate is higher than the breeding company guidelines</t>
  </si>
  <si>
    <t>Spent hens*</t>
  </si>
  <si>
    <t xml:space="preserve">Once the hens are no longer producing enough eggs to cover the cost of production, they are removed (as a flock) and  replaced with a new flock of young pullets. The spent hens are sold on - usually to an abattoir for meat. </t>
  </si>
  <si>
    <t xml:space="preserve">*In some countries, the value of these spent hens is so low that it actually costs the farmer to get rid of them as they have to pay for people to come collect the birds and then transport them off the farm. </t>
  </si>
  <si>
    <t>Egg cartons, pallets, labels</t>
  </si>
  <si>
    <t xml:space="preserve">Number of  days/months the birds are kept on the farm and are laying eggs. Hens usually start laying eggs at 18-20wks of age and are kept to around 72-78 weeks of age = approx 14 month period when they are laying eggs. </t>
  </si>
  <si>
    <t>Flock Size</t>
  </si>
  <si>
    <t>Year</t>
  </si>
  <si>
    <t>?</t>
  </si>
  <si>
    <t>Land Rental/Acre</t>
  </si>
  <si>
    <t>Salary</t>
  </si>
  <si>
    <t>Description</t>
  </si>
  <si>
    <t>Value</t>
  </si>
  <si>
    <t>Number of eggs laid per bird per 14 months</t>
  </si>
  <si>
    <t>Initial Flock Size</t>
  </si>
  <si>
    <t>Metric</t>
  </si>
  <si>
    <t>Comment</t>
  </si>
  <si>
    <t>x</t>
  </si>
  <si>
    <t>Birth/Growth Rate of flock</t>
  </si>
  <si>
    <t>Percentage of flock that lays eggs</t>
  </si>
  <si>
    <t>I am confused by the "production cycle" - isn't this clearer?</t>
  </si>
  <si>
    <t>Total Number of Eggs Laid</t>
  </si>
  <si>
    <t>Number of eggs laid per hen</t>
  </si>
  <si>
    <t>Total Number of Hens that lay eggs</t>
  </si>
  <si>
    <t>Breakage</t>
  </si>
  <si>
    <t>Total Number of Broken Eggs</t>
  </si>
  <si>
    <t>Total Number of un-broken eggs</t>
  </si>
  <si>
    <t>Costs per bird</t>
  </si>
  <si>
    <t>feed</t>
  </si>
  <si>
    <t>Gross Revenue from Eggs</t>
  </si>
  <si>
    <t>Basic Farm Stats per year</t>
  </si>
  <si>
    <t>Revenue per egg</t>
  </si>
  <si>
    <t>Gross Revenue from spent hens</t>
  </si>
  <si>
    <t>Total Number of spent hens</t>
  </si>
  <si>
    <t>Gross Revenue from manure</t>
  </si>
  <si>
    <t>Revenue per spent hens*</t>
  </si>
  <si>
    <t>revenue from manure from spent hens</t>
  </si>
  <si>
    <t>Total Variable Cost per bird</t>
  </si>
  <si>
    <t>subtotal gross revenue</t>
  </si>
  <si>
    <t>subtotal Variable cost</t>
  </si>
  <si>
    <t>Fixed costs Per Year</t>
  </si>
  <si>
    <t>subtotal fixed costs</t>
  </si>
  <si>
    <t>subtotal all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</si>
</sst>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_ * #,##0.00_ ;_ * \-#,##0.00_ ;_ * &quot;-&quot;??_ ;_ @_ "/>
    <numFmt numFmtId="165" formatCode="_ * #,##0_ ;_ * \-#,##0_ ;_ * &quot;-&quot;??_ ;_ @_ "/>
  </numFmts>
  <fonts count="5" x14ac:knownFonts="1">
    <font>
      <sz val="11"/>
      <color theme="1"/>
      <name val="Calibri"/>
      <family val="2"/>
      <scheme val="minor"/>
    </font>
    <font>
      <sz val="11"/>
      <color rgb="FFFF0000"/>
      <name val="Calibri"/>
      <family val="2"/>
      <scheme val="minor"/>
    </font>
    <font>
      <sz val="11"/>
      <color theme="1"/>
      <name val="Calibri"/>
      <family val="2"/>
      <scheme val="minor"/>
    </font>
    <font>
      <i/>
      <sz val="11"/>
      <color theme="1"/>
      <name val="Calibri"/>
      <family val="2"/>
      <scheme val="minor"/>
    </font>
    <font>
      <b/>
      <sz val="11"/>
      <color theme="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1"/>
        <bgColor indexed="64"/>
      </patternFill>
    </fill>
    <fill>
      <patternFill patternType="solid">
        <fgColor theme="1" tint="0.499984740745262"/>
        <bgColor indexed="64"/>
      </patternFill>
    </fill>
    <fill>
      <patternFill patternType="solid">
        <fgColor theme="3"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164" fontId="2" fillId="0" borderId="0" applyFont="0" applyFill="0" applyBorder="0" applyAlignment="0" applyProtection="0"/>
    <xf numFmtId="44" fontId="2" fillId="0" borderId="0" applyFont="0" applyFill="0" applyBorder="0" applyAlignment="0" applyProtection="0"/>
  </cellStyleXfs>
  <cellXfs count="67">
    <xf numFmtId="0" fontId="0" fillId="0" borderId="0" xfId="0"/>
    <xf numFmtId="0" fontId="0" fillId="0" borderId="1" xfId="0" applyBorder="1"/>
    <xf numFmtId="0" fontId="0" fillId="0" borderId="1" xfId="0" applyBorder="1" applyAlignment="1">
      <alignment horizontal="center"/>
    </xf>
    <xf numFmtId="9" fontId="0" fillId="0" borderId="1" xfId="0" applyNumberFormat="1" applyBorder="1" applyAlignment="1">
      <alignment horizontal="center"/>
    </xf>
    <xf numFmtId="0" fontId="0" fillId="0" borderId="1" xfId="0" applyFill="1" applyBorder="1" applyAlignment="1">
      <alignment horizontal="center"/>
    </xf>
    <xf numFmtId="2" fontId="0" fillId="0" borderId="1" xfId="0" applyNumberFormat="1" applyBorder="1"/>
    <xf numFmtId="2" fontId="0" fillId="4" borderId="1" xfId="0" applyNumberFormat="1" applyFill="1" applyBorder="1"/>
    <xf numFmtId="2" fontId="0" fillId="2" borderId="1" xfId="0" applyNumberFormat="1" applyFill="1" applyBorder="1"/>
    <xf numFmtId="0" fontId="0" fillId="5" borderId="1" xfId="0" applyFill="1" applyBorder="1" applyAlignment="1">
      <alignment horizontal="center"/>
    </xf>
    <xf numFmtId="0" fontId="0" fillId="5" borderId="0" xfId="0" applyFill="1" applyAlignment="1">
      <alignment horizontal="center"/>
    </xf>
    <xf numFmtId="0" fontId="0" fillId="6" borderId="0" xfId="0" applyFill="1"/>
    <xf numFmtId="0" fontId="0" fillId="0" borderId="1" xfId="0" applyBorder="1" applyAlignment="1">
      <alignment horizontal="center"/>
    </xf>
    <xf numFmtId="0" fontId="0" fillId="0" borderId="1" xfId="0" applyBorder="1" applyAlignment="1">
      <alignment horizontal="center"/>
    </xf>
    <xf numFmtId="165" fontId="0" fillId="0" borderId="1" xfId="1" applyNumberFormat="1" applyFont="1" applyBorder="1" applyAlignment="1">
      <alignment horizontal="center"/>
    </xf>
    <xf numFmtId="164" fontId="0" fillId="0" borderId="0" xfId="1" applyFont="1"/>
    <xf numFmtId="165" fontId="0" fillId="0" borderId="0" xfId="1" applyNumberFormat="1" applyFont="1"/>
    <xf numFmtId="165" fontId="0" fillId="0" borderId="0" xfId="0" applyNumberFormat="1"/>
    <xf numFmtId="2" fontId="0" fillId="0" borderId="0" xfId="0" applyNumberFormat="1"/>
    <xf numFmtId="165" fontId="0" fillId="0" borderId="1" xfId="1" applyNumberFormat="1" applyFont="1" applyBorder="1"/>
    <xf numFmtId="165" fontId="0" fillId="0" borderId="0" xfId="1" applyNumberFormat="1" applyFont="1" applyBorder="1"/>
    <xf numFmtId="165" fontId="1" fillId="0" borderId="0" xfId="1" applyNumberFormat="1" applyFont="1"/>
    <xf numFmtId="0" fontId="0" fillId="7" borderId="0" xfId="0" applyFill="1" applyAlignment="1">
      <alignment wrapText="1"/>
    </xf>
    <xf numFmtId="0" fontId="0" fillId="0" borderId="0" xfId="0" applyAlignment="1">
      <alignment wrapText="1"/>
    </xf>
    <xf numFmtId="0" fontId="0" fillId="6" borderId="0" xfId="0" applyFill="1" applyAlignment="1">
      <alignment wrapText="1"/>
    </xf>
    <xf numFmtId="0" fontId="0" fillId="8" borderId="0" xfId="0" applyFill="1" applyAlignment="1">
      <alignment wrapText="1"/>
    </xf>
    <xf numFmtId="0" fontId="0" fillId="8" borderId="0" xfId="0" applyFont="1" applyFill="1" applyAlignment="1">
      <alignment wrapText="1"/>
    </xf>
    <xf numFmtId="0" fontId="3" fillId="0" borderId="0" xfId="0" applyFont="1" applyAlignment="1">
      <alignment wrapText="1"/>
    </xf>
    <xf numFmtId="0" fontId="0" fillId="9" borderId="0" xfId="0" applyFill="1" applyAlignment="1">
      <alignment wrapText="1"/>
    </xf>
    <xf numFmtId="0" fontId="0" fillId="10" borderId="0" xfId="0" applyFill="1" applyAlignment="1">
      <alignment wrapText="1"/>
    </xf>
    <xf numFmtId="9" fontId="0" fillId="0" borderId="0" xfId="0" applyNumberFormat="1"/>
    <xf numFmtId="9" fontId="0" fillId="0" borderId="1" xfId="0" applyNumberFormat="1" applyBorder="1"/>
    <xf numFmtId="0" fontId="0" fillId="0" borderId="1" xfId="0" applyFill="1" applyBorder="1"/>
    <xf numFmtId="44" fontId="0" fillId="0" borderId="0" xfId="2" applyFont="1"/>
    <xf numFmtId="44" fontId="0" fillId="0" borderId="0" xfId="0" applyNumberFormat="1"/>
    <xf numFmtId="165" fontId="0" fillId="0" borderId="0" xfId="1" applyNumberFormat="1" applyFont="1" applyBorder="1" applyAlignment="1">
      <alignment horizontal="center"/>
    </xf>
    <xf numFmtId="0" fontId="0" fillId="0" borderId="1" xfId="0" applyBorder="1" applyAlignment="1">
      <alignment wrapText="1"/>
    </xf>
    <xf numFmtId="0" fontId="4" fillId="0" borderId="1" xfId="0" applyFont="1" applyBorder="1"/>
    <xf numFmtId="165" fontId="0" fillId="0" borderId="1" xfId="0" applyNumberFormat="1" applyBorder="1"/>
    <xf numFmtId="0" fontId="4" fillId="0" borderId="1" xfId="0" applyFont="1" applyFill="1" applyBorder="1"/>
    <xf numFmtId="0" fontId="4" fillId="0" borderId="0" xfId="0" applyFont="1" applyBorder="1"/>
    <xf numFmtId="0" fontId="0" fillId="0" borderId="0" xfId="0" applyBorder="1"/>
    <xf numFmtId="44" fontId="0" fillId="0" borderId="1" xfId="2" applyFont="1" applyBorder="1"/>
    <xf numFmtId="0" fontId="0" fillId="0" borderId="0" xfId="0" applyBorder="1" applyAlignment="1"/>
    <xf numFmtId="0" fontId="4" fillId="0" borderId="0" xfId="0" applyFont="1" applyBorder="1" applyAlignment="1"/>
    <xf numFmtId="165" fontId="0" fillId="0" borderId="1" xfId="1" applyNumberFormat="1" applyFont="1" applyFill="1" applyBorder="1"/>
    <xf numFmtId="44" fontId="0" fillId="0" borderId="1" xfId="2" applyNumberFormat="1" applyFont="1" applyBorder="1"/>
    <xf numFmtId="0" fontId="4" fillId="0" borderId="0" xfId="0" applyFont="1" applyFill="1" applyBorder="1"/>
    <xf numFmtId="44" fontId="0" fillId="0" borderId="1" xfId="0" applyNumberFormat="1" applyBorder="1"/>
    <xf numFmtId="44" fontId="4" fillId="0" borderId="1" xfId="0" applyNumberFormat="1" applyFont="1" applyBorder="1"/>
    <xf numFmtId="44" fontId="4" fillId="0" borderId="1" xfId="2" applyFont="1" applyBorder="1"/>
    <xf numFmtId="0" fontId="0" fillId="3" borderId="0" xfId="0" applyFill="1" applyAlignment="1">
      <alignment horizontal="center"/>
    </xf>
    <xf numFmtId="0" fontId="0" fillId="0" borderId="2" xfId="0" applyBorder="1" applyAlignment="1">
      <alignment horizontal="left"/>
    </xf>
    <xf numFmtId="0" fontId="0" fillId="0" borderId="4" xfId="0" applyBorder="1" applyAlignment="1">
      <alignment horizontal="left"/>
    </xf>
    <xf numFmtId="0" fontId="0" fillId="0" borderId="5" xfId="0" applyBorder="1" applyAlignment="1">
      <alignment horizontal="right" vertical="center"/>
    </xf>
    <xf numFmtId="0" fontId="0" fillId="0" borderId="6" xfId="0" applyBorder="1" applyAlignment="1">
      <alignment horizontal="right" vertical="center"/>
    </xf>
    <xf numFmtId="0" fontId="0" fillId="4" borderId="2" xfId="0" applyFill="1" applyBorder="1" applyAlignment="1">
      <alignment horizontal="right"/>
    </xf>
    <xf numFmtId="0" fontId="0" fillId="4" borderId="4" xfId="0" applyFill="1" applyBorder="1" applyAlignment="1">
      <alignment horizontal="right"/>
    </xf>
    <xf numFmtId="0" fontId="0" fillId="0" borderId="1" xfId="0" applyBorder="1" applyAlignment="1">
      <alignment horizontal="left" vertical="top" wrapText="1"/>
    </xf>
    <xf numFmtId="0" fontId="0" fillId="5" borderId="2" xfId="0" applyFill="1" applyBorder="1" applyAlignment="1">
      <alignment horizontal="center"/>
    </xf>
    <xf numFmtId="0" fontId="0" fillId="5" borderId="4" xfId="0" applyFill="1" applyBorder="1" applyAlignment="1">
      <alignment horizontal="center"/>
    </xf>
    <xf numFmtId="0" fontId="0" fillId="0" borderId="0" xfId="0" applyAlignment="1">
      <alignment horizontal="left"/>
    </xf>
    <xf numFmtId="0" fontId="0" fillId="2" borderId="2" xfId="0" applyFill="1" applyBorder="1" applyAlignment="1">
      <alignment horizontal="right"/>
    </xf>
    <xf numFmtId="0" fontId="0" fillId="2" borderId="4" xfId="0" applyFill="1" applyBorder="1" applyAlignment="1">
      <alignment horizontal="right"/>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2" borderId="0" xfId="0" applyFill="1" applyAlignment="1">
      <alignment horizontal="center"/>
    </xf>
  </cellXfs>
  <cellStyles count="3">
    <cellStyle name="Comma" xfId="1" builtinId="3"/>
    <cellStyle name="Currency" xfId="2" builtinId="4"/>
    <cellStyle name="Normal" xfId="0" builtinId="0"/>
  </cellStyles>
  <dxfs count="0"/>
  <tableStyles count="0" defaultTableStyle="TableStyleMedium2" defaultPivotStyle="PivotStyleMedium9"/>
  <colors>
    <mruColors>
      <color rgb="FF9933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D3694-93AF-413A-9D91-04F5AA50CC82}">
  <dimension ref="A1:K35"/>
  <sheetViews>
    <sheetView tabSelected="1" workbookViewId="0">
      <selection activeCell="F30" sqref="F30"/>
    </sheetView>
  </sheetViews>
  <sheetFormatPr defaultRowHeight="15" x14ac:dyDescent="0.25"/>
  <cols>
    <col min="1" max="1" width="34.5703125" style="40" bestFit="1" customWidth="1"/>
    <col min="2" max="2" width="61.85546875" style="40" bestFit="1" customWidth="1"/>
    <col min="3" max="3" width="14.28515625" style="40" bestFit="1" customWidth="1"/>
    <col min="5" max="5" width="19.7109375" bestFit="1" customWidth="1"/>
    <col min="6" max="6" width="32.42578125" bestFit="1" customWidth="1"/>
    <col min="7" max="11" width="15.28515625" bestFit="1" customWidth="1"/>
  </cols>
  <sheetData>
    <row r="1" spans="1:11" x14ac:dyDescent="0.25">
      <c r="A1" s="39" t="s">
        <v>109</v>
      </c>
      <c r="B1" s="39" t="s">
        <v>110</v>
      </c>
      <c r="C1" s="39" t="s">
        <v>106</v>
      </c>
      <c r="F1" s="36" t="s">
        <v>101</v>
      </c>
      <c r="G1" s="36">
        <v>1</v>
      </c>
      <c r="H1" s="36">
        <v>2</v>
      </c>
      <c r="I1" s="36">
        <v>3</v>
      </c>
      <c r="J1" s="36">
        <v>4</v>
      </c>
      <c r="K1" s="36">
        <v>5</v>
      </c>
    </row>
    <row r="2" spans="1:11" x14ac:dyDescent="0.25">
      <c r="A2" s="43" t="s">
        <v>124</v>
      </c>
      <c r="B2" s="42"/>
      <c r="C2" s="42"/>
      <c r="F2" s="1" t="s">
        <v>100</v>
      </c>
      <c r="G2" s="37">
        <f>C3</f>
        <v>10000</v>
      </c>
      <c r="H2" s="37">
        <f>G2*(1+$C$4)*(1-$C$5)</f>
        <v>11760</v>
      </c>
      <c r="I2" s="37">
        <f>H2*(1+$C$4)*(1-$C$5)</f>
        <v>13829.76</v>
      </c>
      <c r="J2" s="37">
        <f>I2*(1+$C$4)*(1-$C$5)</f>
        <v>16263.797759999999</v>
      </c>
      <c r="K2" s="37">
        <f>J2*(1+$C$4)*(1-$C$5)</f>
        <v>19126.226165759996</v>
      </c>
    </row>
    <row r="3" spans="1:11" x14ac:dyDescent="0.25">
      <c r="A3" s="1" t="s">
        <v>108</v>
      </c>
      <c r="B3" s="35" t="s">
        <v>63</v>
      </c>
      <c r="C3" s="13">
        <v>10000</v>
      </c>
      <c r="F3" s="1" t="s">
        <v>117</v>
      </c>
      <c r="G3" s="37">
        <f>G2*$C$6</f>
        <v>8500</v>
      </c>
      <c r="H3" s="37">
        <f>H2*$C$6</f>
        <v>9996</v>
      </c>
      <c r="I3" s="37">
        <f>I2*$C$6</f>
        <v>11755.296</v>
      </c>
      <c r="J3" s="37">
        <f>J2*$C$6</f>
        <v>13824.228095999999</v>
      </c>
      <c r="K3" s="37">
        <f>K2*$C$6</f>
        <v>16257.292240895997</v>
      </c>
    </row>
    <row r="4" spans="1:11" x14ac:dyDescent="0.25">
      <c r="A4" s="1" t="s">
        <v>112</v>
      </c>
      <c r="B4" s="1" t="s">
        <v>102</v>
      </c>
      <c r="C4" s="30">
        <v>0.2</v>
      </c>
      <c r="F4" s="1" t="s">
        <v>127</v>
      </c>
      <c r="G4" s="37">
        <f>G2-G3</f>
        <v>1500</v>
      </c>
      <c r="H4" s="37">
        <f t="shared" ref="H4:K4" si="0">H2-H3</f>
        <v>1764</v>
      </c>
      <c r="I4" s="37">
        <f t="shared" si="0"/>
        <v>2074.4639999999999</v>
      </c>
      <c r="J4" s="37">
        <f t="shared" si="0"/>
        <v>2439.5696640000006</v>
      </c>
      <c r="K4" s="37">
        <f t="shared" si="0"/>
        <v>2868.933924863999</v>
      </c>
    </row>
    <row r="5" spans="1:11" x14ac:dyDescent="0.25">
      <c r="A5" s="35" t="s">
        <v>60</v>
      </c>
      <c r="B5" s="35" t="s">
        <v>64</v>
      </c>
      <c r="C5" s="30">
        <v>0.02</v>
      </c>
    </row>
    <row r="6" spans="1:11" x14ac:dyDescent="0.25">
      <c r="A6" s="35" t="s">
        <v>113</v>
      </c>
      <c r="B6" s="35" t="s">
        <v>114</v>
      </c>
      <c r="C6" s="30">
        <v>0.85</v>
      </c>
      <c r="F6" s="1" t="s">
        <v>115</v>
      </c>
      <c r="G6" s="37">
        <f>G3*$C$7</f>
        <v>3034500</v>
      </c>
      <c r="H6" s="37">
        <f>H3*$C$7</f>
        <v>3568572</v>
      </c>
      <c r="I6" s="37">
        <f>I3*$C$7</f>
        <v>4196640.6720000003</v>
      </c>
      <c r="J6" s="37">
        <f>J3*$C$7</f>
        <v>4935249.4302719999</v>
      </c>
      <c r="K6" s="37">
        <f>K3*$C$7</f>
        <v>5803853.3299998706</v>
      </c>
    </row>
    <row r="7" spans="1:11" x14ac:dyDescent="0.25">
      <c r="A7" s="31" t="s">
        <v>116</v>
      </c>
      <c r="B7" s="1"/>
      <c r="C7" s="44">
        <v>357</v>
      </c>
      <c r="F7" s="31" t="s">
        <v>119</v>
      </c>
      <c r="G7" s="37">
        <f>G6*$C$8</f>
        <v>60690</v>
      </c>
      <c r="H7" s="37">
        <f>H6*$C$8</f>
        <v>71371.44</v>
      </c>
      <c r="I7" s="37">
        <f>I6*$C$8</f>
        <v>83932.813440000013</v>
      </c>
      <c r="J7" s="37">
        <f>J6*$C$8</f>
        <v>98704.988605439998</v>
      </c>
      <c r="K7" s="37">
        <f>K6*$C$8</f>
        <v>116077.06659999742</v>
      </c>
    </row>
    <row r="8" spans="1:11" x14ac:dyDescent="0.25">
      <c r="A8" s="31" t="s">
        <v>118</v>
      </c>
      <c r="B8" s="1"/>
      <c r="C8" s="30">
        <v>0.02</v>
      </c>
      <c r="F8" s="31" t="s">
        <v>120</v>
      </c>
      <c r="G8" s="37">
        <f>G6-G7</f>
        <v>2973810</v>
      </c>
      <c r="H8" s="37">
        <f t="shared" ref="H8:K8" si="1">H6-H7</f>
        <v>3497200.56</v>
      </c>
      <c r="I8" s="37">
        <f t="shared" si="1"/>
        <v>4112707.8585600001</v>
      </c>
      <c r="J8" s="37">
        <f t="shared" si="1"/>
        <v>4836544.4416665602</v>
      </c>
      <c r="K8" s="37">
        <f t="shared" si="1"/>
        <v>5687776.2633998729</v>
      </c>
    </row>
    <row r="10" spans="1:11" x14ac:dyDescent="0.25">
      <c r="F10" s="31" t="s">
        <v>123</v>
      </c>
      <c r="G10" s="41">
        <f>G8*$C$12</f>
        <v>23790480</v>
      </c>
      <c r="H10" s="41">
        <f>H8*$C$12</f>
        <v>27977604.48</v>
      </c>
      <c r="I10" s="41">
        <f>I8*$C$12</f>
        <v>32901662.868480001</v>
      </c>
      <c r="J10" s="41">
        <f>J8*$C$12</f>
        <v>38692355.533332482</v>
      </c>
      <c r="K10" s="41">
        <f>K8*$C$12</f>
        <v>45502210.107198983</v>
      </c>
    </row>
    <row r="11" spans="1:11" x14ac:dyDescent="0.25">
      <c r="A11" s="46" t="s">
        <v>125</v>
      </c>
      <c r="F11" s="31" t="s">
        <v>126</v>
      </c>
      <c r="G11" s="41">
        <f>G4*$C$13</f>
        <v>315</v>
      </c>
      <c r="H11" s="41">
        <f t="shared" ref="H11:K11" si="2">H4*$C$13</f>
        <v>370.44</v>
      </c>
      <c r="I11" s="41">
        <f t="shared" si="2"/>
        <v>435.63743999999997</v>
      </c>
      <c r="J11" s="41">
        <f t="shared" si="2"/>
        <v>512.30962944000009</v>
      </c>
      <c r="K11" s="41">
        <f t="shared" si="2"/>
        <v>602.47612422143982</v>
      </c>
    </row>
    <row r="12" spans="1:11" x14ac:dyDescent="0.25">
      <c r="A12" s="31" t="s">
        <v>65</v>
      </c>
      <c r="B12" s="1"/>
      <c r="C12" s="41">
        <v>8</v>
      </c>
      <c r="F12" s="31" t="s">
        <v>128</v>
      </c>
      <c r="G12" s="41">
        <f>G4*$C$14</f>
        <v>165</v>
      </c>
      <c r="H12" s="41">
        <f t="shared" ref="H12:K12" si="3">H4*$C$14</f>
        <v>194.04</v>
      </c>
      <c r="I12" s="41">
        <f t="shared" si="3"/>
        <v>228.19103999999999</v>
      </c>
      <c r="J12" s="41">
        <f t="shared" si="3"/>
        <v>268.35266304000004</v>
      </c>
      <c r="K12" s="41">
        <f t="shared" si="3"/>
        <v>315.58273173503989</v>
      </c>
    </row>
    <row r="13" spans="1:11" ht="60" x14ac:dyDescent="0.25">
      <c r="A13" s="35" t="s">
        <v>129</v>
      </c>
      <c r="B13" s="35" t="s">
        <v>96</v>
      </c>
      <c r="C13" s="41">
        <v>0.21</v>
      </c>
      <c r="F13" s="38" t="s">
        <v>132</v>
      </c>
      <c r="G13" s="48">
        <f>G12+G11+G10</f>
        <v>23790960</v>
      </c>
      <c r="H13" s="48">
        <f t="shared" ref="H13:K13" si="4">H12+H11+H10</f>
        <v>27978168.960000001</v>
      </c>
      <c r="I13" s="48">
        <f t="shared" si="4"/>
        <v>32902326.696960002</v>
      </c>
      <c r="J13" s="48">
        <f t="shared" si="4"/>
        <v>38693136.195624962</v>
      </c>
      <c r="K13" s="48">
        <f t="shared" si="4"/>
        <v>45503128.166054942</v>
      </c>
    </row>
    <row r="14" spans="1:11" ht="30" x14ac:dyDescent="0.25">
      <c r="A14" s="35" t="s">
        <v>130</v>
      </c>
      <c r="B14" s="35" t="s">
        <v>90</v>
      </c>
      <c r="C14" s="41">
        <v>0.11</v>
      </c>
    </row>
    <row r="15" spans="1:11" x14ac:dyDescent="0.25">
      <c r="F15" s="1" t="s">
        <v>131</v>
      </c>
      <c r="G15" s="47">
        <f>SUM($C$17:$C$28)</f>
        <v>1417.03</v>
      </c>
      <c r="H15" s="47">
        <f>SUM($C$17:$C$28)</f>
        <v>1417.03</v>
      </c>
      <c r="I15" s="47">
        <f>SUM($C$17:$C$28)</f>
        <v>1417.03</v>
      </c>
      <c r="J15" s="47">
        <f>SUM($C$17:$C$28)</f>
        <v>1417.03</v>
      </c>
      <c r="K15" s="47">
        <f>SUM($C$17:$C$28)</f>
        <v>1417.03</v>
      </c>
    </row>
    <row r="16" spans="1:11" x14ac:dyDescent="0.25">
      <c r="A16" s="39" t="s">
        <v>121</v>
      </c>
      <c r="F16" s="36" t="s">
        <v>133</v>
      </c>
      <c r="G16" s="49">
        <f>G15*G2</f>
        <v>14170300</v>
      </c>
      <c r="H16" s="49">
        <f t="shared" ref="H16:K16" si="5">H15*H2</f>
        <v>16664272.799999999</v>
      </c>
      <c r="I16" s="49">
        <f t="shared" si="5"/>
        <v>19597184.812800001</v>
      </c>
      <c r="J16" s="49">
        <f t="shared" si="5"/>
        <v>23046289.339852799</v>
      </c>
      <c r="K16" s="49">
        <f t="shared" si="5"/>
        <v>27102436.263666887</v>
      </c>
    </row>
    <row r="17" spans="1:11" x14ac:dyDescent="0.25">
      <c r="A17" s="35" t="s">
        <v>122</v>
      </c>
      <c r="B17" s="35"/>
      <c r="C17" s="45">
        <v>1062.5999999999999</v>
      </c>
      <c r="F17" s="38" t="s">
        <v>135</v>
      </c>
      <c r="G17" s="48">
        <f>SUM($C$32:$C$35)</f>
        <v>8000000</v>
      </c>
      <c r="H17" s="48">
        <f t="shared" ref="H17:K17" si="6">SUM($C$32:$C$35)</f>
        <v>8000000</v>
      </c>
      <c r="I17" s="48">
        <f t="shared" si="6"/>
        <v>8000000</v>
      </c>
      <c r="J17" s="48">
        <f t="shared" si="6"/>
        <v>8000000</v>
      </c>
      <c r="K17" s="48">
        <f t="shared" si="6"/>
        <v>8000000</v>
      </c>
    </row>
    <row r="18" spans="1:11" x14ac:dyDescent="0.25">
      <c r="A18" s="35" t="s">
        <v>68</v>
      </c>
      <c r="B18" s="35"/>
      <c r="C18" s="41">
        <v>49.980000000000004</v>
      </c>
      <c r="F18" s="38" t="s">
        <v>136</v>
      </c>
      <c r="G18" s="48">
        <f>G17+G16</f>
        <v>22170300</v>
      </c>
      <c r="H18" s="48">
        <f t="shared" ref="H18:K18" si="7">H17+H16</f>
        <v>24664272.799999997</v>
      </c>
      <c r="I18" s="48">
        <f t="shared" si="7"/>
        <v>27597184.812800001</v>
      </c>
      <c r="J18" s="48">
        <f t="shared" si="7"/>
        <v>31046289.339852799</v>
      </c>
      <c r="K18" s="48">
        <f t="shared" si="7"/>
        <v>35102436.263666883</v>
      </c>
    </row>
    <row r="19" spans="1:11" ht="60" x14ac:dyDescent="0.25">
      <c r="A19" s="35" t="s">
        <v>83</v>
      </c>
      <c r="B19" s="35" t="s">
        <v>70</v>
      </c>
      <c r="C19" s="41">
        <v>232.05</v>
      </c>
    </row>
    <row r="20" spans="1:11" x14ac:dyDescent="0.25">
      <c r="A20" s="35" t="s">
        <v>84</v>
      </c>
      <c r="B20" s="35" t="s">
        <v>86</v>
      </c>
      <c r="C20" s="1"/>
      <c r="F20" s="38" t="s">
        <v>43</v>
      </c>
      <c r="G20" s="47">
        <f>G13-G18</f>
        <v>1620660</v>
      </c>
      <c r="H20" s="47">
        <f t="shared" ref="H20:K20" si="8">H13-H18</f>
        <v>3313896.1600000039</v>
      </c>
      <c r="I20" s="47">
        <f t="shared" si="8"/>
        <v>5305141.8841600008</v>
      </c>
      <c r="J20" s="47">
        <f t="shared" si="8"/>
        <v>7646846.8557721637</v>
      </c>
      <c r="K20" s="47">
        <f t="shared" si="8"/>
        <v>10400691.902388059</v>
      </c>
    </row>
    <row r="21" spans="1:11" x14ac:dyDescent="0.25">
      <c r="A21" s="35" t="s">
        <v>88</v>
      </c>
      <c r="B21" s="35" t="s">
        <v>89</v>
      </c>
      <c r="C21" s="1"/>
    </row>
    <row r="22" spans="1:11" x14ac:dyDescent="0.25">
      <c r="A22" s="35" t="s">
        <v>71</v>
      </c>
      <c r="B22" s="35"/>
      <c r="C22" s="41">
        <v>35.700000000000003</v>
      </c>
    </row>
    <row r="23" spans="1:11" x14ac:dyDescent="0.25">
      <c r="A23" s="35" t="s">
        <v>72</v>
      </c>
      <c r="B23" s="35"/>
      <c r="C23" s="41">
        <v>35.700000000000003</v>
      </c>
    </row>
    <row r="24" spans="1:11" x14ac:dyDescent="0.25">
      <c r="A24" s="35" t="s">
        <v>78</v>
      </c>
      <c r="B24" s="35" t="s">
        <v>85</v>
      </c>
      <c r="C24" s="5"/>
      <c r="G24" s="16"/>
      <c r="H24" s="16"/>
      <c r="I24" s="16"/>
      <c r="J24" s="16"/>
      <c r="K24" s="16"/>
    </row>
    <row r="25" spans="1:11" x14ac:dyDescent="0.25">
      <c r="A25" s="35" t="s">
        <v>81</v>
      </c>
      <c r="B25" s="35"/>
      <c r="C25" s="41">
        <v>1</v>
      </c>
      <c r="G25" s="16"/>
      <c r="H25" s="16"/>
      <c r="I25" s="16"/>
      <c r="J25" s="16"/>
      <c r="K25" s="16"/>
    </row>
    <row r="26" spans="1:11" x14ac:dyDescent="0.25">
      <c r="A26" s="35" t="s">
        <v>82</v>
      </c>
      <c r="B26" s="35"/>
      <c r="C26" s="1"/>
      <c r="G26" s="32"/>
      <c r="H26" s="32"/>
      <c r="I26" s="32"/>
      <c r="J26" s="32"/>
      <c r="K26" s="32"/>
    </row>
    <row r="27" spans="1:11" x14ac:dyDescent="0.25">
      <c r="A27" s="35" t="s">
        <v>87</v>
      </c>
      <c r="B27" s="35" t="s">
        <v>98</v>
      </c>
      <c r="C27" s="1"/>
      <c r="G27" s="32"/>
      <c r="H27" s="32"/>
      <c r="I27" s="32"/>
      <c r="J27" s="32"/>
      <c r="K27" s="32"/>
    </row>
    <row r="28" spans="1:11" x14ac:dyDescent="0.25">
      <c r="A28" s="35" t="s">
        <v>91</v>
      </c>
      <c r="B28" s="35"/>
      <c r="C28" s="1"/>
      <c r="G28" s="33"/>
      <c r="H28" s="33"/>
      <c r="I28" s="33"/>
      <c r="J28" s="33"/>
      <c r="K28" s="33"/>
    </row>
    <row r="29" spans="1:11" x14ac:dyDescent="0.25">
      <c r="G29" s="33"/>
      <c r="H29" s="33"/>
      <c r="I29" s="33"/>
      <c r="J29" s="33"/>
      <c r="K29" s="33"/>
    </row>
    <row r="30" spans="1:11" x14ac:dyDescent="0.25">
      <c r="G30" s="33"/>
      <c r="H30" s="33"/>
      <c r="I30" s="33"/>
      <c r="J30" s="33"/>
      <c r="K30" s="33"/>
    </row>
    <row r="31" spans="1:11" x14ac:dyDescent="0.25">
      <c r="A31" s="39" t="s">
        <v>134</v>
      </c>
    </row>
    <row r="32" spans="1:11" x14ac:dyDescent="0.25">
      <c r="A32" s="1" t="s">
        <v>103</v>
      </c>
      <c r="B32" s="1"/>
      <c r="C32" s="41">
        <v>400000</v>
      </c>
    </row>
    <row r="33" spans="1:3" x14ac:dyDescent="0.25">
      <c r="A33" s="1" t="s">
        <v>36</v>
      </c>
      <c r="B33" s="1"/>
      <c r="C33" s="41">
        <v>400000</v>
      </c>
    </row>
    <row r="34" spans="1:3" x14ac:dyDescent="0.25">
      <c r="A34" s="1" t="s">
        <v>47</v>
      </c>
      <c r="B34" s="1"/>
      <c r="C34" s="41">
        <f>500000*12</f>
        <v>6000000</v>
      </c>
    </row>
    <row r="35" spans="1:3" x14ac:dyDescent="0.25">
      <c r="A35" s="1" t="s">
        <v>104</v>
      </c>
      <c r="B35" s="1"/>
      <c r="C35" s="41">
        <v>1200000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N73"/>
  <sheetViews>
    <sheetView topLeftCell="A25" zoomScaleNormal="100" workbookViewId="0">
      <selection activeCell="D57" sqref="D57"/>
    </sheetView>
  </sheetViews>
  <sheetFormatPr defaultColWidth="8.85546875" defaultRowHeight="15" x14ac:dyDescent="0.25"/>
  <cols>
    <col min="1" max="1" width="8.85546875" customWidth="1"/>
    <col min="2" max="2" width="21.140625" customWidth="1"/>
    <col min="3" max="3" width="17.140625" customWidth="1"/>
    <col min="4" max="4" width="27.28515625" bestFit="1" customWidth="1"/>
    <col min="5" max="5" width="24.85546875" bestFit="1" customWidth="1"/>
    <col min="6" max="6" width="19.42578125" bestFit="1" customWidth="1"/>
    <col min="7" max="7" width="19.140625" customWidth="1"/>
    <col min="8" max="8" width="14.140625" bestFit="1" customWidth="1"/>
    <col min="9" max="9" width="11.42578125" bestFit="1" customWidth="1"/>
    <col min="10" max="10" width="12.7109375" bestFit="1" customWidth="1"/>
    <col min="11" max="11" width="11.42578125" bestFit="1" customWidth="1"/>
    <col min="12" max="12" width="12.7109375" bestFit="1" customWidth="1"/>
  </cols>
  <sheetData>
    <row r="2" spans="1:14" x14ac:dyDescent="0.25">
      <c r="B2" s="63" t="s">
        <v>2</v>
      </c>
      <c r="C2" s="64"/>
      <c r="D2" s="64"/>
      <c r="E2" s="64"/>
      <c r="F2" s="65"/>
    </row>
    <row r="3" spans="1:14" x14ac:dyDescent="0.25">
      <c r="B3" s="1"/>
      <c r="C3" s="2"/>
      <c r="D3" s="2"/>
      <c r="E3" s="2"/>
      <c r="F3" s="1"/>
    </row>
    <row r="4" spans="1:14" x14ac:dyDescent="0.25">
      <c r="B4" s="2" t="s">
        <v>0</v>
      </c>
      <c r="C4" s="2" t="s">
        <v>1</v>
      </c>
      <c r="D4" s="2" t="s">
        <v>3</v>
      </c>
      <c r="E4" s="2" t="s">
        <v>4</v>
      </c>
      <c r="F4" s="4" t="s">
        <v>6</v>
      </c>
    </row>
    <row r="5" spans="1:14" x14ac:dyDescent="0.25">
      <c r="B5" s="2"/>
      <c r="C5" s="2"/>
      <c r="D5" s="3" t="s">
        <v>5</v>
      </c>
      <c r="E5" s="2"/>
      <c r="F5" s="1"/>
    </row>
    <row r="6" spans="1:14" x14ac:dyDescent="0.25">
      <c r="B6" s="2"/>
      <c r="C6" s="2"/>
      <c r="D6" s="3"/>
      <c r="E6" s="2"/>
      <c r="F6" s="1"/>
      <c r="G6" t="s">
        <v>37</v>
      </c>
      <c r="H6" t="s">
        <v>38</v>
      </c>
      <c r="I6" t="s">
        <v>39</v>
      </c>
      <c r="J6" t="s">
        <v>42</v>
      </c>
      <c r="K6" t="s">
        <v>43</v>
      </c>
      <c r="L6" t="s">
        <v>44</v>
      </c>
      <c r="M6" t="s">
        <v>40</v>
      </c>
      <c r="N6" t="s">
        <v>41</v>
      </c>
    </row>
    <row r="7" spans="1:14" x14ac:dyDescent="0.25">
      <c r="A7" t="s">
        <v>49</v>
      </c>
      <c r="B7" s="2"/>
      <c r="C7" s="13">
        <v>10000</v>
      </c>
      <c r="D7" s="13">
        <f>+C7*85%</f>
        <v>8500</v>
      </c>
      <c r="E7" s="13">
        <f>D7*30*12</f>
        <v>3060000</v>
      </c>
      <c r="F7" s="18">
        <v>30000000</v>
      </c>
      <c r="G7" s="15">
        <f>+E7*$G$25</f>
        <v>24480000</v>
      </c>
      <c r="H7" s="16">
        <f>E7*$G$26</f>
        <v>17138692.800000001</v>
      </c>
      <c r="I7" s="16">
        <f>G7-H7</f>
        <v>7341307.1999999993</v>
      </c>
      <c r="J7" s="15">
        <f>+D66</f>
        <v>8000000</v>
      </c>
      <c r="K7" s="16">
        <f>+I7-J7</f>
        <v>-658692.80000000075</v>
      </c>
      <c r="L7" s="15">
        <f>(G7/360*40)+658693</f>
        <v>3378693</v>
      </c>
      <c r="M7" s="14">
        <f>K7/(F7+L7)%</f>
        <v>-1.9733930265034667</v>
      </c>
      <c r="N7" s="14">
        <f>K7/G7%</f>
        <v>-2.6907385620915063</v>
      </c>
    </row>
    <row r="8" spans="1:14" x14ac:dyDescent="0.25">
      <c r="B8" s="12"/>
      <c r="C8" s="13"/>
      <c r="D8" s="13"/>
      <c r="E8" s="13"/>
      <c r="F8" s="18"/>
      <c r="G8" s="15"/>
      <c r="H8" s="16"/>
      <c r="I8" s="16"/>
      <c r="J8" s="15"/>
      <c r="K8" s="16"/>
      <c r="L8" s="15"/>
      <c r="M8" s="14"/>
      <c r="N8" s="14"/>
    </row>
    <row r="9" spans="1:14" x14ac:dyDescent="0.25">
      <c r="A9" t="s">
        <v>50</v>
      </c>
      <c r="B9" s="11"/>
      <c r="C9" s="13">
        <v>10000</v>
      </c>
      <c r="D9" s="13">
        <f>+C9*85%</f>
        <v>8500</v>
      </c>
      <c r="E9" s="13">
        <f>D9*30*2</f>
        <v>510000</v>
      </c>
      <c r="F9" s="18"/>
      <c r="G9" s="15"/>
      <c r="H9" s="16"/>
      <c r="I9" s="16"/>
      <c r="J9" s="15"/>
      <c r="K9" s="16"/>
      <c r="L9" s="15"/>
      <c r="M9" s="14"/>
      <c r="N9" s="14"/>
    </row>
    <row r="10" spans="1:14" x14ac:dyDescent="0.25">
      <c r="B10" s="11"/>
      <c r="C10" s="13">
        <v>20000</v>
      </c>
      <c r="D10" s="13">
        <f>+C10*85%</f>
        <v>17000</v>
      </c>
      <c r="E10" s="13">
        <f>D10*30*9</f>
        <v>4590000</v>
      </c>
      <c r="F10" s="18">
        <v>25000000</v>
      </c>
      <c r="G10" s="15">
        <f>(E10+E9)*$G$25</f>
        <v>40800000</v>
      </c>
      <c r="H10" s="16">
        <f>(E10+E9)*$G$26</f>
        <v>28564488</v>
      </c>
      <c r="I10" s="16">
        <f>G10-H10</f>
        <v>12235512</v>
      </c>
      <c r="J10" s="15">
        <f>+J7*1.1</f>
        <v>8800000</v>
      </c>
      <c r="K10" s="16">
        <f>+I10-J10</f>
        <v>3435512</v>
      </c>
      <c r="L10" s="15">
        <f>(G10/360*40)-3434512+L7</f>
        <v>4477514.333333333</v>
      </c>
      <c r="M10" s="14">
        <f>K10/(F10+L10)%</f>
        <v>11.654686895072102</v>
      </c>
      <c r="N10" s="14">
        <f>K10/G10%</f>
        <v>8.4203725490196071</v>
      </c>
    </row>
    <row r="11" spans="1:14" x14ac:dyDescent="0.25">
      <c r="B11" s="12"/>
      <c r="C11" s="13"/>
      <c r="D11" s="13"/>
      <c r="E11" s="13"/>
      <c r="F11" s="19"/>
      <c r="G11" s="15"/>
      <c r="H11" s="16"/>
      <c r="I11" s="16"/>
      <c r="J11" s="15"/>
      <c r="K11" s="16"/>
      <c r="L11" s="15"/>
      <c r="M11" s="14"/>
      <c r="N11" s="14"/>
    </row>
    <row r="12" spans="1:14" x14ac:dyDescent="0.25">
      <c r="A12" t="s">
        <v>51</v>
      </c>
      <c r="B12" s="11"/>
      <c r="C12" s="13">
        <v>20000</v>
      </c>
      <c r="D12" s="13">
        <f>+C12*85%</f>
        <v>17000</v>
      </c>
      <c r="E12" s="13">
        <f>D12*30*5</f>
        <v>2550000</v>
      </c>
      <c r="F12" s="15"/>
    </row>
    <row r="13" spans="1:14" x14ac:dyDescent="0.25">
      <c r="B13" s="11"/>
      <c r="C13" s="13">
        <v>30000</v>
      </c>
      <c r="D13" s="13">
        <f>+C13*85%</f>
        <v>25500</v>
      </c>
      <c r="E13" s="13">
        <f>D13*30*6</f>
        <v>4590000</v>
      </c>
      <c r="F13" s="18">
        <v>25000000</v>
      </c>
      <c r="G13" s="15">
        <f>(E13+E12)*$G$25</f>
        <v>57120000</v>
      </c>
      <c r="H13" s="16">
        <f>(E13+E12)*$G$26</f>
        <v>39990283.200000003</v>
      </c>
      <c r="I13" s="16">
        <f>G13-H13</f>
        <v>17129716.799999997</v>
      </c>
      <c r="J13" s="15">
        <f>+J10*1.1</f>
        <v>9680000</v>
      </c>
      <c r="K13" s="16">
        <f>+I13-J13</f>
        <v>7449716.799999997</v>
      </c>
      <c r="L13" s="15">
        <f>(G13/360*40)-7449717+L10</f>
        <v>3374463.9999999991</v>
      </c>
      <c r="M13" s="14">
        <f>K13/(F13+L13)%</f>
        <v>26.255004499820672</v>
      </c>
      <c r="N13" s="14">
        <f>K13/G13%</f>
        <v>13.042221288515401</v>
      </c>
    </row>
    <row r="14" spans="1:14" x14ac:dyDescent="0.25">
      <c r="B14" s="12"/>
      <c r="F14" s="15"/>
    </row>
    <row r="15" spans="1:14" x14ac:dyDescent="0.25">
      <c r="A15" t="s">
        <v>52</v>
      </c>
      <c r="B15" s="12"/>
      <c r="C15" s="13">
        <v>30000</v>
      </c>
      <c r="D15" s="13">
        <f>+C15*85%</f>
        <v>25500</v>
      </c>
      <c r="E15" s="13">
        <f>D15*30*5</f>
        <v>3825000</v>
      </c>
      <c r="F15" s="18"/>
      <c r="G15" s="15"/>
      <c r="H15" s="16"/>
      <c r="I15" s="16"/>
      <c r="J15" s="15"/>
      <c r="K15" s="16"/>
      <c r="L15" s="15"/>
      <c r="M15" s="14"/>
      <c r="N15" s="14"/>
    </row>
    <row r="16" spans="1:14" x14ac:dyDescent="0.25">
      <c r="B16" s="12"/>
      <c r="C16" s="13">
        <v>40000</v>
      </c>
      <c r="D16" s="13">
        <f>+C16*85%</f>
        <v>34000</v>
      </c>
      <c r="E16" s="13">
        <f>D16*30*6</f>
        <v>6120000</v>
      </c>
      <c r="F16" s="18">
        <v>17500000</v>
      </c>
      <c r="G16" s="15">
        <f>(E16+E15)*$G$25</f>
        <v>79560000</v>
      </c>
      <c r="H16" s="16">
        <f>(E16+E15)*$G$26</f>
        <v>55700751.600000001</v>
      </c>
      <c r="I16" s="16">
        <f>G16-H16</f>
        <v>23859248.399999999</v>
      </c>
      <c r="J16" s="15">
        <f>+J13*1.1</f>
        <v>10648000</v>
      </c>
      <c r="K16" s="16">
        <f>+I16-J16</f>
        <v>13211248.399999999</v>
      </c>
      <c r="L16" s="20">
        <f>(G16/360*40)-13211248+L13</f>
        <v>-996784.00000000093</v>
      </c>
      <c r="M16" s="14">
        <f>K16/(F19+L16)%</f>
        <v>80.052569147734587</v>
      </c>
      <c r="N16" s="14">
        <f>K16/G16%</f>
        <v>16.605390145801909</v>
      </c>
    </row>
    <row r="17" spans="1:14" x14ac:dyDescent="0.25">
      <c r="B17" s="11"/>
      <c r="C17" s="13"/>
      <c r="D17" s="13"/>
      <c r="E17" s="13"/>
      <c r="F17" s="18"/>
      <c r="G17" s="15"/>
      <c r="H17" s="16"/>
      <c r="I17" s="16"/>
      <c r="J17" s="15"/>
      <c r="K17" s="16"/>
      <c r="L17" s="15"/>
      <c r="M17" s="14"/>
      <c r="N17" s="14"/>
    </row>
    <row r="18" spans="1:14" x14ac:dyDescent="0.25">
      <c r="A18" t="s">
        <v>53</v>
      </c>
      <c r="B18" s="12"/>
      <c r="C18" s="13">
        <v>40000</v>
      </c>
      <c r="D18" s="13">
        <f>+C18*85%</f>
        <v>34000</v>
      </c>
      <c r="E18" s="13">
        <f>D18*30*5</f>
        <v>5100000</v>
      </c>
      <c r="F18" s="18"/>
      <c r="G18" s="15"/>
      <c r="H18" s="16"/>
      <c r="I18" s="16"/>
      <c r="J18" s="15"/>
      <c r="K18" s="16"/>
      <c r="L18" s="15"/>
      <c r="M18" s="14"/>
      <c r="N18" s="14"/>
    </row>
    <row r="19" spans="1:14" x14ac:dyDescent="0.25">
      <c r="B19" s="12"/>
      <c r="C19" s="13">
        <v>50000</v>
      </c>
      <c r="D19" s="13">
        <f>+C19*85%</f>
        <v>42500</v>
      </c>
      <c r="E19" s="13">
        <f>D19*30*6</f>
        <v>7650000</v>
      </c>
      <c r="F19" s="18">
        <v>17500000</v>
      </c>
      <c r="G19" s="15">
        <f>(E19+E18)*$G$25</f>
        <v>102000000</v>
      </c>
      <c r="H19" s="16">
        <f>(E19+E18)*$G$26</f>
        <v>71411220</v>
      </c>
      <c r="I19" s="16">
        <f>G19-H19</f>
        <v>30588780</v>
      </c>
      <c r="J19" s="15">
        <f>+J16*1.1</f>
        <v>11712800.000000002</v>
      </c>
      <c r="K19" s="16">
        <f>+I19-J19</f>
        <v>18875980</v>
      </c>
      <c r="L19" s="20">
        <f>(G19/360*40)-18875980+L16</f>
        <v>-8539430.6666666679</v>
      </c>
      <c r="M19" s="14">
        <f>K19/(F20+L19)%</f>
        <v>-221.04494710264052</v>
      </c>
      <c r="N19" s="14">
        <f>K19/G19%</f>
        <v>18.505862745098039</v>
      </c>
    </row>
    <row r="20" spans="1:14" x14ac:dyDescent="0.25">
      <c r="B20" s="2"/>
      <c r="C20" s="13"/>
      <c r="D20" s="13"/>
      <c r="E20" s="13"/>
      <c r="F20" s="1"/>
    </row>
    <row r="21" spans="1:14" x14ac:dyDescent="0.25">
      <c r="E21" s="16">
        <f>SUM(E7:E20)</f>
        <v>37995000</v>
      </c>
      <c r="F21" s="16">
        <f>SUM(F7:F20)</f>
        <v>115000000</v>
      </c>
    </row>
    <row r="23" spans="1:14" x14ac:dyDescent="0.25">
      <c r="B23" s="66" t="s">
        <v>25</v>
      </c>
      <c r="C23" s="66"/>
      <c r="D23" s="66"/>
    </row>
    <row r="25" spans="1:14" x14ac:dyDescent="0.25">
      <c r="B25" t="s">
        <v>7</v>
      </c>
      <c r="F25" t="s">
        <v>45</v>
      </c>
      <c r="G25">
        <v>8</v>
      </c>
    </row>
    <row r="26" spans="1:14" x14ac:dyDescent="0.25">
      <c r="F26" t="s">
        <v>46</v>
      </c>
      <c r="G26" s="17">
        <f>+D50</f>
        <v>5.6008800000000001</v>
      </c>
    </row>
    <row r="27" spans="1:14" x14ac:dyDescent="0.25">
      <c r="A27">
        <v>1</v>
      </c>
      <c r="B27" t="s">
        <v>10</v>
      </c>
    </row>
    <row r="28" spans="1:14" x14ac:dyDescent="0.25">
      <c r="A28">
        <v>2</v>
      </c>
      <c r="B28" t="s">
        <v>16</v>
      </c>
    </row>
    <row r="29" spans="1:14" x14ac:dyDescent="0.25">
      <c r="A29">
        <v>3</v>
      </c>
      <c r="B29" t="s">
        <v>11</v>
      </c>
    </row>
    <row r="30" spans="1:14" x14ac:dyDescent="0.25">
      <c r="A30">
        <v>4</v>
      </c>
      <c r="B30" t="s">
        <v>17</v>
      </c>
    </row>
    <row r="32" spans="1:14" x14ac:dyDescent="0.25">
      <c r="A32">
        <v>1</v>
      </c>
      <c r="B32" t="s">
        <v>8</v>
      </c>
      <c r="D32">
        <v>1062.5999999999999</v>
      </c>
    </row>
    <row r="33" spans="1:5" x14ac:dyDescent="0.25">
      <c r="A33">
        <v>2</v>
      </c>
      <c r="B33" t="s">
        <v>12</v>
      </c>
      <c r="D33">
        <v>357</v>
      </c>
    </row>
    <row r="35" spans="1:5" x14ac:dyDescent="0.25">
      <c r="D35" s="9" t="s">
        <v>26</v>
      </c>
    </row>
    <row r="36" spans="1:5" x14ac:dyDescent="0.25">
      <c r="A36" s="1">
        <v>1</v>
      </c>
      <c r="B36" s="51" t="s">
        <v>27</v>
      </c>
      <c r="C36" s="52"/>
      <c r="D36" s="5">
        <f>D32/D33</f>
        <v>2.9764705882352938</v>
      </c>
      <c r="E36">
        <f>D36*357</f>
        <v>1062.5999999999999</v>
      </c>
    </row>
    <row r="37" spans="1:5" x14ac:dyDescent="0.25">
      <c r="A37" s="1">
        <v>2</v>
      </c>
      <c r="B37" s="1" t="s">
        <v>9</v>
      </c>
      <c r="C37" s="1"/>
      <c r="D37" s="5">
        <f>D36*0.02</f>
        <v>5.9529411764705879E-2</v>
      </c>
      <c r="E37">
        <f t="shared" ref="E37:E44" si="0">D37*357</f>
        <v>21.251999999999999</v>
      </c>
    </row>
    <row r="38" spans="1:5" x14ac:dyDescent="0.25">
      <c r="A38" s="53">
        <v>3</v>
      </c>
      <c r="B38" s="57" t="s">
        <v>20</v>
      </c>
      <c r="C38" s="57"/>
      <c r="D38" s="53">
        <v>0.14000000000000001</v>
      </c>
      <c r="E38">
        <f t="shared" si="0"/>
        <v>49.980000000000004</v>
      </c>
    </row>
    <row r="39" spans="1:5" x14ac:dyDescent="0.25">
      <c r="A39" s="54"/>
      <c r="B39" s="57"/>
      <c r="C39" s="57"/>
      <c r="D39" s="54"/>
      <c r="E39">
        <f t="shared" si="0"/>
        <v>0</v>
      </c>
    </row>
    <row r="40" spans="1:5" x14ac:dyDescent="0.25">
      <c r="A40" s="1">
        <v>4</v>
      </c>
      <c r="B40" s="1" t="s">
        <v>13</v>
      </c>
      <c r="C40" s="1"/>
      <c r="D40" s="1">
        <v>0.06</v>
      </c>
      <c r="E40">
        <f t="shared" si="0"/>
        <v>21.419999999999998</v>
      </c>
    </row>
    <row r="41" spans="1:5" x14ac:dyDescent="0.25">
      <c r="A41" s="1">
        <v>5</v>
      </c>
      <c r="B41" s="51" t="s">
        <v>14</v>
      </c>
      <c r="C41" s="52"/>
      <c r="D41" s="1">
        <v>0.1</v>
      </c>
      <c r="E41">
        <f t="shared" si="0"/>
        <v>35.700000000000003</v>
      </c>
    </row>
    <row r="42" spans="1:5" x14ac:dyDescent="0.25">
      <c r="A42" s="1">
        <v>6</v>
      </c>
      <c r="B42" s="51" t="s">
        <v>15</v>
      </c>
      <c r="C42" s="52"/>
      <c r="D42" s="1">
        <v>0.1</v>
      </c>
      <c r="E42">
        <f t="shared" si="0"/>
        <v>35.700000000000003</v>
      </c>
    </row>
    <row r="43" spans="1:5" x14ac:dyDescent="0.25">
      <c r="A43" s="1">
        <v>7</v>
      </c>
      <c r="B43" s="51" t="s">
        <v>18</v>
      </c>
      <c r="C43" s="52"/>
      <c r="D43" s="1">
        <v>0.65</v>
      </c>
      <c r="E43">
        <f t="shared" si="0"/>
        <v>232.05</v>
      </c>
    </row>
    <row r="44" spans="1:5" x14ac:dyDescent="0.25">
      <c r="A44" s="1">
        <v>8</v>
      </c>
      <c r="B44" s="51" t="s">
        <v>22</v>
      </c>
      <c r="C44" s="52"/>
      <c r="D44" s="1">
        <v>0.1</v>
      </c>
      <c r="E44">
        <f t="shared" si="0"/>
        <v>35.700000000000003</v>
      </c>
    </row>
    <row r="45" spans="1:5" x14ac:dyDescent="0.25">
      <c r="A45" s="1"/>
      <c r="B45" s="55" t="s">
        <v>19</v>
      </c>
      <c r="C45" s="56"/>
      <c r="D45" s="6">
        <f>SUM(D36:D44)</f>
        <v>4.1859999999999999</v>
      </c>
    </row>
    <row r="47" spans="1:5" x14ac:dyDescent="0.25">
      <c r="A47">
        <v>9</v>
      </c>
      <c r="B47" s="60" t="s">
        <v>31</v>
      </c>
      <c r="C47" s="60"/>
      <c r="D47">
        <v>1</v>
      </c>
    </row>
    <row r="48" spans="1:5" x14ac:dyDescent="0.25">
      <c r="A48">
        <v>10</v>
      </c>
      <c r="B48" t="s">
        <v>48</v>
      </c>
      <c r="D48" s="14">
        <f>(D45+D47)*8%</f>
        <v>0.41488000000000003</v>
      </c>
    </row>
    <row r="50" spans="1:4" x14ac:dyDescent="0.25">
      <c r="B50" s="61" t="s">
        <v>29</v>
      </c>
      <c r="C50" s="62"/>
      <c r="D50" s="7">
        <f>SUM(D45:D49)</f>
        <v>5.6008800000000001</v>
      </c>
    </row>
    <row r="52" spans="1:4" x14ac:dyDescent="0.25">
      <c r="B52" s="60" t="s">
        <v>21</v>
      </c>
      <c r="C52" s="60"/>
    </row>
    <row r="54" spans="1:4" x14ac:dyDescent="0.25">
      <c r="B54" s="58" t="s">
        <v>30</v>
      </c>
      <c r="C54" s="59"/>
      <c r="D54" s="8" t="s">
        <v>28</v>
      </c>
    </row>
    <row r="55" spans="1:4" ht="14.45" customHeight="1" x14ac:dyDescent="0.25">
      <c r="A55">
        <v>1</v>
      </c>
      <c r="B55" s="57" t="s">
        <v>24</v>
      </c>
      <c r="C55" s="57"/>
      <c r="D55" s="1">
        <v>0.21</v>
      </c>
    </row>
    <row r="56" spans="1:4" x14ac:dyDescent="0.25">
      <c r="B56" s="57"/>
      <c r="C56" s="57"/>
      <c r="D56" s="1"/>
    </row>
    <row r="57" spans="1:4" x14ac:dyDescent="0.25">
      <c r="A57">
        <v>2</v>
      </c>
      <c r="B57" s="1" t="s">
        <v>23</v>
      </c>
      <c r="C57" s="1"/>
      <c r="D57" s="1">
        <v>0.11</v>
      </c>
    </row>
    <row r="60" spans="1:4" x14ac:dyDescent="0.25">
      <c r="B60" s="10" t="s">
        <v>32</v>
      </c>
      <c r="C60" s="10"/>
      <c r="D60" s="10" t="s">
        <v>34</v>
      </c>
    </row>
    <row r="62" spans="1:4" x14ac:dyDescent="0.25">
      <c r="A62">
        <v>1</v>
      </c>
      <c r="B62" t="s">
        <v>33</v>
      </c>
      <c r="D62" s="15">
        <v>400000</v>
      </c>
    </row>
    <row r="63" spans="1:4" x14ac:dyDescent="0.25">
      <c r="A63">
        <v>2</v>
      </c>
      <c r="B63" t="s">
        <v>36</v>
      </c>
      <c r="D63" s="15">
        <v>400000</v>
      </c>
    </row>
    <row r="64" spans="1:4" x14ac:dyDescent="0.25">
      <c r="A64">
        <v>3</v>
      </c>
      <c r="B64" t="s">
        <v>47</v>
      </c>
      <c r="D64" s="15">
        <f>500000*12</f>
        <v>6000000</v>
      </c>
    </row>
    <row r="65" spans="1:4" x14ac:dyDescent="0.25">
      <c r="A65">
        <v>4</v>
      </c>
      <c r="B65" t="s">
        <v>35</v>
      </c>
      <c r="D65" s="15">
        <v>1200000</v>
      </c>
    </row>
    <row r="66" spans="1:4" x14ac:dyDescent="0.25">
      <c r="D66" s="15">
        <f>SUM(D62:D65)</f>
        <v>8000000</v>
      </c>
    </row>
    <row r="67" spans="1:4" x14ac:dyDescent="0.25">
      <c r="B67" s="50"/>
      <c r="C67" s="50"/>
      <c r="D67" s="50"/>
    </row>
    <row r="73" spans="1:4" x14ac:dyDescent="0.25">
      <c r="A73">
        <v>6</v>
      </c>
    </row>
  </sheetData>
  <mergeCells count="17">
    <mergeCell ref="A38:A39"/>
    <mergeCell ref="B2:F2"/>
    <mergeCell ref="B38:C39"/>
    <mergeCell ref="B36:C36"/>
    <mergeCell ref="B41:C41"/>
    <mergeCell ref="B23:D23"/>
    <mergeCell ref="B67:D67"/>
    <mergeCell ref="B43:C43"/>
    <mergeCell ref="D38:D39"/>
    <mergeCell ref="B45:C45"/>
    <mergeCell ref="B55:C56"/>
    <mergeCell ref="B54:C54"/>
    <mergeCell ref="B44:C44"/>
    <mergeCell ref="B47:C47"/>
    <mergeCell ref="B52:C52"/>
    <mergeCell ref="B50:C50"/>
    <mergeCell ref="B42:C42"/>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6F3D8-6C3A-E245-ADB7-2DEB8A8C5C83}">
  <dimension ref="A1:H21"/>
  <sheetViews>
    <sheetView workbookViewId="0">
      <selection activeCell="D3" sqref="D3:E4"/>
    </sheetView>
  </sheetViews>
  <sheetFormatPr defaultColWidth="10.85546875" defaultRowHeight="15" x14ac:dyDescent="0.25"/>
  <cols>
    <col min="1" max="1" width="23.7109375" style="22" customWidth="1"/>
    <col min="2" max="2" width="55.7109375" style="22" customWidth="1"/>
    <col min="3" max="3" width="2.85546875" style="25" customWidth="1"/>
    <col min="4" max="4" width="19.85546875" style="22" customWidth="1"/>
    <col min="5" max="5" width="73.140625" style="22" customWidth="1"/>
    <col min="6" max="6" width="3" style="24" customWidth="1"/>
    <col min="7" max="7" width="31.7109375" style="22" customWidth="1"/>
    <col min="8" max="8" width="74.42578125" style="22" customWidth="1"/>
    <col min="9" max="16384" width="10.85546875" style="22"/>
  </cols>
  <sheetData>
    <row r="1" spans="1:8" x14ac:dyDescent="0.25">
      <c r="A1" s="21" t="s">
        <v>54</v>
      </c>
      <c r="B1" s="21" t="s">
        <v>57</v>
      </c>
      <c r="D1" s="23" t="s">
        <v>55</v>
      </c>
      <c r="E1" s="23" t="s">
        <v>57</v>
      </c>
      <c r="G1" s="28" t="s">
        <v>56</v>
      </c>
      <c r="H1" s="28" t="s">
        <v>57</v>
      </c>
    </row>
    <row r="2" spans="1:8" ht="30" x14ac:dyDescent="0.25">
      <c r="A2" s="22" t="s">
        <v>80</v>
      </c>
      <c r="B2" s="22" t="s">
        <v>79</v>
      </c>
      <c r="D2" s="22" t="s">
        <v>73</v>
      </c>
      <c r="E2" s="22" t="s">
        <v>75</v>
      </c>
      <c r="G2" s="22" t="s">
        <v>67</v>
      </c>
      <c r="H2" s="22" t="s">
        <v>66</v>
      </c>
    </row>
    <row r="3" spans="1:8" ht="45" x14ac:dyDescent="0.25">
      <c r="A3" s="22" t="s">
        <v>68</v>
      </c>
      <c r="D3" s="22" t="s">
        <v>95</v>
      </c>
      <c r="E3" s="22" t="s">
        <v>96</v>
      </c>
      <c r="G3" s="22" t="s">
        <v>65</v>
      </c>
      <c r="H3" s="22" t="s">
        <v>92</v>
      </c>
    </row>
    <row r="4" spans="1:8" ht="60" x14ac:dyDescent="0.25">
      <c r="A4" s="22" t="s">
        <v>83</v>
      </c>
      <c r="B4" s="22" t="s">
        <v>70</v>
      </c>
      <c r="D4" s="22" t="s">
        <v>74</v>
      </c>
      <c r="E4" s="22" t="s">
        <v>90</v>
      </c>
      <c r="G4" s="22" t="s">
        <v>93</v>
      </c>
      <c r="H4" s="22" t="s">
        <v>94</v>
      </c>
    </row>
    <row r="5" spans="1:8" ht="45" x14ac:dyDescent="0.25">
      <c r="A5" s="22" t="s">
        <v>84</v>
      </c>
      <c r="B5" s="22" t="s">
        <v>86</v>
      </c>
      <c r="E5" s="26" t="s">
        <v>97</v>
      </c>
    </row>
    <row r="6" spans="1:8" ht="30" x14ac:dyDescent="0.25">
      <c r="A6" s="22" t="s">
        <v>88</v>
      </c>
      <c r="B6" s="22" t="s">
        <v>89</v>
      </c>
    </row>
    <row r="7" spans="1:8" ht="30" x14ac:dyDescent="0.25">
      <c r="A7" s="22" t="s">
        <v>71</v>
      </c>
    </row>
    <row r="8" spans="1:8" ht="30" x14ac:dyDescent="0.25">
      <c r="A8" s="22" t="s">
        <v>72</v>
      </c>
    </row>
    <row r="9" spans="1:8" ht="30" x14ac:dyDescent="0.25">
      <c r="A9" s="22" t="s">
        <v>78</v>
      </c>
      <c r="B9" s="22" t="s">
        <v>85</v>
      </c>
    </row>
    <row r="10" spans="1:8" x14ac:dyDescent="0.25">
      <c r="A10" s="22" t="s">
        <v>81</v>
      </c>
    </row>
    <row r="11" spans="1:8" x14ac:dyDescent="0.25">
      <c r="A11" s="22" t="s">
        <v>82</v>
      </c>
    </row>
    <row r="12" spans="1:8" x14ac:dyDescent="0.25">
      <c r="A12" s="22" t="s">
        <v>87</v>
      </c>
      <c r="B12" s="22" t="s">
        <v>98</v>
      </c>
    </row>
    <row r="13" spans="1:8" x14ac:dyDescent="0.25">
      <c r="A13" s="22" t="s">
        <v>91</v>
      </c>
    </row>
    <row r="16" spans="1:8" x14ac:dyDescent="0.25">
      <c r="A16" s="27" t="s">
        <v>58</v>
      </c>
      <c r="B16" s="27" t="s">
        <v>57</v>
      </c>
    </row>
    <row r="17" spans="1:4" x14ac:dyDescent="0.25">
      <c r="A17" s="22" t="s">
        <v>61</v>
      </c>
      <c r="B17" s="22" t="s">
        <v>63</v>
      </c>
      <c r="C17" s="25" t="s">
        <v>111</v>
      </c>
      <c r="D17" s="22" t="s">
        <v>111</v>
      </c>
    </row>
    <row r="18" spans="1:4" x14ac:dyDescent="0.25">
      <c r="A18" s="22" t="s">
        <v>60</v>
      </c>
      <c r="B18" s="22" t="s">
        <v>64</v>
      </c>
      <c r="D18" s="22" t="s">
        <v>111</v>
      </c>
    </row>
    <row r="19" spans="1:4" ht="30" x14ac:dyDescent="0.25">
      <c r="A19" s="22" t="s">
        <v>59</v>
      </c>
      <c r="B19" s="22" t="s">
        <v>69</v>
      </c>
    </row>
    <row r="20" spans="1:4" ht="60" x14ac:dyDescent="0.25">
      <c r="A20" s="22" t="s">
        <v>62</v>
      </c>
      <c r="B20" s="22" t="s">
        <v>99</v>
      </c>
    </row>
    <row r="21" spans="1:4" ht="30" x14ac:dyDescent="0.25">
      <c r="A21" s="22" t="s">
        <v>76</v>
      </c>
      <c r="B21" s="22" t="s">
        <v>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634F1-06DD-44C6-B6A8-C31BC9875853}">
  <dimension ref="A1:C6"/>
  <sheetViews>
    <sheetView workbookViewId="0">
      <selection activeCell="B6" sqref="B6"/>
    </sheetView>
  </sheetViews>
  <sheetFormatPr defaultRowHeight="15" x14ac:dyDescent="0.25"/>
  <cols>
    <col min="1" max="2" width="48.7109375" customWidth="1"/>
  </cols>
  <sheetData>
    <row r="1" spans="1:3" x14ac:dyDescent="0.25">
      <c r="A1" s="27" t="s">
        <v>58</v>
      </c>
      <c r="B1" s="27" t="s">
        <v>105</v>
      </c>
      <c r="C1" s="27" t="s">
        <v>106</v>
      </c>
    </row>
    <row r="2" spans="1:3" x14ac:dyDescent="0.25">
      <c r="A2" s="22" t="s">
        <v>61</v>
      </c>
      <c r="B2" s="22" t="s">
        <v>63</v>
      </c>
      <c r="C2" s="34">
        <v>10000</v>
      </c>
    </row>
    <row r="3" spans="1:3" x14ac:dyDescent="0.25">
      <c r="A3" s="22" t="s">
        <v>60</v>
      </c>
      <c r="B3" s="22" t="s">
        <v>64</v>
      </c>
      <c r="C3" s="29">
        <v>0.05</v>
      </c>
    </row>
    <row r="4" spans="1:3" ht="75" x14ac:dyDescent="0.25">
      <c r="A4" s="22" t="s">
        <v>62</v>
      </c>
      <c r="B4" s="22" t="s">
        <v>99</v>
      </c>
      <c r="C4">
        <v>14</v>
      </c>
    </row>
    <row r="5" spans="1:3" x14ac:dyDescent="0.25">
      <c r="A5" s="22" t="s">
        <v>59</v>
      </c>
      <c r="B5" s="22" t="s">
        <v>107</v>
      </c>
      <c r="C5">
        <v>357</v>
      </c>
    </row>
    <row r="6" spans="1:3" ht="30" x14ac:dyDescent="0.25">
      <c r="A6" s="22" t="s">
        <v>76</v>
      </c>
      <c r="B6" s="22" t="s">
        <v>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Projection Cage Free</vt:lpstr>
      <vt:lpstr>Basic details for egg calc.</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2021-09-30T17:06:39Z</dcterms:modified>
</cp:coreProperties>
</file>