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M:\Projects\Beacon\beacon\analysis\sept2021-week1-analysis\"/>
    </mc:Choice>
  </mc:AlternateContent>
  <xr:revisionPtr revIDLastSave="0" documentId="13_ncr:1_{9FAF1DED-F6EF-4218-BA34-3F8CCC139E81}" xr6:coauthVersionLast="47" xr6:coauthVersionMax="47" xr10:uidLastSave="{00000000-0000-0000-0000-000000000000}"/>
  <bookViews>
    <workbookView xWindow="19090" yWindow="355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Sheet1!$A$1:$F$791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91" i="1" l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<sst xmlns="http://schemas.openxmlformats.org/spreadsheetml/2006/main" count="2376" uniqueCount="33">
  <si>
    <t>run</t>
  </si>
  <si>
    <t>eventid</t>
  </si>
  <si>
    <t>key</t>
  </si>
  <si>
    <t>monutau</t>
  </si>
  <si>
    <t>notes</t>
  </si>
  <si>
    <t>pass_key</t>
  </si>
  <si>
    <t>bad</t>
  </si>
  <si>
    <t>partial</t>
  </si>
  <si>
    <t>ambiguous</t>
  </si>
  <si>
    <t>maybe</t>
  </si>
  <si>
    <t>unlabeled</t>
  </si>
  <si>
    <t>pass</t>
  </si>
  <si>
    <t>failed</t>
  </si>
  <si>
    <t>good</t>
  </si>
  <si>
    <t>maybe-a21c82</t>
  </si>
  <si>
    <t>no-obvious-airpl</t>
  </si>
  <si>
    <t>maybe-a27aee</t>
  </si>
  <si>
    <t>a642ed</t>
  </si>
  <si>
    <t>a6d3c2</t>
  </si>
  <si>
    <t>lightning</t>
  </si>
  <si>
    <t>aaaddc</t>
  </si>
  <si>
    <t>maybe-airplanes</t>
  </si>
  <si>
    <t>a26381</t>
  </si>
  <si>
    <t>ac8d6a</t>
  </si>
  <si>
    <t>maybe-a923ee</t>
  </si>
  <si>
    <t>ac67fc</t>
  </si>
  <si>
    <t>acce3c</t>
  </si>
  <si>
    <t>0d0b31</t>
  </si>
  <si>
    <t>a291ea</t>
  </si>
  <si>
    <t>a27fdb</t>
  </si>
  <si>
    <t>adf493</t>
  </si>
  <si>
    <t>a5dd1c</t>
  </si>
  <si>
    <t>a0b35c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</si>
</sst>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1"/>
  <sheetViews>
    <sheetView tabSelected="1" workbookViewId="0">
      <selection activeCell="I14" sqref="I14"/>
    </sheetView>
  </sheetViews>
  <sheetFormatPr defaultRowHeight="15" x14ac:dyDescent="0.25"/>
  <cols>
    <col min="5" max="5" width="2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5734</v>
      </c>
      <c r="B2">
        <v>60755</v>
      </c>
      <c r="C2" t="s">
        <v>6</v>
      </c>
      <c r="D2" t="str">
        <f>HYPERLINK("https://users.rcc.uchicago.edu/~cozzyd/monutau/#event&amp;run=5734&amp;entry=60755", "link")</f>
        <v>link</v>
      </c>
      <c r="E2" t="s">
        <v>6</v>
      </c>
      <c r="F2" t="s">
        <v>7</v>
      </c>
    </row>
    <row r="3" spans="1:6" x14ac:dyDescent="0.25">
      <c r="A3">
        <v>5736</v>
      </c>
      <c r="B3">
        <v>64877</v>
      </c>
      <c r="C3" t="s">
        <v>8</v>
      </c>
      <c r="D3" t="str">
        <f>HYPERLINK("https://users.rcc.uchicago.edu/~cozzyd/monutau/#event&amp;run=5736&amp;entry=64877", "link")</f>
        <v>link</v>
      </c>
      <c r="E3" t="s">
        <v>9</v>
      </c>
      <c r="F3" t="s">
        <v>10</v>
      </c>
    </row>
    <row r="4" spans="1:6" x14ac:dyDescent="0.25">
      <c r="A4">
        <v>5740</v>
      </c>
      <c r="B4">
        <v>53285</v>
      </c>
      <c r="C4" t="s">
        <v>6</v>
      </c>
      <c r="D4" t="str">
        <f>HYPERLINK("https://users.rcc.uchicago.edu/~cozzyd/monutau/#event&amp;run=5740&amp;entry=53285", "link")</f>
        <v>link</v>
      </c>
      <c r="E4" t="s">
        <v>6</v>
      </c>
      <c r="F4" t="s">
        <v>11</v>
      </c>
    </row>
    <row r="5" spans="1:6" x14ac:dyDescent="0.25">
      <c r="A5">
        <v>5740</v>
      </c>
      <c r="B5">
        <v>99258</v>
      </c>
      <c r="C5" t="s">
        <v>6</v>
      </c>
      <c r="D5" t="str">
        <f>HYPERLINK("https://users.rcc.uchicago.edu/~cozzyd/monutau/#event&amp;run=5740&amp;entry=99258", "link")</f>
        <v>link</v>
      </c>
      <c r="E5" t="s">
        <v>6</v>
      </c>
      <c r="F5" t="s">
        <v>12</v>
      </c>
    </row>
    <row r="6" spans="1:6" x14ac:dyDescent="0.25">
      <c r="A6">
        <v>5742</v>
      </c>
      <c r="B6">
        <v>37142</v>
      </c>
      <c r="C6" t="s">
        <v>6</v>
      </c>
      <c r="D6" t="str">
        <f>HYPERLINK("https://users.rcc.uchicago.edu/~cozzyd/monutau/#event&amp;run=5742&amp;entry=37142", "link")</f>
        <v>link</v>
      </c>
      <c r="E6" t="s">
        <v>6</v>
      </c>
      <c r="F6" t="s">
        <v>11</v>
      </c>
    </row>
    <row r="7" spans="1:6" x14ac:dyDescent="0.25">
      <c r="A7">
        <v>5742</v>
      </c>
      <c r="B7">
        <v>63938</v>
      </c>
      <c r="C7" t="s">
        <v>6</v>
      </c>
      <c r="D7" t="str">
        <f>HYPERLINK("https://users.rcc.uchicago.edu/~cozzyd/monutau/#event&amp;run=5742&amp;entry=63938", "link")</f>
        <v>link</v>
      </c>
      <c r="E7" t="s">
        <v>6</v>
      </c>
      <c r="F7" t="s">
        <v>12</v>
      </c>
    </row>
    <row r="8" spans="1:6" x14ac:dyDescent="0.25">
      <c r="A8">
        <v>5745</v>
      </c>
      <c r="B8">
        <v>15864</v>
      </c>
      <c r="C8" t="s">
        <v>6</v>
      </c>
      <c r="D8" t="str">
        <f>HYPERLINK("https://users.rcc.uchicago.edu/~cozzyd/monutau/#event&amp;run=5745&amp;entry=15864", "link")</f>
        <v>link</v>
      </c>
      <c r="E8" t="s">
        <v>6</v>
      </c>
      <c r="F8" t="s">
        <v>11</v>
      </c>
    </row>
    <row r="9" spans="1:6" x14ac:dyDescent="0.25">
      <c r="A9">
        <v>5746</v>
      </c>
      <c r="B9">
        <v>113113</v>
      </c>
      <c r="C9" t="s">
        <v>6</v>
      </c>
      <c r="D9" t="str">
        <f>HYPERLINK("https://users.rcc.uchicago.edu/~cozzyd/monutau/#event&amp;run=5746&amp;entry=113113", "link")</f>
        <v>link</v>
      </c>
      <c r="E9" t="s">
        <v>6</v>
      </c>
      <c r="F9" t="s">
        <v>12</v>
      </c>
    </row>
    <row r="10" spans="1:6" x14ac:dyDescent="0.25">
      <c r="A10">
        <v>5747</v>
      </c>
      <c r="B10">
        <v>7356</v>
      </c>
      <c r="C10" t="s">
        <v>6</v>
      </c>
      <c r="D10" t="str">
        <f>HYPERLINK("https://users.rcc.uchicago.edu/~cozzyd/monutau/#event&amp;run=5747&amp;entry=7356", "link")</f>
        <v>link</v>
      </c>
      <c r="E10" t="s">
        <v>6</v>
      </c>
      <c r="F10" t="s">
        <v>7</v>
      </c>
    </row>
    <row r="11" spans="1:6" x14ac:dyDescent="0.25">
      <c r="A11">
        <v>5747</v>
      </c>
      <c r="B11">
        <v>84928</v>
      </c>
      <c r="C11" t="s">
        <v>6</v>
      </c>
      <c r="D11" t="str">
        <f>HYPERLINK("https://users.rcc.uchicago.edu/~cozzyd/monutau/#event&amp;run=5747&amp;entry=84928", "link")</f>
        <v>link</v>
      </c>
      <c r="E11" t="s">
        <v>6</v>
      </c>
      <c r="F11" t="s">
        <v>12</v>
      </c>
    </row>
    <row r="12" spans="1:6" x14ac:dyDescent="0.25">
      <c r="A12">
        <v>5747</v>
      </c>
      <c r="B12">
        <v>112041</v>
      </c>
      <c r="C12" t="s">
        <v>6</v>
      </c>
      <c r="D12" t="str">
        <f>HYPERLINK("https://users.rcc.uchicago.edu/~cozzyd/monutau/#event&amp;run=5747&amp;entry=112041", "link")</f>
        <v>link</v>
      </c>
      <c r="E12" t="s">
        <v>6</v>
      </c>
      <c r="F12" t="s">
        <v>12</v>
      </c>
    </row>
    <row r="13" spans="1:6" x14ac:dyDescent="0.25">
      <c r="A13">
        <v>5747</v>
      </c>
      <c r="B13">
        <v>129853</v>
      </c>
      <c r="C13" t="s">
        <v>6</v>
      </c>
      <c r="D13" t="str">
        <f>HYPERLINK("https://users.rcc.uchicago.edu/~cozzyd/monutau/#event&amp;run=5747&amp;entry=129853", "link")</f>
        <v>link</v>
      </c>
      <c r="E13" t="s">
        <v>6</v>
      </c>
      <c r="F13" t="s">
        <v>12</v>
      </c>
    </row>
    <row r="14" spans="1:6" x14ac:dyDescent="0.25">
      <c r="A14">
        <v>5748</v>
      </c>
      <c r="B14">
        <v>70158</v>
      </c>
      <c r="C14" t="s">
        <v>6</v>
      </c>
      <c r="D14" t="str">
        <f>HYPERLINK("https://users.rcc.uchicago.edu/~cozzyd/monutau/#event&amp;run=5748&amp;entry=70158", "link")</f>
        <v>link</v>
      </c>
      <c r="E14" t="s">
        <v>6</v>
      </c>
      <c r="F14" t="s">
        <v>12</v>
      </c>
    </row>
    <row r="15" spans="1:6" x14ac:dyDescent="0.25">
      <c r="A15">
        <v>5748</v>
      </c>
      <c r="B15">
        <v>86479</v>
      </c>
      <c r="C15" t="s">
        <v>6</v>
      </c>
      <c r="D15" t="str">
        <f>HYPERLINK("https://users.rcc.uchicago.edu/~cozzyd/monutau/#event&amp;run=5748&amp;entry=86479", "link")</f>
        <v>link</v>
      </c>
      <c r="E15" t="s">
        <v>6</v>
      </c>
      <c r="F15" t="s">
        <v>12</v>
      </c>
    </row>
    <row r="16" spans="1:6" x14ac:dyDescent="0.25">
      <c r="A16">
        <v>5749</v>
      </c>
      <c r="B16">
        <v>140417</v>
      </c>
      <c r="C16" t="s">
        <v>6</v>
      </c>
      <c r="D16" t="str">
        <f>HYPERLINK("https://users.rcc.uchicago.edu/~cozzyd/monutau/#event&amp;run=5749&amp;entry=140417", "link")</f>
        <v>link</v>
      </c>
      <c r="E16" t="s">
        <v>6</v>
      </c>
      <c r="F16" t="s">
        <v>11</v>
      </c>
    </row>
    <row r="17" spans="1:6" x14ac:dyDescent="0.25">
      <c r="A17">
        <v>5751</v>
      </c>
      <c r="B17">
        <v>6970</v>
      </c>
      <c r="C17" t="s">
        <v>6</v>
      </c>
      <c r="D17" t="str">
        <f>HYPERLINK("https://users.rcc.uchicago.edu/~cozzyd/monutau/#event&amp;run=5751&amp;entry=6970", "link")</f>
        <v>link</v>
      </c>
      <c r="E17" t="s">
        <v>6</v>
      </c>
      <c r="F17" t="s">
        <v>12</v>
      </c>
    </row>
    <row r="18" spans="1:6" x14ac:dyDescent="0.25">
      <c r="A18">
        <v>5752</v>
      </c>
      <c r="B18">
        <v>46204</v>
      </c>
      <c r="C18" t="s">
        <v>6</v>
      </c>
      <c r="D18" t="str">
        <f>HYPERLINK("https://users.rcc.uchicago.edu/~cozzyd/monutau/#event&amp;run=5752&amp;entry=46204", "link")</f>
        <v>link</v>
      </c>
      <c r="E18" t="s">
        <v>6</v>
      </c>
      <c r="F18" t="s">
        <v>11</v>
      </c>
    </row>
    <row r="19" spans="1:6" x14ac:dyDescent="0.25">
      <c r="A19">
        <v>5752</v>
      </c>
      <c r="B19">
        <v>72880</v>
      </c>
      <c r="C19" t="s">
        <v>6</v>
      </c>
      <c r="D19" t="str">
        <f>HYPERLINK("https://users.rcc.uchicago.edu/~cozzyd/monutau/#event&amp;run=5752&amp;entry=72880", "link")</f>
        <v>link</v>
      </c>
      <c r="E19" t="s">
        <v>6</v>
      </c>
      <c r="F19" t="s">
        <v>11</v>
      </c>
    </row>
    <row r="20" spans="1:6" x14ac:dyDescent="0.25">
      <c r="A20">
        <v>5752</v>
      </c>
      <c r="B20">
        <v>107776</v>
      </c>
      <c r="C20" t="s">
        <v>6</v>
      </c>
      <c r="D20" t="str">
        <f>HYPERLINK("https://users.rcc.uchicago.edu/~cozzyd/monutau/#event&amp;run=5752&amp;entry=107776", "link")</f>
        <v>link</v>
      </c>
      <c r="E20" t="s">
        <v>6</v>
      </c>
      <c r="F20" t="s">
        <v>10</v>
      </c>
    </row>
    <row r="21" spans="1:6" x14ac:dyDescent="0.25">
      <c r="A21">
        <v>5753</v>
      </c>
      <c r="B21">
        <v>28964</v>
      </c>
      <c r="C21" t="s">
        <v>6</v>
      </c>
      <c r="D21" t="str">
        <f>HYPERLINK("https://users.rcc.uchicago.edu/~cozzyd/monutau/#event&amp;run=5753&amp;entry=28964", "link")</f>
        <v>link</v>
      </c>
      <c r="E21" t="s">
        <v>6</v>
      </c>
      <c r="F21" t="s">
        <v>11</v>
      </c>
    </row>
    <row r="22" spans="1:6" x14ac:dyDescent="0.25">
      <c r="A22">
        <v>5755</v>
      </c>
      <c r="B22">
        <v>51409</v>
      </c>
      <c r="C22" t="s">
        <v>6</v>
      </c>
      <c r="D22" t="str">
        <f>HYPERLINK("https://users.rcc.uchicago.edu/~cozzyd/monutau/#event&amp;run=5755&amp;entry=51409", "link")</f>
        <v>link</v>
      </c>
      <c r="E22" t="s">
        <v>6</v>
      </c>
      <c r="F22" t="s">
        <v>11</v>
      </c>
    </row>
    <row r="23" spans="1:6" x14ac:dyDescent="0.25">
      <c r="A23">
        <v>5755</v>
      </c>
      <c r="B23">
        <v>75335</v>
      </c>
      <c r="C23" t="s">
        <v>6</v>
      </c>
      <c r="D23" t="str">
        <f>HYPERLINK("https://users.rcc.uchicago.edu/~cozzyd/monutau/#event&amp;run=5755&amp;entry=75335", "link")</f>
        <v>link</v>
      </c>
      <c r="E23" t="s">
        <v>6</v>
      </c>
      <c r="F23" t="s">
        <v>11</v>
      </c>
    </row>
    <row r="24" spans="1:6" x14ac:dyDescent="0.25">
      <c r="A24">
        <v>5755</v>
      </c>
      <c r="B24">
        <v>112418</v>
      </c>
      <c r="C24" t="s">
        <v>13</v>
      </c>
      <c r="D24" t="str">
        <f>HYPERLINK("https://users.rcc.uchicago.edu/~cozzyd/monutau/#event&amp;run=5755&amp;entry=112418", "link")</f>
        <v>link</v>
      </c>
      <c r="E24" t="s">
        <v>14</v>
      </c>
      <c r="F24" t="s">
        <v>11</v>
      </c>
    </row>
    <row r="25" spans="1:6" x14ac:dyDescent="0.25">
      <c r="A25">
        <v>5757</v>
      </c>
      <c r="B25">
        <v>52129</v>
      </c>
      <c r="C25" t="s">
        <v>6</v>
      </c>
      <c r="D25" t="str">
        <f>HYPERLINK("https://users.rcc.uchicago.edu/~cozzyd/monutau/#event&amp;run=5757&amp;entry=52129", "link")</f>
        <v>link</v>
      </c>
      <c r="E25" t="s">
        <v>6</v>
      </c>
      <c r="F25" t="s">
        <v>11</v>
      </c>
    </row>
    <row r="26" spans="1:6" x14ac:dyDescent="0.25">
      <c r="A26">
        <v>5757</v>
      </c>
      <c r="B26">
        <v>105818</v>
      </c>
      <c r="C26" t="s">
        <v>6</v>
      </c>
      <c r="D26" t="str">
        <f>HYPERLINK("https://users.rcc.uchicago.edu/~cozzyd/monutau/#event&amp;run=5757&amp;entry=105818", "link")</f>
        <v>link</v>
      </c>
      <c r="E26" t="s">
        <v>6</v>
      </c>
      <c r="F26" t="s">
        <v>12</v>
      </c>
    </row>
    <row r="27" spans="1:6" x14ac:dyDescent="0.25">
      <c r="A27">
        <v>5757</v>
      </c>
      <c r="B27">
        <v>145106</v>
      </c>
      <c r="C27" t="s">
        <v>6</v>
      </c>
      <c r="D27" t="str">
        <f>HYPERLINK("https://users.rcc.uchicago.edu/~cozzyd/monutau/#event&amp;run=5757&amp;entry=145106", "link")</f>
        <v>link</v>
      </c>
      <c r="E27" t="s">
        <v>6</v>
      </c>
      <c r="F27" t="s">
        <v>11</v>
      </c>
    </row>
    <row r="28" spans="1:6" x14ac:dyDescent="0.25">
      <c r="A28">
        <v>5758</v>
      </c>
      <c r="B28">
        <v>7014</v>
      </c>
      <c r="C28" t="s">
        <v>6</v>
      </c>
      <c r="D28" t="str">
        <f>HYPERLINK("https://users.rcc.uchicago.edu/~cozzyd/monutau/#event&amp;run=5758&amp;entry=7014", "link")</f>
        <v>link</v>
      </c>
      <c r="E28" t="s">
        <v>6</v>
      </c>
      <c r="F28" t="s">
        <v>7</v>
      </c>
    </row>
    <row r="29" spans="1:6" x14ac:dyDescent="0.25">
      <c r="A29">
        <v>5758</v>
      </c>
      <c r="B29">
        <v>40965</v>
      </c>
      <c r="C29" t="s">
        <v>6</v>
      </c>
      <c r="D29" t="str">
        <f>HYPERLINK("https://users.rcc.uchicago.edu/~cozzyd/monutau/#event&amp;run=5758&amp;entry=40965", "link")</f>
        <v>link</v>
      </c>
      <c r="E29" t="s">
        <v>6</v>
      </c>
      <c r="F29" t="s">
        <v>11</v>
      </c>
    </row>
    <row r="30" spans="1:6" x14ac:dyDescent="0.25">
      <c r="A30">
        <v>5758</v>
      </c>
      <c r="B30">
        <v>125600</v>
      </c>
      <c r="C30" t="s">
        <v>6</v>
      </c>
      <c r="D30" t="str">
        <f>HYPERLINK("https://users.rcc.uchicago.edu/~cozzyd/monutau/#event&amp;run=5758&amp;entry=125600", "link")</f>
        <v>link</v>
      </c>
      <c r="E30" t="s">
        <v>6</v>
      </c>
      <c r="F30" t="s">
        <v>12</v>
      </c>
    </row>
    <row r="31" spans="1:6" x14ac:dyDescent="0.25">
      <c r="A31">
        <v>5759</v>
      </c>
      <c r="B31">
        <v>77539</v>
      </c>
      <c r="C31" t="s">
        <v>6</v>
      </c>
      <c r="D31" t="str">
        <f>HYPERLINK("https://users.rcc.uchicago.edu/~cozzyd/monutau/#event&amp;run=5759&amp;entry=77539", "link")</f>
        <v>link</v>
      </c>
      <c r="E31" t="s">
        <v>6</v>
      </c>
      <c r="F31" t="s">
        <v>12</v>
      </c>
    </row>
    <row r="32" spans="1:6" x14ac:dyDescent="0.25">
      <c r="A32">
        <v>5761</v>
      </c>
      <c r="B32">
        <v>79579</v>
      </c>
      <c r="C32" t="s">
        <v>6</v>
      </c>
      <c r="D32" t="str">
        <f>HYPERLINK("https://users.rcc.uchicago.edu/~cozzyd/monutau/#event&amp;run=5761&amp;entry=79579", "link")</f>
        <v>link</v>
      </c>
      <c r="E32" t="s">
        <v>6</v>
      </c>
      <c r="F32" t="s">
        <v>11</v>
      </c>
    </row>
    <row r="33" spans="1:6" x14ac:dyDescent="0.25">
      <c r="A33">
        <v>5763</v>
      </c>
      <c r="B33">
        <v>103259</v>
      </c>
      <c r="C33" t="s">
        <v>6</v>
      </c>
      <c r="D33" t="str">
        <f>HYPERLINK("https://users.rcc.uchicago.edu/~cozzyd/monutau/#event&amp;run=5763&amp;entry=103259", "link")</f>
        <v>link</v>
      </c>
      <c r="E33" t="s">
        <v>6</v>
      </c>
      <c r="F33" t="s">
        <v>12</v>
      </c>
    </row>
    <row r="34" spans="1:6" x14ac:dyDescent="0.25">
      <c r="A34">
        <v>5763</v>
      </c>
      <c r="B34">
        <v>103631</v>
      </c>
      <c r="C34" t="s">
        <v>6</v>
      </c>
      <c r="D34" t="str">
        <f>HYPERLINK("https://users.rcc.uchicago.edu/~cozzyd/monutau/#event&amp;run=5763&amp;entry=103631", "link")</f>
        <v>link</v>
      </c>
      <c r="E34" t="s">
        <v>6</v>
      </c>
      <c r="F34" t="s">
        <v>11</v>
      </c>
    </row>
    <row r="35" spans="1:6" x14ac:dyDescent="0.25">
      <c r="A35">
        <v>5764</v>
      </c>
      <c r="B35">
        <v>92893</v>
      </c>
      <c r="C35" t="s">
        <v>13</v>
      </c>
      <c r="D35" t="str">
        <f>HYPERLINK("https://users.rcc.uchicago.edu/~cozzyd/monutau/#event&amp;run=5764&amp;entry=92893", "link")</f>
        <v>link</v>
      </c>
      <c r="E35" t="s">
        <v>15</v>
      </c>
      <c r="F35" t="s">
        <v>11</v>
      </c>
    </row>
    <row r="36" spans="1:6" x14ac:dyDescent="0.25">
      <c r="A36">
        <v>5765</v>
      </c>
      <c r="B36">
        <v>27563</v>
      </c>
      <c r="C36" t="s">
        <v>13</v>
      </c>
      <c r="D36" t="str">
        <f>HYPERLINK("https://users.rcc.uchicago.edu/~cozzyd/monutau/#event&amp;run=5765&amp;entry=27563", "link")</f>
        <v>link</v>
      </c>
      <c r="E36" t="s">
        <v>16</v>
      </c>
      <c r="F36" t="s">
        <v>11</v>
      </c>
    </row>
    <row r="37" spans="1:6" x14ac:dyDescent="0.25">
      <c r="A37">
        <v>5765</v>
      </c>
      <c r="B37">
        <v>110546</v>
      </c>
      <c r="C37" t="s">
        <v>6</v>
      </c>
      <c r="D37" t="str">
        <f>HYPERLINK("https://users.rcc.uchicago.edu/~cozzyd/monutau/#event&amp;run=5765&amp;entry=110546", "link")</f>
        <v>link</v>
      </c>
      <c r="E37" t="s">
        <v>6</v>
      </c>
      <c r="F37" t="s">
        <v>11</v>
      </c>
    </row>
    <row r="38" spans="1:6" x14ac:dyDescent="0.25">
      <c r="A38">
        <v>5766</v>
      </c>
      <c r="B38">
        <v>1252</v>
      </c>
      <c r="C38" t="s">
        <v>6</v>
      </c>
      <c r="D38" t="str">
        <f>HYPERLINK("https://users.rcc.uchicago.edu/~cozzyd/monutau/#event&amp;run=5766&amp;entry=1252", "link")</f>
        <v>link</v>
      </c>
      <c r="E38" t="s">
        <v>6</v>
      </c>
      <c r="F38" t="s">
        <v>11</v>
      </c>
    </row>
    <row r="39" spans="1:6" x14ac:dyDescent="0.25">
      <c r="A39">
        <v>5766</v>
      </c>
      <c r="B39">
        <v>59443</v>
      </c>
      <c r="C39" t="s">
        <v>6</v>
      </c>
      <c r="D39" t="str">
        <f>HYPERLINK("https://users.rcc.uchicago.edu/~cozzyd/monutau/#event&amp;run=5766&amp;entry=59443", "link")</f>
        <v>link</v>
      </c>
      <c r="E39" t="s">
        <v>6</v>
      </c>
      <c r="F39" t="s">
        <v>11</v>
      </c>
    </row>
    <row r="40" spans="1:6" x14ac:dyDescent="0.25">
      <c r="A40">
        <v>5766</v>
      </c>
      <c r="B40">
        <v>81111</v>
      </c>
      <c r="C40" t="s">
        <v>6</v>
      </c>
      <c r="D40" t="str">
        <f>HYPERLINK("https://users.rcc.uchicago.edu/~cozzyd/monutau/#event&amp;run=5766&amp;entry=81111", "link")</f>
        <v>link</v>
      </c>
      <c r="E40" t="s">
        <v>6</v>
      </c>
      <c r="F40" t="s">
        <v>11</v>
      </c>
    </row>
    <row r="41" spans="1:6" x14ac:dyDescent="0.25">
      <c r="A41">
        <v>5767</v>
      </c>
      <c r="B41">
        <v>51706</v>
      </c>
      <c r="C41" t="s">
        <v>6</v>
      </c>
      <c r="D41" t="str">
        <f>HYPERLINK("https://users.rcc.uchicago.edu/~cozzyd/monutau/#event&amp;run=5767&amp;entry=51706", "link")</f>
        <v>link</v>
      </c>
      <c r="E41" t="s">
        <v>6</v>
      </c>
      <c r="F41" t="s">
        <v>11</v>
      </c>
    </row>
    <row r="42" spans="1:6" x14ac:dyDescent="0.25">
      <c r="A42">
        <v>5768</v>
      </c>
      <c r="B42">
        <v>104031</v>
      </c>
      <c r="C42" t="s">
        <v>6</v>
      </c>
      <c r="D42" t="str">
        <f>HYPERLINK("https://users.rcc.uchicago.edu/~cozzyd/monutau/#event&amp;run=5768&amp;entry=104031", "link")</f>
        <v>link</v>
      </c>
      <c r="E42" t="s">
        <v>6</v>
      </c>
      <c r="F42" t="s">
        <v>11</v>
      </c>
    </row>
    <row r="43" spans="1:6" x14ac:dyDescent="0.25">
      <c r="A43">
        <v>5768</v>
      </c>
      <c r="B43">
        <v>112044</v>
      </c>
      <c r="C43" t="s">
        <v>6</v>
      </c>
      <c r="D43" t="str">
        <f>HYPERLINK("https://users.rcc.uchicago.edu/~cozzyd/monutau/#event&amp;run=5768&amp;entry=112044", "link")</f>
        <v>link</v>
      </c>
      <c r="E43" t="s">
        <v>6</v>
      </c>
      <c r="F43" t="s">
        <v>11</v>
      </c>
    </row>
    <row r="44" spans="1:6" x14ac:dyDescent="0.25">
      <c r="A44">
        <v>5770</v>
      </c>
      <c r="B44">
        <v>57894</v>
      </c>
      <c r="C44" t="s">
        <v>6</v>
      </c>
      <c r="D44" t="str">
        <f>HYPERLINK("https://users.rcc.uchicago.edu/~cozzyd/monutau/#event&amp;run=5770&amp;entry=57894", "link")</f>
        <v>link</v>
      </c>
      <c r="E44" t="s">
        <v>6</v>
      </c>
      <c r="F44" t="s">
        <v>11</v>
      </c>
    </row>
    <row r="45" spans="1:6" x14ac:dyDescent="0.25">
      <c r="A45">
        <v>5771</v>
      </c>
      <c r="B45">
        <v>33369</v>
      </c>
      <c r="C45" t="s">
        <v>6</v>
      </c>
      <c r="D45" t="str">
        <f>HYPERLINK("https://users.rcc.uchicago.edu/~cozzyd/monutau/#event&amp;run=5771&amp;entry=33369", "link")</f>
        <v>link</v>
      </c>
      <c r="E45" t="s">
        <v>6</v>
      </c>
      <c r="F45" t="s">
        <v>12</v>
      </c>
    </row>
    <row r="46" spans="1:6" x14ac:dyDescent="0.25">
      <c r="A46">
        <v>5771</v>
      </c>
      <c r="B46">
        <v>33431</v>
      </c>
      <c r="C46" t="s">
        <v>6</v>
      </c>
      <c r="D46" t="str">
        <f>HYPERLINK("https://users.rcc.uchicago.edu/~cozzyd/monutau/#event&amp;run=5771&amp;entry=33431", "link")</f>
        <v>link</v>
      </c>
      <c r="E46" t="s">
        <v>6</v>
      </c>
      <c r="F46" t="s">
        <v>12</v>
      </c>
    </row>
    <row r="47" spans="1:6" x14ac:dyDescent="0.25">
      <c r="A47">
        <v>5772</v>
      </c>
      <c r="B47">
        <v>101994</v>
      </c>
      <c r="C47" t="s">
        <v>6</v>
      </c>
      <c r="D47" t="str">
        <f>HYPERLINK("https://users.rcc.uchicago.edu/~cozzyd/monutau/#event&amp;run=5772&amp;entry=101994", "link")</f>
        <v>link</v>
      </c>
      <c r="E47" t="s">
        <v>6</v>
      </c>
      <c r="F47" t="s">
        <v>7</v>
      </c>
    </row>
    <row r="48" spans="1:6" x14ac:dyDescent="0.25">
      <c r="A48">
        <v>5773</v>
      </c>
      <c r="B48">
        <v>18524</v>
      </c>
      <c r="C48" t="s">
        <v>6</v>
      </c>
      <c r="D48" t="str">
        <f>HYPERLINK("https://users.rcc.uchicago.edu/~cozzyd/monutau/#event&amp;run=5773&amp;entry=18524", "link")</f>
        <v>link</v>
      </c>
      <c r="E48" t="s">
        <v>6</v>
      </c>
      <c r="F48" t="s">
        <v>10</v>
      </c>
    </row>
    <row r="49" spans="1:6" x14ac:dyDescent="0.25">
      <c r="A49">
        <v>5773</v>
      </c>
      <c r="B49">
        <v>85999</v>
      </c>
      <c r="C49" t="s">
        <v>6</v>
      </c>
      <c r="D49" t="str">
        <f>HYPERLINK("https://users.rcc.uchicago.edu/~cozzyd/monutau/#event&amp;run=5773&amp;entry=85999", "link")</f>
        <v>link</v>
      </c>
      <c r="E49" t="s">
        <v>6</v>
      </c>
      <c r="F49" t="s">
        <v>12</v>
      </c>
    </row>
    <row r="50" spans="1:6" x14ac:dyDescent="0.25">
      <c r="A50">
        <v>5773</v>
      </c>
      <c r="B50">
        <v>89177</v>
      </c>
      <c r="C50" t="s">
        <v>6</v>
      </c>
      <c r="D50" t="str">
        <f>HYPERLINK("https://users.rcc.uchicago.edu/~cozzyd/monutau/#event&amp;run=5773&amp;entry=89177", "link")</f>
        <v>link</v>
      </c>
      <c r="E50" t="s">
        <v>6</v>
      </c>
      <c r="F50" t="s">
        <v>11</v>
      </c>
    </row>
    <row r="51" spans="1:6" x14ac:dyDescent="0.25">
      <c r="A51">
        <v>5774</v>
      </c>
      <c r="B51">
        <v>12902</v>
      </c>
      <c r="C51" t="s">
        <v>6</v>
      </c>
      <c r="D51" t="str">
        <f>HYPERLINK("https://users.rcc.uchicago.edu/~cozzyd/monutau/#event&amp;run=5774&amp;entry=12902", "link")</f>
        <v>link</v>
      </c>
      <c r="E51" t="s">
        <v>6</v>
      </c>
      <c r="F51" t="s">
        <v>11</v>
      </c>
    </row>
    <row r="52" spans="1:6" x14ac:dyDescent="0.25">
      <c r="A52">
        <v>5774</v>
      </c>
      <c r="B52">
        <v>44301</v>
      </c>
      <c r="C52" t="s">
        <v>6</v>
      </c>
      <c r="D52" t="str">
        <f>HYPERLINK("https://users.rcc.uchicago.edu/~cozzyd/monutau/#event&amp;run=5774&amp;entry=44301", "link")</f>
        <v>link</v>
      </c>
      <c r="E52" t="s">
        <v>6</v>
      </c>
      <c r="F52" t="s">
        <v>11</v>
      </c>
    </row>
    <row r="53" spans="1:6" x14ac:dyDescent="0.25">
      <c r="A53">
        <v>5775</v>
      </c>
      <c r="B53">
        <v>33539</v>
      </c>
      <c r="C53" t="s">
        <v>6</v>
      </c>
      <c r="D53" t="str">
        <f>HYPERLINK("https://users.rcc.uchicago.edu/~cozzyd/monutau/#event&amp;run=5775&amp;entry=33539", "link")</f>
        <v>link</v>
      </c>
      <c r="E53" t="s">
        <v>6</v>
      </c>
      <c r="F53" t="s">
        <v>11</v>
      </c>
    </row>
    <row r="54" spans="1:6" x14ac:dyDescent="0.25">
      <c r="A54">
        <v>5776</v>
      </c>
      <c r="B54">
        <v>49727</v>
      </c>
      <c r="C54" t="s">
        <v>6</v>
      </c>
      <c r="D54" t="str">
        <f>HYPERLINK("https://users.rcc.uchicago.edu/~cozzyd/monutau/#event&amp;run=5776&amp;entry=49727", "link")</f>
        <v>link</v>
      </c>
      <c r="E54" t="s">
        <v>6</v>
      </c>
      <c r="F54" t="s">
        <v>11</v>
      </c>
    </row>
    <row r="55" spans="1:6" x14ac:dyDescent="0.25">
      <c r="A55">
        <v>5776</v>
      </c>
      <c r="B55">
        <v>93468</v>
      </c>
      <c r="C55" t="s">
        <v>6</v>
      </c>
      <c r="D55" t="str">
        <f>HYPERLINK("https://users.rcc.uchicago.edu/~cozzyd/monutau/#event&amp;run=5776&amp;entry=93468", "link")</f>
        <v>link</v>
      </c>
      <c r="E55" t="s">
        <v>6</v>
      </c>
      <c r="F55" t="s">
        <v>11</v>
      </c>
    </row>
    <row r="56" spans="1:6" x14ac:dyDescent="0.25">
      <c r="A56">
        <v>5778</v>
      </c>
      <c r="B56">
        <v>77038</v>
      </c>
      <c r="C56" t="s">
        <v>6</v>
      </c>
      <c r="D56" t="str">
        <f>HYPERLINK("https://users.rcc.uchicago.edu/~cozzyd/monutau/#event&amp;run=5778&amp;entry=77038", "link")</f>
        <v>link</v>
      </c>
      <c r="E56" t="s">
        <v>6</v>
      </c>
      <c r="F56" t="s">
        <v>10</v>
      </c>
    </row>
    <row r="57" spans="1:6" x14ac:dyDescent="0.25">
      <c r="A57">
        <v>5779</v>
      </c>
      <c r="B57">
        <v>110805</v>
      </c>
      <c r="C57" t="s">
        <v>13</v>
      </c>
      <c r="D57" t="str">
        <f>HYPERLINK("https://users.rcc.uchicago.edu/~cozzyd/monutau/#event&amp;run=5779&amp;entry=110805", "link")</f>
        <v>link</v>
      </c>
      <c r="E57" t="s">
        <v>17</v>
      </c>
      <c r="F57" t="s">
        <v>11</v>
      </c>
    </row>
    <row r="58" spans="1:6" x14ac:dyDescent="0.25">
      <c r="A58">
        <v>5779</v>
      </c>
      <c r="B58">
        <v>112746</v>
      </c>
      <c r="C58" t="s">
        <v>6</v>
      </c>
      <c r="D58" t="str">
        <f>HYPERLINK("https://users.rcc.uchicago.edu/~cozzyd/monutau/#event&amp;run=5779&amp;entry=112746", "link")</f>
        <v>link</v>
      </c>
      <c r="E58" t="s">
        <v>6</v>
      </c>
      <c r="F58" t="s">
        <v>12</v>
      </c>
    </row>
    <row r="59" spans="1:6" x14ac:dyDescent="0.25">
      <c r="A59">
        <v>5780</v>
      </c>
      <c r="B59">
        <v>4684</v>
      </c>
      <c r="C59" t="s">
        <v>6</v>
      </c>
      <c r="D59" t="str">
        <f>HYPERLINK("https://users.rcc.uchicago.edu/~cozzyd/monutau/#event&amp;run=5780&amp;entry=4684", "link")</f>
        <v>link</v>
      </c>
      <c r="E59" t="s">
        <v>6</v>
      </c>
      <c r="F59" t="s">
        <v>11</v>
      </c>
    </row>
    <row r="60" spans="1:6" x14ac:dyDescent="0.25">
      <c r="A60">
        <v>5780</v>
      </c>
      <c r="B60">
        <v>18728</v>
      </c>
      <c r="C60" t="s">
        <v>6</v>
      </c>
      <c r="D60" t="str">
        <f>HYPERLINK("https://users.rcc.uchicago.edu/~cozzyd/monutau/#event&amp;run=5780&amp;entry=18728", "link")</f>
        <v>link</v>
      </c>
      <c r="E60" t="s">
        <v>6</v>
      </c>
      <c r="F60" t="s">
        <v>11</v>
      </c>
    </row>
    <row r="61" spans="1:6" x14ac:dyDescent="0.25">
      <c r="A61">
        <v>5781</v>
      </c>
      <c r="B61">
        <v>32530</v>
      </c>
      <c r="C61" t="s">
        <v>6</v>
      </c>
      <c r="D61" t="str">
        <f>HYPERLINK("https://users.rcc.uchicago.edu/~cozzyd/monutau/#event&amp;run=5781&amp;entry=32530", "link")</f>
        <v>link</v>
      </c>
      <c r="E61" t="s">
        <v>6</v>
      </c>
      <c r="F61" t="s">
        <v>11</v>
      </c>
    </row>
    <row r="62" spans="1:6" x14ac:dyDescent="0.25">
      <c r="A62">
        <v>5782</v>
      </c>
      <c r="B62">
        <v>24477</v>
      </c>
      <c r="C62" t="s">
        <v>6</v>
      </c>
      <c r="D62" t="str">
        <f>HYPERLINK("https://users.rcc.uchicago.edu/~cozzyd/monutau/#event&amp;run=5782&amp;entry=24477", "link")</f>
        <v>link</v>
      </c>
      <c r="E62" t="s">
        <v>6</v>
      </c>
      <c r="F62" t="s">
        <v>11</v>
      </c>
    </row>
    <row r="63" spans="1:6" x14ac:dyDescent="0.25">
      <c r="A63">
        <v>5782</v>
      </c>
      <c r="B63">
        <v>30375</v>
      </c>
      <c r="C63" t="s">
        <v>13</v>
      </c>
      <c r="D63" t="str">
        <f>HYPERLINK("https://users.rcc.uchicago.edu/~cozzyd/monutau/#event&amp;run=5782&amp;entry=30375", "link")</f>
        <v>link</v>
      </c>
      <c r="E63" t="s">
        <v>15</v>
      </c>
      <c r="F63" t="s">
        <v>11</v>
      </c>
    </row>
    <row r="64" spans="1:6" x14ac:dyDescent="0.25">
      <c r="A64">
        <v>5782</v>
      </c>
      <c r="B64">
        <v>44199</v>
      </c>
      <c r="C64" t="s">
        <v>6</v>
      </c>
      <c r="D64" t="str">
        <f>HYPERLINK("https://users.rcc.uchicago.edu/~cozzyd/monutau/#event&amp;run=5782&amp;entry=44199", "link")</f>
        <v>link</v>
      </c>
      <c r="E64" t="s">
        <v>6</v>
      </c>
      <c r="F64" t="s">
        <v>11</v>
      </c>
    </row>
    <row r="65" spans="1:6" x14ac:dyDescent="0.25">
      <c r="A65">
        <v>5782</v>
      </c>
      <c r="B65">
        <v>44435</v>
      </c>
      <c r="C65" t="s">
        <v>6</v>
      </c>
      <c r="D65" t="str">
        <f>HYPERLINK("https://users.rcc.uchicago.edu/~cozzyd/monutau/#event&amp;run=5782&amp;entry=44435", "link")</f>
        <v>link</v>
      </c>
      <c r="E65" t="s">
        <v>6</v>
      </c>
      <c r="F65" t="s">
        <v>7</v>
      </c>
    </row>
    <row r="66" spans="1:6" x14ac:dyDescent="0.25">
      <c r="A66">
        <v>5782</v>
      </c>
      <c r="B66">
        <v>93098</v>
      </c>
      <c r="C66" t="s">
        <v>6</v>
      </c>
      <c r="D66" t="str">
        <f>HYPERLINK("https://users.rcc.uchicago.edu/~cozzyd/monutau/#event&amp;run=5782&amp;entry=93098", "link")</f>
        <v>link</v>
      </c>
      <c r="E66" t="s">
        <v>6</v>
      </c>
      <c r="F66" t="s">
        <v>11</v>
      </c>
    </row>
    <row r="67" spans="1:6" x14ac:dyDescent="0.25">
      <c r="A67">
        <v>5783</v>
      </c>
      <c r="B67">
        <v>104719</v>
      </c>
      <c r="C67" t="s">
        <v>6</v>
      </c>
      <c r="D67" t="str">
        <f>HYPERLINK("https://users.rcc.uchicago.edu/~cozzyd/monutau/#event&amp;run=5783&amp;entry=104719", "link")</f>
        <v>link</v>
      </c>
      <c r="E67" t="s">
        <v>6</v>
      </c>
      <c r="F67" t="s">
        <v>11</v>
      </c>
    </row>
    <row r="68" spans="1:6" x14ac:dyDescent="0.25">
      <c r="A68">
        <v>5785</v>
      </c>
      <c r="B68">
        <v>95625</v>
      </c>
      <c r="C68" t="s">
        <v>6</v>
      </c>
      <c r="D68" t="str">
        <f>HYPERLINK("https://users.rcc.uchicago.edu/~cozzyd/monutau/#event&amp;run=5785&amp;entry=95625", "link")</f>
        <v>link</v>
      </c>
      <c r="E68" t="s">
        <v>6</v>
      </c>
      <c r="F68" t="s">
        <v>10</v>
      </c>
    </row>
    <row r="69" spans="1:6" x14ac:dyDescent="0.25">
      <c r="A69">
        <v>5788</v>
      </c>
      <c r="B69">
        <v>24738</v>
      </c>
      <c r="C69" t="s">
        <v>6</v>
      </c>
      <c r="D69" t="str">
        <f>HYPERLINK("https://users.rcc.uchicago.edu/~cozzyd/monutau/#event&amp;run=5788&amp;entry=24738", "link")</f>
        <v>link</v>
      </c>
      <c r="E69" t="s">
        <v>6</v>
      </c>
      <c r="F69" t="s">
        <v>11</v>
      </c>
    </row>
    <row r="70" spans="1:6" x14ac:dyDescent="0.25">
      <c r="A70">
        <v>5788</v>
      </c>
      <c r="B70">
        <v>130083</v>
      </c>
      <c r="C70" t="s">
        <v>6</v>
      </c>
      <c r="D70" t="str">
        <f>HYPERLINK("https://users.rcc.uchicago.edu/~cozzyd/monutau/#event&amp;run=5788&amp;entry=130083", "link")</f>
        <v>link</v>
      </c>
      <c r="E70" t="s">
        <v>6</v>
      </c>
      <c r="F70" t="s">
        <v>11</v>
      </c>
    </row>
    <row r="71" spans="1:6" x14ac:dyDescent="0.25">
      <c r="A71">
        <v>5789</v>
      </c>
      <c r="B71">
        <v>75608</v>
      </c>
      <c r="C71" t="s">
        <v>6</v>
      </c>
      <c r="D71" t="str">
        <f>HYPERLINK("https://users.rcc.uchicago.edu/~cozzyd/monutau/#event&amp;run=5789&amp;entry=75608", "link")</f>
        <v>link</v>
      </c>
      <c r="E71" t="s">
        <v>6</v>
      </c>
      <c r="F71" t="s">
        <v>11</v>
      </c>
    </row>
    <row r="72" spans="1:6" x14ac:dyDescent="0.25">
      <c r="A72">
        <v>5789</v>
      </c>
      <c r="B72">
        <v>95246</v>
      </c>
      <c r="C72" t="s">
        <v>6</v>
      </c>
      <c r="D72" t="str">
        <f>HYPERLINK("https://users.rcc.uchicago.edu/~cozzyd/monutau/#event&amp;run=5789&amp;entry=95246", "link")</f>
        <v>link</v>
      </c>
      <c r="E72" t="s">
        <v>6</v>
      </c>
      <c r="F72" t="s">
        <v>11</v>
      </c>
    </row>
    <row r="73" spans="1:6" x14ac:dyDescent="0.25">
      <c r="A73">
        <v>5789</v>
      </c>
      <c r="B73">
        <v>122903</v>
      </c>
      <c r="C73" t="s">
        <v>6</v>
      </c>
      <c r="D73" t="str">
        <f>HYPERLINK("https://users.rcc.uchicago.edu/~cozzyd/monutau/#event&amp;run=5789&amp;entry=122903", "link")</f>
        <v>link</v>
      </c>
      <c r="E73" t="s">
        <v>6</v>
      </c>
      <c r="F73" t="s">
        <v>11</v>
      </c>
    </row>
    <row r="74" spans="1:6" x14ac:dyDescent="0.25">
      <c r="A74">
        <v>5789</v>
      </c>
      <c r="B74">
        <v>130172</v>
      </c>
      <c r="C74" t="s">
        <v>6</v>
      </c>
      <c r="D74" t="str">
        <f>HYPERLINK("https://users.rcc.uchicago.edu/~cozzyd/monutau/#event&amp;run=5789&amp;entry=130172", "link")</f>
        <v>link</v>
      </c>
      <c r="E74" t="s">
        <v>6</v>
      </c>
      <c r="F74" t="s">
        <v>11</v>
      </c>
    </row>
    <row r="75" spans="1:6" x14ac:dyDescent="0.25">
      <c r="A75">
        <v>5790</v>
      </c>
      <c r="B75">
        <v>8578</v>
      </c>
      <c r="C75" t="s">
        <v>6</v>
      </c>
      <c r="D75" t="str">
        <f>HYPERLINK("https://users.rcc.uchicago.edu/~cozzyd/monutau/#event&amp;run=5790&amp;entry=8578", "link")</f>
        <v>link</v>
      </c>
      <c r="E75" t="s">
        <v>6</v>
      </c>
      <c r="F75" t="s">
        <v>11</v>
      </c>
    </row>
    <row r="76" spans="1:6" x14ac:dyDescent="0.25">
      <c r="A76">
        <v>5794</v>
      </c>
      <c r="B76">
        <v>114233</v>
      </c>
      <c r="C76" t="s">
        <v>13</v>
      </c>
      <c r="D76" t="str">
        <f>HYPERLINK("https://users.rcc.uchicago.edu/~cozzyd/monutau/#event&amp;run=5794&amp;entry=114233", "link")</f>
        <v>link</v>
      </c>
      <c r="E76" t="s">
        <v>15</v>
      </c>
      <c r="F76" t="s">
        <v>11</v>
      </c>
    </row>
    <row r="77" spans="1:6" x14ac:dyDescent="0.25">
      <c r="A77">
        <v>5795</v>
      </c>
      <c r="B77">
        <v>23980</v>
      </c>
      <c r="C77" t="s">
        <v>6</v>
      </c>
      <c r="D77" t="str">
        <f>HYPERLINK("https://users.rcc.uchicago.edu/~cozzyd/monutau/#event&amp;run=5795&amp;entry=23980", "link")</f>
        <v>link</v>
      </c>
      <c r="E77" t="s">
        <v>6</v>
      </c>
      <c r="F77" t="s">
        <v>11</v>
      </c>
    </row>
    <row r="78" spans="1:6" x14ac:dyDescent="0.25">
      <c r="A78">
        <v>5795</v>
      </c>
      <c r="B78">
        <v>36052</v>
      </c>
      <c r="C78" t="s">
        <v>6</v>
      </c>
      <c r="D78" t="str">
        <f>HYPERLINK("https://users.rcc.uchicago.edu/~cozzyd/monutau/#event&amp;run=5795&amp;entry=36052", "link")</f>
        <v>link</v>
      </c>
      <c r="E78" t="s">
        <v>6</v>
      </c>
      <c r="F78" t="s">
        <v>12</v>
      </c>
    </row>
    <row r="79" spans="1:6" x14ac:dyDescent="0.25">
      <c r="A79">
        <v>5795</v>
      </c>
      <c r="B79">
        <v>137899</v>
      </c>
      <c r="C79" t="s">
        <v>6</v>
      </c>
      <c r="D79" t="str">
        <f>HYPERLINK("https://users.rcc.uchicago.edu/~cozzyd/monutau/#event&amp;run=5795&amp;entry=137899", "link")</f>
        <v>link</v>
      </c>
      <c r="E79" t="s">
        <v>6</v>
      </c>
      <c r="F79" t="s">
        <v>12</v>
      </c>
    </row>
    <row r="80" spans="1:6" x14ac:dyDescent="0.25">
      <c r="A80">
        <v>5796</v>
      </c>
      <c r="B80">
        <v>11685</v>
      </c>
      <c r="C80" t="s">
        <v>6</v>
      </c>
      <c r="D80" t="str">
        <f>HYPERLINK("https://users.rcc.uchicago.edu/~cozzyd/monutau/#event&amp;run=5796&amp;entry=11685", "link")</f>
        <v>link</v>
      </c>
      <c r="E80" t="s">
        <v>6</v>
      </c>
      <c r="F80" t="s">
        <v>11</v>
      </c>
    </row>
    <row r="81" spans="1:6" x14ac:dyDescent="0.25">
      <c r="A81">
        <v>5797</v>
      </c>
      <c r="B81">
        <v>65951</v>
      </c>
      <c r="C81" t="s">
        <v>8</v>
      </c>
      <c r="D81" t="str">
        <f>HYPERLINK("https://users.rcc.uchicago.edu/~cozzyd/monutau/#event&amp;run=5797&amp;entry=65951", "link")</f>
        <v>link</v>
      </c>
      <c r="E81" t="s">
        <v>9</v>
      </c>
      <c r="F81" t="s">
        <v>11</v>
      </c>
    </row>
    <row r="82" spans="1:6" x14ac:dyDescent="0.25">
      <c r="A82">
        <v>5798</v>
      </c>
      <c r="B82">
        <v>97155</v>
      </c>
      <c r="C82" t="s">
        <v>13</v>
      </c>
      <c r="D82" t="str">
        <f>HYPERLINK("https://users.rcc.uchicago.edu/~cozzyd/monutau/#event&amp;run=5798&amp;entry=97155", "link")</f>
        <v>link</v>
      </c>
      <c r="E82" t="s">
        <v>15</v>
      </c>
      <c r="F82" t="s">
        <v>11</v>
      </c>
    </row>
    <row r="83" spans="1:6" x14ac:dyDescent="0.25">
      <c r="A83">
        <v>5799</v>
      </c>
      <c r="B83">
        <v>107879</v>
      </c>
      <c r="C83" t="s">
        <v>13</v>
      </c>
      <c r="D83" t="str">
        <f>HYPERLINK("https://users.rcc.uchicago.edu/~cozzyd/monutau/#event&amp;run=5799&amp;entry=107879", "link")</f>
        <v>link</v>
      </c>
      <c r="E83" t="s">
        <v>18</v>
      </c>
      <c r="F83" t="s">
        <v>11</v>
      </c>
    </row>
    <row r="84" spans="1:6" x14ac:dyDescent="0.25">
      <c r="A84">
        <v>5805</v>
      </c>
      <c r="B84">
        <v>6314</v>
      </c>
      <c r="C84" t="s">
        <v>6</v>
      </c>
      <c r="D84" t="str">
        <f>HYPERLINK("https://users.rcc.uchicago.edu/~cozzyd/monutau/#event&amp;run=5805&amp;entry=6314", "link")</f>
        <v>link</v>
      </c>
      <c r="E84" t="s">
        <v>6</v>
      </c>
      <c r="F84" t="s">
        <v>12</v>
      </c>
    </row>
    <row r="85" spans="1:6" x14ac:dyDescent="0.25">
      <c r="A85">
        <v>5805</v>
      </c>
      <c r="B85">
        <v>11079</v>
      </c>
      <c r="C85" t="s">
        <v>6</v>
      </c>
      <c r="D85" t="str">
        <f>HYPERLINK("https://users.rcc.uchicago.edu/~cozzyd/monutau/#event&amp;run=5805&amp;entry=11079", "link")</f>
        <v>link</v>
      </c>
      <c r="E85" t="s">
        <v>19</v>
      </c>
      <c r="F85" t="s">
        <v>7</v>
      </c>
    </row>
    <row r="86" spans="1:6" x14ac:dyDescent="0.25">
      <c r="A86">
        <v>5805</v>
      </c>
      <c r="B86">
        <v>67488</v>
      </c>
      <c r="C86" t="s">
        <v>6</v>
      </c>
      <c r="D86" t="str">
        <f>HYPERLINK("https://users.rcc.uchicago.edu/~cozzyd/monutau/#event&amp;run=5805&amp;entry=67488", "link")</f>
        <v>link</v>
      </c>
      <c r="E86" t="s">
        <v>6</v>
      </c>
      <c r="F86" t="s">
        <v>12</v>
      </c>
    </row>
    <row r="87" spans="1:6" x14ac:dyDescent="0.25">
      <c r="A87">
        <v>5806</v>
      </c>
      <c r="B87">
        <v>24195</v>
      </c>
      <c r="C87" t="s">
        <v>6</v>
      </c>
      <c r="D87" t="str">
        <f>HYPERLINK("https://users.rcc.uchicago.edu/~cozzyd/monutau/#event&amp;run=5806&amp;entry=24195", "link")</f>
        <v>link</v>
      </c>
      <c r="E87" t="s">
        <v>19</v>
      </c>
      <c r="F87" t="s">
        <v>11</v>
      </c>
    </row>
    <row r="88" spans="1:6" x14ac:dyDescent="0.25">
      <c r="A88">
        <v>5806</v>
      </c>
      <c r="B88">
        <v>26222</v>
      </c>
      <c r="C88" t="s">
        <v>6</v>
      </c>
      <c r="D88" t="str">
        <f>HYPERLINK("https://users.rcc.uchicago.edu/~cozzyd/monutau/#event&amp;run=5806&amp;entry=26222", "link")</f>
        <v>link</v>
      </c>
      <c r="E88" t="s">
        <v>19</v>
      </c>
      <c r="F88" t="s">
        <v>11</v>
      </c>
    </row>
    <row r="89" spans="1:6" x14ac:dyDescent="0.25">
      <c r="A89">
        <v>5806</v>
      </c>
      <c r="B89">
        <v>26604</v>
      </c>
      <c r="C89" t="s">
        <v>6</v>
      </c>
      <c r="D89" t="str">
        <f>HYPERLINK("https://users.rcc.uchicago.edu/~cozzyd/monutau/#event&amp;run=5806&amp;entry=26604", "link")</f>
        <v>link</v>
      </c>
      <c r="E89" t="s">
        <v>19</v>
      </c>
      <c r="F89" t="s">
        <v>11</v>
      </c>
    </row>
    <row r="90" spans="1:6" x14ac:dyDescent="0.25">
      <c r="A90">
        <v>5806</v>
      </c>
      <c r="B90">
        <v>26607</v>
      </c>
      <c r="C90" t="s">
        <v>6</v>
      </c>
      <c r="D90" t="str">
        <f>HYPERLINK("https://users.rcc.uchicago.edu/~cozzyd/monutau/#event&amp;run=5806&amp;entry=26607", "link")</f>
        <v>link</v>
      </c>
      <c r="E90" t="s">
        <v>19</v>
      </c>
      <c r="F90" t="s">
        <v>11</v>
      </c>
    </row>
    <row r="91" spans="1:6" x14ac:dyDescent="0.25">
      <c r="A91">
        <v>5806</v>
      </c>
      <c r="B91">
        <v>28799</v>
      </c>
      <c r="C91" t="s">
        <v>13</v>
      </c>
      <c r="D91" t="str">
        <f>HYPERLINK("https://users.rcc.uchicago.edu/~cozzyd/monutau/#event&amp;run=5806&amp;entry=28799", "link")</f>
        <v>link</v>
      </c>
      <c r="E91" t="s">
        <v>20</v>
      </c>
      <c r="F91" t="s">
        <v>11</v>
      </c>
    </row>
    <row r="92" spans="1:6" x14ac:dyDescent="0.25">
      <c r="A92">
        <v>5806</v>
      </c>
      <c r="B92">
        <v>29604</v>
      </c>
      <c r="C92" t="s">
        <v>6</v>
      </c>
      <c r="D92" t="str">
        <f>HYPERLINK("https://users.rcc.uchicago.edu/~cozzyd/monutau/#event&amp;run=5806&amp;entry=29604", "link")</f>
        <v>link</v>
      </c>
      <c r="E92" t="s">
        <v>6</v>
      </c>
      <c r="F92" t="s">
        <v>11</v>
      </c>
    </row>
    <row r="93" spans="1:6" x14ac:dyDescent="0.25">
      <c r="A93">
        <v>5806</v>
      </c>
      <c r="B93">
        <v>29900</v>
      </c>
      <c r="C93" t="s">
        <v>6</v>
      </c>
      <c r="D93" t="str">
        <f>HYPERLINK("https://users.rcc.uchicago.edu/~cozzyd/monutau/#event&amp;run=5806&amp;entry=29900", "link")</f>
        <v>link</v>
      </c>
      <c r="E93" t="s">
        <v>6</v>
      </c>
      <c r="F93" t="s">
        <v>12</v>
      </c>
    </row>
    <row r="94" spans="1:6" x14ac:dyDescent="0.25">
      <c r="A94">
        <v>5806</v>
      </c>
      <c r="B94">
        <v>29916</v>
      </c>
      <c r="C94" t="s">
        <v>6</v>
      </c>
      <c r="D94" t="str">
        <f>HYPERLINK("https://users.rcc.uchicago.edu/~cozzyd/monutau/#event&amp;run=5806&amp;entry=29916", "link")</f>
        <v>link</v>
      </c>
      <c r="E94" t="s">
        <v>6</v>
      </c>
      <c r="F94" t="s">
        <v>12</v>
      </c>
    </row>
    <row r="95" spans="1:6" x14ac:dyDescent="0.25">
      <c r="A95">
        <v>5806</v>
      </c>
      <c r="B95">
        <v>29928</v>
      </c>
      <c r="C95" t="s">
        <v>6</v>
      </c>
      <c r="D95" t="str">
        <f>HYPERLINK("https://users.rcc.uchicago.edu/~cozzyd/monutau/#event&amp;run=5806&amp;entry=29928", "link")</f>
        <v>link</v>
      </c>
      <c r="E95" t="s">
        <v>6</v>
      </c>
      <c r="F95" t="s">
        <v>12</v>
      </c>
    </row>
    <row r="96" spans="1:6" x14ac:dyDescent="0.25">
      <c r="A96">
        <v>5806</v>
      </c>
      <c r="B96">
        <v>29963</v>
      </c>
      <c r="C96" t="s">
        <v>6</v>
      </c>
      <c r="D96" t="str">
        <f>HYPERLINK("https://users.rcc.uchicago.edu/~cozzyd/monutau/#event&amp;run=5806&amp;entry=29963", "link")</f>
        <v>link</v>
      </c>
      <c r="E96" t="s">
        <v>6</v>
      </c>
      <c r="F96" t="s">
        <v>12</v>
      </c>
    </row>
    <row r="97" spans="1:6" x14ac:dyDescent="0.25">
      <c r="A97">
        <v>5806</v>
      </c>
      <c r="B97">
        <v>30033</v>
      </c>
      <c r="C97" t="s">
        <v>6</v>
      </c>
      <c r="D97" t="str">
        <f>HYPERLINK("https://users.rcc.uchicago.edu/~cozzyd/monutau/#event&amp;run=5806&amp;entry=30033", "link")</f>
        <v>link</v>
      </c>
      <c r="E97" t="s">
        <v>6</v>
      </c>
      <c r="F97" t="s">
        <v>11</v>
      </c>
    </row>
    <row r="98" spans="1:6" x14ac:dyDescent="0.25">
      <c r="A98">
        <v>5806</v>
      </c>
      <c r="B98">
        <v>30042</v>
      </c>
      <c r="C98" t="s">
        <v>6</v>
      </c>
      <c r="D98" t="str">
        <f>HYPERLINK("https://users.rcc.uchicago.edu/~cozzyd/monutau/#event&amp;run=5806&amp;entry=30042", "link")</f>
        <v>link</v>
      </c>
      <c r="E98" t="s">
        <v>6</v>
      </c>
      <c r="F98" t="s">
        <v>11</v>
      </c>
    </row>
    <row r="99" spans="1:6" x14ac:dyDescent="0.25">
      <c r="A99">
        <v>5806</v>
      </c>
      <c r="B99">
        <v>30083</v>
      </c>
      <c r="C99" t="s">
        <v>6</v>
      </c>
      <c r="D99" t="str">
        <f>HYPERLINK("https://users.rcc.uchicago.edu/~cozzyd/monutau/#event&amp;run=5806&amp;entry=30083", "link")</f>
        <v>link</v>
      </c>
      <c r="E99" t="s">
        <v>6</v>
      </c>
      <c r="F99" t="s">
        <v>12</v>
      </c>
    </row>
    <row r="100" spans="1:6" x14ac:dyDescent="0.25">
      <c r="A100">
        <v>5806</v>
      </c>
      <c r="B100">
        <v>30182</v>
      </c>
      <c r="C100" t="s">
        <v>6</v>
      </c>
      <c r="D100" t="str">
        <f>HYPERLINK("https://users.rcc.uchicago.edu/~cozzyd/monutau/#event&amp;run=5806&amp;entry=30182", "link")</f>
        <v>link</v>
      </c>
      <c r="E100" t="s">
        <v>6</v>
      </c>
      <c r="F100" t="s">
        <v>12</v>
      </c>
    </row>
    <row r="101" spans="1:6" x14ac:dyDescent="0.25">
      <c r="A101">
        <v>5806</v>
      </c>
      <c r="B101">
        <v>30202</v>
      </c>
      <c r="C101" t="s">
        <v>6</v>
      </c>
      <c r="D101" t="str">
        <f>HYPERLINK("https://users.rcc.uchicago.edu/~cozzyd/monutau/#event&amp;run=5806&amp;entry=30202", "link")</f>
        <v>link</v>
      </c>
      <c r="E101" t="s">
        <v>6</v>
      </c>
      <c r="F101" t="s">
        <v>12</v>
      </c>
    </row>
    <row r="102" spans="1:6" x14ac:dyDescent="0.25">
      <c r="A102">
        <v>5806</v>
      </c>
      <c r="B102">
        <v>30232</v>
      </c>
      <c r="C102" t="s">
        <v>6</v>
      </c>
      <c r="D102" t="str">
        <f>HYPERLINK("https://users.rcc.uchicago.edu/~cozzyd/monutau/#event&amp;run=5806&amp;entry=30232", "link")</f>
        <v>link</v>
      </c>
      <c r="E102" t="s">
        <v>6</v>
      </c>
      <c r="F102" t="s">
        <v>12</v>
      </c>
    </row>
    <row r="103" spans="1:6" x14ac:dyDescent="0.25">
      <c r="A103">
        <v>5806</v>
      </c>
      <c r="B103">
        <v>30323</v>
      </c>
      <c r="C103" t="s">
        <v>6</v>
      </c>
      <c r="D103" t="str">
        <f>HYPERLINK("https://users.rcc.uchicago.edu/~cozzyd/monutau/#event&amp;run=5806&amp;entry=30323", "link")</f>
        <v>link</v>
      </c>
      <c r="E103" t="s">
        <v>6</v>
      </c>
      <c r="F103" t="s">
        <v>11</v>
      </c>
    </row>
    <row r="104" spans="1:6" x14ac:dyDescent="0.25">
      <c r="A104">
        <v>5806</v>
      </c>
      <c r="B104">
        <v>30353</v>
      </c>
      <c r="C104" t="s">
        <v>6</v>
      </c>
      <c r="D104" t="str">
        <f>HYPERLINK("https://users.rcc.uchicago.edu/~cozzyd/monutau/#event&amp;run=5806&amp;entry=30353", "link")</f>
        <v>link</v>
      </c>
      <c r="E104" t="s">
        <v>6</v>
      </c>
      <c r="F104" t="s">
        <v>12</v>
      </c>
    </row>
    <row r="105" spans="1:6" x14ac:dyDescent="0.25">
      <c r="A105">
        <v>5806</v>
      </c>
      <c r="B105">
        <v>30406</v>
      </c>
      <c r="C105" t="s">
        <v>6</v>
      </c>
      <c r="D105" t="str">
        <f>HYPERLINK("https://users.rcc.uchicago.edu/~cozzyd/monutau/#event&amp;run=5806&amp;entry=30406", "link")</f>
        <v>link</v>
      </c>
      <c r="E105" t="s">
        <v>6</v>
      </c>
      <c r="F105" t="s">
        <v>12</v>
      </c>
    </row>
    <row r="106" spans="1:6" x14ac:dyDescent="0.25">
      <c r="A106">
        <v>5806</v>
      </c>
      <c r="B106">
        <v>30407</v>
      </c>
      <c r="C106" t="s">
        <v>6</v>
      </c>
      <c r="D106" t="str">
        <f>HYPERLINK("https://users.rcc.uchicago.edu/~cozzyd/monutau/#event&amp;run=5806&amp;entry=30407", "link")</f>
        <v>link</v>
      </c>
      <c r="E106" t="s">
        <v>6</v>
      </c>
      <c r="F106" t="s">
        <v>11</v>
      </c>
    </row>
    <row r="107" spans="1:6" x14ac:dyDescent="0.25">
      <c r="A107">
        <v>5806</v>
      </c>
      <c r="B107">
        <v>30447</v>
      </c>
      <c r="C107" t="s">
        <v>6</v>
      </c>
      <c r="D107" t="str">
        <f>HYPERLINK("https://users.rcc.uchicago.edu/~cozzyd/monutau/#event&amp;run=5806&amp;entry=30447", "link")</f>
        <v>link</v>
      </c>
      <c r="E107" t="s">
        <v>6</v>
      </c>
      <c r="F107" t="s">
        <v>12</v>
      </c>
    </row>
    <row r="108" spans="1:6" x14ac:dyDescent="0.25">
      <c r="A108">
        <v>5806</v>
      </c>
      <c r="B108">
        <v>30500</v>
      </c>
      <c r="C108" t="s">
        <v>6</v>
      </c>
      <c r="D108" t="str">
        <f>HYPERLINK("https://users.rcc.uchicago.edu/~cozzyd/monutau/#event&amp;run=5806&amp;entry=30500", "link")</f>
        <v>link</v>
      </c>
      <c r="E108" t="s">
        <v>6</v>
      </c>
      <c r="F108" t="s">
        <v>12</v>
      </c>
    </row>
    <row r="109" spans="1:6" x14ac:dyDescent="0.25">
      <c r="A109">
        <v>5806</v>
      </c>
      <c r="B109">
        <v>30502</v>
      </c>
      <c r="C109" t="s">
        <v>6</v>
      </c>
      <c r="D109" t="str">
        <f>HYPERLINK("https://users.rcc.uchicago.edu/~cozzyd/monutau/#event&amp;run=5806&amp;entry=30502", "link")</f>
        <v>link</v>
      </c>
      <c r="E109" t="s">
        <v>6</v>
      </c>
      <c r="F109" t="s">
        <v>11</v>
      </c>
    </row>
    <row r="110" spans="1:6" x14ac:dyDescent="0.25">
      <c r="A110">
        <v>5806</v>
      </c>
      <c r="B110">
        <v>30541</v>
      </c>
      <c r="C110" t="s">
        <v>6</v>
      </c>
      <c r="D110" t="str">
        <f>HYPERLINK("https://users.rcc.uchicago.edu/~cozzyd/monutau/#event&amp;run=5806&amp;entry=30541", "link")</f>
        <v>link</v>
      </c>
      <c r="E110" t="s">
        <v>6</v>
      </c>
      <c r="F110" t="s">
        <v>11</v>
      </c>
    </row>
    <row r="111" spans="1:6" x14ac:dyDescent="0.25">
      <c r="A111">
        <v>5806</v>
      </c>
      <c r="B111">
        <v>30582</v>
      </c>
      <c r="C111" t="s">
        <v>6</v>
      </c>
      <c r="D111" t="str">
        <f>HYPERLINK("https://users.rcc.uchicago.edu/~cozzyd/monutau/#event&amp;run=5806&amp;entry=30582", "link")</f>
        <v>link</v>
      </c>
      <c r="E111" t="s">
        <v>6</v>
      </c>
      <c r="F111" t="s">
        <v>11</v>
      </c>
    </row>
    <row r="112" spans="1:6" x14ac:dyDescent="0.25">
      <c r="A112">
        <v>5806</v>
      </c>
      <c r="B112">
        <v>30587</v>
      </c>
      <c r="C112" t="s">
        <v>6</v>
      </c>
      <c r="D112" t="str">
        <f>HYPERLINK("https://users.rcc.uchicago.edu/~cozzyd/monutau/#event&amp;run=5806&amp;entry=30587", "link")</f>
        <v>link</v>
      </c>
      <c r="E112" t="s">
        <v>6</v>
      </c>
      <c r="F112" t="s">
        <v>11</v>
      </c>
    </row>
    <row r="113" spans="1:6" x14ac:dyDescent="0.25">
      <c r="A113">
        <v>5806</v>
      </c>
      <c r="B113">
        <v>30654</v>
      </c>
      <c r="C113" t="s">
        <v>6</v>
      </c>
      <c r="D113" t="str">
        <f>HYPERLINK("https://users.rcc.uchicago.edu/~cozzyd/monutau/#event&amp;run=5806&amp;entry=30654", "link")</f>
        <v>link</v>
      </c>
      <c r="E113" t="s">
        <v>6</v>
      </c>
      <c r="F113" t="s">
        <v>11</v>
      </c>
    </row>
    <row r="114" spans="1:6" x14ac:dyDescent="0.25">
      <c r="A114">
        <v>5806</v>
      </c>
      <c r="B114">
        <v>30688</v>
      </c>
      <c r="C114" t="s">
        <v>6</v>
      </c>
      <c r="D114" t="str">
        <f>HYPERLINK("https://users.rcc.uchicago.edu/~cozzyd/monutau/#event&amp;run=5806&amp;entry=30688", "link")</f>
        <v>link</v>
      </c>
      <c r="E114" t="s">
        <v>6</v>
      </c>
      <c r="F114" t="s">
        <v>12</v>
      </c>
    </row>
    <row r="115" spans="1:6" x14ac:dyDescent="0.25">
      <c r="A115">
        <v>5806</v>
      </c>
      <c r="B115">
        <v>30759</v>
      </c>
      <c r="C115" t="s">
        <v>6</v>
      </c>
      <c r="D115" t="str">
        <f>HYPERLINK("https://users.rcc.uchicago.edu/~cozzyd/monutau/#event&amp;run=5806&amp;entry=30759", "link")</f>
        <v>link</v>
      </c>
      <c r="E115" t="s">
        <v>6</v>
      </c>
      <c r="F115" t="s">
        <v>12</v>
      </c>
    </row>
    <row r="116" spans="1:6" x14ac:dyDescent="0.25">
      <c r="A116">
        <v>5806</v>
      </c>
      <c r="B116">
        <v>30796</v>
      </c>
      <c r="C116" t="s">
        <v>6</v>
      </c>
      <c r="D116" t="str">
        <f>HYPERLINK("https://users.rcc.uchicago.edu/~cozzyd/monutau/#event&amp;run=5806&amp;entry=30796", "link")</f>
        <v>link</v>
      </c>
      <c r="E116" t="s">
        <v>6</v>
      </c>
      <c r="F116" t="s">
        <v>12</v>
      </c>
    </row>
    <row r="117" spans="1:6" x14ac:dyDescent="0.25">
      <c r="A117">
        <v>5806</v>
      </c>
      <c r="B117">
        <v>30801</v>
      </c>
      <c r="C117" t="s">
        <v>6</v>
      </c>
      <c r="D117" t="str">
        <f>HYPERLINK("https://users.rcc.uchicago.edu/~cozzyd/monutau/#event&amp;run=5806&amp;entry=30801", "link")</f>
        <v>link</v>
      </c>
      <c r="E117" t="s">
        <v>6</v>
      </c>
      <c r="F117" t="s">
        <v>11</v>
      </c>
    </row>
    <row r="118" spans="1:6" x14ac:dyDescent="0.25">
      <c r="A118">
        <v>5806</v>
      </c>
      <c r="B118">
        <v>30833</v>
      </c>
      <c r="C118" t="s">
        <v>6</v>
      </c>
      <c r="D118" t="str">
        <f>HYPERLINK("https://users.rcc.uchicago.edu/~cozzyd/monutau/#event&amp;run=5806&amp;entry=30833", "link")</f>
        <v>link</v>
      </c>
      <c r="E118" t="s">
        <v>6</v>
      </c>
      <c r="F118" t="s">
        <v>12</v>
      </c>
    </row>
    <row r="119" spans="1:6" x14ac:dyDescent="0.25">
      <c r="A119">
        <v>5806</v>
      </c>
      <c r="B119">
        <v>30838</v>
      </c>
      <c r="C119" t="s">
        <v>6</v>
      </c>
      <c r="D119" t="str">
        <f>HYPERLINK("https://users.rcc.uchicago.edu/~cozzyd/monutau/#event&amp;run=5806&amp;entry=30838", "link")</f>
        <v>link</v>
      </c>
      <c r="E119" t="s">
        <v>6</v>
      </c>
      <c r="F119" t="s">
        <v>11</v>
      </c>
    </row>
    <row r="120" spans="1:6" x14ac:dyDescent="0.25">
      <c r="A120">
        <v>5806</v>
      </c>
      <c r="B120">
        <v>30862</v>
      </c>
      <c r="C120" t="s">
        <v>6</v>
      </c>
      <c r="D120" t="str">
        <f>HYPERLINK("https://users.rcc.uchicago.edu/~cozzyd/monutau/#event&amp;run=5806&amp;entry=30862", "link")</f>
        <v>link</v>
      </c>
      <c r="E120" t="s">
        <v>6</v>
      </c>
      <c r="F120" t="s">
        <v>11</v>
      </c>
    </row>
    <row r="121" spans="1:6" x14ac:dyDescent="0.25">
      <c r="A121">
        <v>5806</v>
      </c>
      <c r="B121">
        <v>30949</v>
      </c>
      <c r="C121" t="s">
        <v>6</v>
      </c>
      <c r="D121" t="str">
        <f>HYPERLINK("https://users.rcc.uchicago.edu/~cozzyd/monutau/#event&amp;run=5806&amp;entry=30949", "link")</f>
        <v>link</v>
      </c>
      <c r="E121" t="s">
        <v>6</v>
      </c>
      <c r="F121" t="s">
        <v>7</v>
      </c>
    </row>
    <row r="122" spans="1:6" x14ac:dyDescent="0.25">
      <c r="A122">
        <v>5806</v>
      </c>
      <c r="B122">
        <v>30953</v>
      </c>
      <c r="C122" t="s">
        <v>6</v>
      </c>
      <c r="D122" t="str">
        <f>HYPERLINK("https://users.rcc.uchicago.edu/~cozzyd/monutau/#event&amp;run=5806&amp;entry=30953", "link")</f>
        <v>link</v>
      </c>
      <c r="E122" t="s">
        <v>6</v>
      </c>
      <c r="F122" t="s">
        <v>11</v>
      </c>
    </row>
    <row r="123" spans="1:6" x14ac:dyDescent="0.25">
      <c r="A123">
        <v>5806</v>
      </c>
      <c r="B123">
        <v>30972</v>
      </c>
      <c r="C123" t="s">
        <v>6</v>
      </c>
      <c r="D123" t="str">
        <f>HYPERLINK("https://users.rcc.uchicago.edu/~cozzyd/monutau/#event&amp;run=5806&amp;entry=30972", "link")</f>
        <v>link</v>
      </c>
      <c r="E123" t="s">
        <v>6</v>
      </c>
      <c r="F123" t="s">
        <v>12</v>
      </c>
    </row>
    <row r="124" spans="1:6" x14ac:dyDescent="0.25">
      <c r="A124">
        <v>5806</v>
      </c>
      <c r="B124">
        <v>31027</v>
      </c>
      <c r="C124" t="s">
        <v>6</v>
      </c>
      <c r="D124" t="str">
        <f>HYPERLINK("https://users.rcc.uchicago.edu/~cozzyd/monutau/#event&amp;run=5806&amp;entry=31027", "link")</f>
        <v>link</v>
      </c>
      <c r="E124" t="s">
        <v>6</v>
      </c>
      <c r="F124" t="s">
        <v>12</v>
      </c>
    </row>
    <row r="125" spans="1:6" x14ac:dyDescent="0.25">
      <c r="A125">
        <v>5806</v>
      </c>
      <c r="B125">
        <v>31029</v>
      </c>
      <c r="C125" t="s">
        <v>6</v>
      </c>
      <c r="D125" t="str">
        <f>HYPERLINK("https://users.rcc.uchicago.edu/~cozzyd/monutau/#event&amp;run=5806&amp;entry=31029", "link")</f>
        <v>link</v>
      </c>
      <c r="E125" t="s">
        <v>6</v>
      </c>
      <c r="F125" t="s">
        <v>12</v>
      </c>
    </row>
    <row r="126" spans="1:6" x14ac:dyDescent="0.25">
      <c r="A126">
        <v>5806</v>
      </c>
      <c r="B126">
        <v>31094</v>
      </c>
      <c r="C126" t="s">
        <v>6</v>
      </c>
      <c r="D126" t="str">
        <f>HYPERLINK("https://users.rcc.uchicago.edu/~cozzyd/monutau/#event&amp;run=5806&amp;entry=31094", "link")</f>
        <v>link</v>
      </c>
      <c r="E126" t="s">
        <v>6</v>
      </c>
      <c r="F126" t="s">
        <v>11</v>
      </c>
    </row>
    <row r="127" spans="1:6" x14ac:dyDescent="0.25">
      <c r="A127">
        <v>5806</v>
      </c>
      <c r="B127">
        <v>31148</v>
      </c>
      <c r="C127" t="s">
        <v>6</v>
      </c>
      <c r="D127" t="str">
        <f>HYPERLINK("https://users.rcc.uchicago.edu/~cozzyd/monutau/#event&amp;run=5806&amp;entry=31148", "link")</f>
        <v>link</v>
      </c>
      <c r="E127" t="s">
        <v>6</v>
      </c>
      <c r="F127" t="s">
        <v>12</v>
      </c>
    </row>
    <row r="128" spans="1:6" x14ac:dyDescent="0.25">
      <c r="A128">
        <v>5806</v>
      </c>
      <c r="B128">
        <v>31159</v>
      </c>
      <c r="C128" t="s">
        <v>6</v>
      </c>
      <c r="D128" t="str">
        <f>HYPERLINK("https://users.rcc.uchicago.edu/~cozzyd/monutau/#event&amp;run=5806&amp;entry=31159", "link")</f>
        <v>link</v>
      </c>
      <c r="E128" t="s">
        <v>6</v>
      </c>
      <c r="F128" t="s">
        <v>12</v>
      </c>
    </row>
    <row r="129" spans="1:6" x14ac:dyDescent="0.25">
      <c r="A129">
        <v>5806</v>
      </c>
      <c r="B129">
        <v>31183</v>
      </c>
      <c r="C129" t="s">
        <v>6</v>
      </c>
      <c r="D129" t="str">
        <f>HYPERLINK("https://users.rcc.uchicago.edu/~cozzyd/monutau/#event&amp;run=5806&amp;entry=31183", "link")</f>
        <v>link</v>
      </c>
      <c r="E129" t="s">
        <v>6</v>
      </c>
      <c r="F129" t="s">
        <v>11</v>
      </c>
    </row>
    <row r="130" spans="1:6" x14ac:dyDescent="0.25">
      <c r="A130">
        <v>5806</v>
      </c>
      <c r="B130">
        <v>31238</v>
      </c>
      <c r="C130" t="s">
        <v>6</v>
      </c>
      <c r="D130" t="str">
        <f>HYPERLINK("https://users.rcc.uchicago.edu/~cozzyd/monutau/#event&amp;run=5806&amp;entry=31238", "link")</f>
        <v>link</v>
      </c>
      <c r="E130" t="s">
        <v>6</v>
      </c>
      <c r="F130" t="s">
        <v>11</v>
      </c>
    </row>
    <row r="131" spans="1:6" x14ac:dyDescent="0.25">
      <c r="A131">
        <v>5806</v>
      </c>
      <c r="B131">
        <v>31244</v>
      </c>
      <c r="C131" t="s">
        <v>6</v>
      </c>
      <c r="D131" t="str">
        <f>HYPERLINK("https://users.rcc.uchicago.edu/~cozzyd/monutau/#event&amp;run=5806&amp;entry=31244", "link")</f>
        <v>link</v>
      </c>
      <c r="E131" t="s">
        <v>6</v>
      </c>
      <c r="F131" t="s">
        <v>12</v>
      </c>
    </row>
    <row r="132" spans="1:6" x14ac:dyDescent="0.25">
      <c r="A132">
        <v>5806</v>
      </c>
      <c r="B132">
        <v>31245</v>
      </c>
      <c r="C132" t="s">
        <v>6</v>
      </c>
      <c r="D132" t="str">
        <f>HYPERLINK("https://users.rcc.uchicago.edu/~cozzyd/monutau/#event&amp;run=5806&amp;entry=31245", "link")</f>
        <v>link</v>
      </c>
      <c r="E132" t="s">
        <v>6</v>
      </c>
      <c r="F132" t="s">
        <v>12</v>
      </c>
    </row>
    <row r="133" spans="1:6" x14ac:dyDescent="0.25">
      <c r="A133">
        <v>5806</v>
      </c>
      <c r="B133">
        <v>31299</v>
      </c>
      <c r="C133" t="s">
        <v>6</v>
      </c>
      <c r="D133" t="str">
        <f>HYPERLINK("https://users.rcc.uchicago.edu/~cozzyd/monutau/#event&amp;run=5806&amp;entry=31299", "link")</f>
        <v>link</v>
      </c>
      <c r="E133" t="s">
        <v>6</v>
      </c>
      <c r="F133" t="s">
        <v>11</v>
      </c>
    </row>
    <row r="134" spans="1:6" x14ac:dyDescent="0.25">
      <c r="A134">
        <v>5806</v>
      </c>
      <c r="B134">
        <v>31306</v>
      </c>
      <c r="C134" t="s">
        <v>6</v>
      </c>
      <c r="D134" t="str">
        <f>HYPERLINK("https://users.rcc.uchicago.edu/~cozzyd/monutau/#event&amp;run=5806&amp;entry=31306", "link")</f>
        <v>link</v>
      </c>
      <c r="E134" t="s">
        <v>6</v>
      </c>
      <c r="F134" t="s">
        <v>11</v>
      </c>
    </row>
    <row r="135" spans="1:6" x14ac:dyDescent="0.25">
      <c r="A135">
        <v>5806</v>
      </c>
      <c r="B135">
        <v>31313</v>
      </c>
      <c r="C135" t="s">
        <v>6</v>
      </c>
      <c r="D135" t="str">
        <f>HYPERLINK("https://users.rcc.uchicago.edu/~cozzyd/monutau/#event&amp;run=5806&amp;entry=31313", "link")</f>
        <v>link</v>
      </c>
      <c r="E135" t="s">
        <v>6</v>
      </c>
      <c r="F135" t="s">
        <v>11</v>
      </c>
    </row>
    <row r="136" spans="1:6" x14ac:dyDescent="0.25">
      <c r="A136">
        <v>5806</v>
      </c>
      <c r="B136">
        <v>31330</v>
      </c>
      <c r="C136" t="s">
        <v>6</v>
      </c>
      <c r="D136" t="str">
        <f>HYPERLINK("https://users.rcc.uchicago.edu/~cozzyd/monutau/#event&amp;run=5806&amp;entry=31330", "link")</f>
        <v>link</v>
      </c>
      <c r="E136" t="s">
        <v>6</v>
      </c>
      <c r="F136" t="s">
        <v>11</v>
      </c>
    </row>
    <row r="137" spans="1:6" x14ac:dyDescent="0.25">
      <c r="A137">
        <v>5806</v>
      </c>
      <c r="B137">
        <v>31335</v>
      </c>
      <c r="C137" t="s">
        <v>6</v>
      </c>
      <c r="D137" t="str">
        <f>HYPERLINK("https://users.rcc.uchicago.edu/~cozzyd/monutau/#event&amp;run=5806&amp;entry=31335", "link")</f>
        <v>link</v>
      </c>
      <c r="E137" t="s">
        <v>6</v>
      </c>
      <c r="F137" t="s">
        <v>12</v>
      </c>
    </row>
    <row r="138" spans="1:6" x14ac:dyDescent="0.25">
      <c r="A138">
        <v>5806</v>
      </c>
      <c r="B138">
        <v>31430</v>
      </c>
      <c r="C138" t="s">
        <v>6</v>
      </c>
      <c r="D138" t="str">
        <f>HYPERLINK("https://users.rcc.uchicago.edu/~cozzyd/monutau/#event&amp;run=5806&amp;entry=31430", "link")</f>
        <v>link</v>
      </c>
      <c r="E138" t="s">
        <v>6</v>
      </c>
      <c r="F138" t="s">
        <v>12</v>
      </c>
    </row>
    <row r="139" spans="1:6" x14ac:dyDescent="0.25">
      <c r="A139">
        <v>5806</v>
      </c>
      <c r="B139">
        <v>31433</v>
      </c>
      <c r="C139" t="s">
        <v>6</v>
      </c>
      <c r="D139" t="str">
        <f>HYPERLINK("https://users.rcc.uchicago.edu/~cozzyd/monutau/#event&amp;run=5806&amp;entry=31433", "link")</f>
        <v>link</v>
      </c>
      <c r="E139" t="s">
        <v>6</v>
      </c>
      <c r="F139" t="s">
        <v>12</v>
      </c>
    </row>
    <row r="140" spans="1:6" x14ac:dyDescent="0.25">
      <c r="A140">
        <v>5806</v>
      </c>
      <c r="B140">
        <v>31483</v>
      </c>
      <c r="C140" t="s">
        <v>6</v>
      </c>
      <c r="D140" t="str">
        <f>HYPERLINK("https://users.rcc.uchicago.edu/~cozzyd/monutau/#event&amp;run=5806&amp;entry=31483", "link")</f>
        <v>link</v>
      </c>
      <c r="E140" t="s">
        <v>6</v>
      </c>
      <c r="F140" t="s">
        <v>11</v>
      </c>
    </row>
    <row r="141" spans="1:6" x14ac:dyDescent="0.25">
      <c r="A141">
        <v>5806</v>
      </c>
      <c r="B141">
        <v>31519</v>
      </c>
      <c r="C141" t="s">
        <v>6</v>
      </c>
      <c r="D141" t="str">
        <f>HYPERLINK("https://users.rcc.uchicago.edu/~cozzyd/monutau/#event&amp;run=5806&amp;entry=31519", "link")</f>
        <v>link</v>
      </c>
      <c r="E141" t="s">
        <v>6</v>
      </c>
      <c r="F141" t="s">
        <v>11</v>
      </c>
    </row>
    <row r="142" spans="1:6" x14ac:dyDescent="0.25">
      <c r="A142">
        <v>5806</v>
      </c>
      <c r="B142">
        <v>31827</v>
      </c>
      <c r="C142" t="s">
        <v>6</v>
      </c>
      <c r="D142" t="str">
        <f>HYPERLINK("https://users.rcc.uchicago.edu/~cozzyd/monutau/#event&amp;run=5806&amp;entry=31827", "link")</f>
        <v>link</v>
      </c>
      <c r="E142" t="s">
        <v>6</v>
      </c>
      <c r="F142" t="s">
        <v>11</v>
      </c>
    </row>
    <row r="143" spans="1:6" x14ac:dyDescent="0.25">
      <c r="A143">
        <v>5806</v>
      </c>
      <c r="B143">
        <v>31891</v>
      </c>
      <c r="C143" t="s">
        <v>6</v>
      </c>
      <c r="D143" t="str">
        <f>HYPERLINK("https://users.rcc.uchicago.edu/~cozzyd/monutau/#event&amp;run=5806&amp;entry=31891", "link")</f>
        <v>link</v>
      </c>
      <c r="E143" t="s">
        <v>6</v>
      </c>
      <c r="F143" t="s">
        <v>11</v>
      </c>
    </row>
    <row r="144" spans="1:6" x14ac:dyDescent="0.25">
      <c r="A144">
        <v>5806</v>
      </c>
      <c r="B144">
        <v>31892</v>
      </c>
      <c r="C144" t="s">
        <v>6</v>
      </c>
      <c r="D144" t="str">
        <f>HYPERLINK("https://users.rcc.uchicago.edu/~cozzyd/monutau/#event&amp;run=5806&amp;entry=31892", "link")</f>
        <v>link</v>
      </c>
      <c r="E144" t="s">
        <v>6</v>
      </c>
      <c r="F144" t="s">
        <v>12</v>
      </c>
    </row>
    <row r="145" spans="1:6" x14ac:dyDescent="0.25">
      <c r="A145">
        <v>5806</v>
      </c>
      <c r="B145">
        <v>31920</v>
      </c>
      <c r="C145" t="s">
        <v>6</v>
      </c>
      <c r="D145" t="str">
        <f>HYPERLINK("https://users.rcc.uchicago.edu/~cozzyd/monutau/#event&amp;run=5806&amp;entry=31920", "link")</f>
        <v>link</v>
      </c>
      <c r="E145" t="s">
        <v>6</v>
      </c>
      <c r="F145" t="s">
        <v>11</v>
      </c>
    </row>
    <row r="146" spans="1:6" x14ac:dyDescent="0.25">
      <c r="A146">
        <v>5806</v>
      </c>
      <c r="B146">
        <v>31962</v>
      </c>
      <c r="C146" t="s">
        <v>6</v>
      </c>
      <c r="D146" t="str">
        <f>HYPERLINK("https://users.rcc.uchicago.edu/~cozzyd/monutau/#event&amp;run=5806&amp;entry=31962", "link")</f>
        <v>link</v>
      </c>
      <c r="E146" t="s">
        <v>6</v>
      </c>
      <c r="F146" t="s">
        <v>12</v>
      </c>
    </row>
    <row r="147" spans="1:6" x14ac:dyDescent="0.25">
      <c r="A147">
        <v>5806</v>
      </c>
      <c r="B147">
        <v>32367</v>
      </c>
      <c r="C147" t="s">
        <v>6</v>
      </c>
      <c r="D147" t="str">
        <f>HYPERLINK("https://users.rcc.uchicago.edu/~cozzyd/monutau/#event&amp;run=5806&amp;entry=32367", "link")</f>
        <v>link</v>
      </c>
      <c r="E147" t="s">
        <v>6</v>
      </c>
      <c r="F147" t="s">
        <v>12</v>
      </c>
    </row>
    <row r="148" spans="1:6" x14ac:dyDescent="0.25">
      <c r="A148">
        <v>5806</v>
      </c>
      <c r="B148">
        <v>32368</v>
      </c>
      <c r="C148" t="s">
        <v>6</v>
      </c>
      <c r="D148" t="str">
        <f>HYPERLINK("https://users.rcc.uchicago.edu/~cozzyd/monutau/#event&amp;run=5806&amp;entry=32368", "link")</f>
        <v>link</v>
      </c>
      <c r="E148" t="s">
        <v>6</v>
      </c>
      <c r="F148" t="s">
        <v>11</v>
      </c>
    </row>
    <row r="149" spans="1:6" x14ac:dyDescent="0.25">
      <c r="A149">
        <v>5806</v>
      </c>
      <c r="B149">
        <v>32442</v>
      </c>
      <c r="C149" t="s">
        <v>6</v>
      </c>
      <c r="D149" t="str">
        <f>HYPERLINK("https://users.rcc.uchicago.edu/~cozzyd/monutau/#event&amp;run=5806&amp;entry=32442", "link")</f>
        <v>link</v>
      </c>
      <c r="E149" t="s">
        <v>6</v>
      </c>
      <c r="F149" t="s">
        <v>12</v>
      </c>
    </row>
    <row r="150" spans="1:6" x14ac:dyDescent="0.25">
      <c r="A150">
        <v>5806</v>
      </c>
      <c r="B150">
        <v>32523</v>
      </c>
      <c r="C150" t="s">
        <v>6</v>
      </c>
      <c r="D150" t="str">
        <f>HYPERLINK("https://users.rcc.uchicago.edu/~cozzyd/monutau/#event&amp;run=5806&amp;entry=32523", "link")</f>
        <v>link</v>
      </c>
      <c r="E150" t="s">
        <v>6</v>
      </c>
      <c r="F150" t="s">
        <v>11</v>
      </c>
    </row>
    <row r="151" spans="1:6" x14ac:dyDescent="0.25">
      <c r="A151">
        <v>5806</v>
      </c>
      <c r="B151">
        <v>32915</v>
      </c>
      <c r="C151" t="s">
        <v>6</v>
      </c>
      <c r="D151" t="str">
        <f>HYPERLINK("https://users.rcc.uchicago.edu/~cozzyd/monutau/#event&amp;run=5806&amp;entry=32915", "link")</f>
        <v>link</v>
      </c>
      <c r="E151" t="s">
        <v>6</v>
      </c>
      <c r="F151" t="s">
        <v>12</v>
      </c>
    </row>
    <row r="152" spans="1:6" x14ac:dyDescent="0.25">
      <c r="A152">
        <v>5806</v>
      </c>
      <c r="B152">
        <v>32935</v>
      </c>
      <c r="C152" t="s">
        <v>6</v>
      </c>
      <c r="D152" t="str">
        <f>HYPERLINK("https://users.rcc.uchicago.edu/~cozzyd/monutau/#event&amp;run=5806&amp;entry=32935", "link")</f>
        <v>link</v>
      </c>
      <c r="E152" t="s">
        <v>6</v>
      </c>
      <c r="F152" t="s">
        <v>12</v>
      </c>
    </row>
    <row r="153" spans="1:6" x14ac:dyDescent="0.25">
      <c r="A153">
        <v>5806</v>
      </c>
      <c r="B153">
        <v>32949</v>
      </c>
      <c r="C153" t="s">
        <v>6</v>
      </c>
      <c r="D153" t="str">
        <f>HYPERLINK("https://users.rcc.uchicago.edu/~cozzyd/monutau/#event&amp;run=5806&amp;entry=32949", "link")</f>
        <v>link</v>
      </c>
      <c r="E153" t="s">
        <v>6</v>
      </c>
      <c r="F153" t="s">
        <v>12</v>
      </c>
    </row>
    <row r="154" spans="1:6" x14ac:dyDescent="0.25">
      <c r="A154">
        <v>5806</v>
      </c>
      <c r="B154">
        <v>32968</v>
      </c>
      <c r="C154" t="s">
        <v>6</v>
      </c>
      <c r="D154" t="str">
        <f>HYPERLINK("https://users.rcc.uchicago.edu/~cozzyd/monutau/#event&amp;run=5806&amp;entry=32968", "link")</f>
        <v>link</v>
      </c>
      <c r="E154" t="s">
        <v>6</v>
      </c>
      <c r="F154" t="s">
        <v>12</v>
      </c>
    </row>
    <row r="155" spans="1:6" x14ac:dyDescent="0.25">
      <c r="A155">
        <v>5806</v>
      </c>
      <c r="B155">
        <v>32982</v>
      </c>
      <c r="C155" t="s">
        <v>6</v>
      </c>
      <c r="D155" t="str">
        <f>HYPERLINK("https://users.rcc.uchicago.edu/~cozzyd/monutau/#event&amp;run=5806&amp;entry=32982", "link")</f>
        <v>link</v>
      </c>
      <c r="E155" t="s">
        <v>6</v>
      </c>
      <c r="F155" t="s">
        <v>7</v>
      </c>
    </row>
    <row r="156" spans="1:6" x14ac:dyDescent="0.25">
      <c r="A156">
        <v>5806</v>
      </c>
      <c r="B156">
        <v>32996</v>
      </c>
      <c r="C156" t="s">
        <v>6</v>
      </c>
      <c r="D156" t="str">
        <f>HYPERLINK("https://users.rcc.uchicago.edu/~cozzyd/monutau/#event&amp;run=5806&amp;entry=32996", "link")</f>
        <v>link</v>
      </c>
      <c r="E156" t="s">
        <v>6</v>
      </c>
      <c r="F156" t="s">
        <v>12</v>
      </c>
    </row>
    <row r="157" spans="1:6" x14ac:dyDescent="0.25">
      <c r="A157">
        <v>5806</v>
      </c>
      <c r="B157">
        <v>33124</v>
      </c>
      <c r="C157" t="s">
        <v>6</v>
      </c>
      <c r="D157" t="str">
        <f>HYPERLINK("https://users.rcc.uchicago.edu/~cozzyd/monutau/#event&amp;run=5806&amp;entry=33124", "link")</f>
        <v>link</v>
      </c>
      <c r="E157" t="s">
        <v>6</v>
      </c>
      <c r="F157" t="s">
        <v>12</v>
      </c>
    </row>
    <row r="158" spans="1:6" x14ac:dyDescent="0.25">
      <c r="A158">
        <v>5806</v>
      </c>
      <c r="B158">
        <v>33145</v>
      </c>
      <c r="C158" t="s">
        <v>6</v>
      </c>
      <c r="D158" t="str">
        <f>HYPERLINK("https://users.rcc.uchicago.edu/~cozzyd/monutau/#event&amp;run=5806&amp;entry=33145", "link")</f>
        <v>link</v>
      </c>
      <c r="E158" t="s">
        <v>6</v>
      </c>
      <c r="F158" t="s">
        <v>12</v>
      </c>
    </row>
    <row r="159" spans="1:6" x14ac:dyDescent="0.25">
      <c r="A159">
        <v>5806</v>
      </c>
      <c r="B159">
        <v>33384</v>
      </c>
      <c r="C159" t="s">
        <v>6</v>
      </c>
      <c r="D159" t="str">
        <f>HYPERLINK("https://users.rcc.uchicago.edu/~cozzyd/monutau/#event&amp;run=5806&amp;entry=33384", "link")</f>
        <v>link</v>
      </c>
      <c r="E159" t="s">
        <v>6</v>
      </c>
      <c r="F159" t="s">
        <v>12</v>
      </c>
    </row>
    <row r="160" spans="1:6" x14ac:dyDescent="0.25">
      <c r="A160">
        <v>5806</v>
      </c>
      <c r="B160">
        <v>33946</v>
      </c>
      <c r="C160" t="s">
        <v>6</v>
      </c>
      <c r="D160" t="str">
        <f>HYPERLINK("https://users.rcc.uchicago.edu/~cozzyd/monutau/#event&amp;run=5806&amp;entry=33946", "link")</f>
        <v>link</v>
      </c>
      <c r="E160" t="s">
        <v>6</v>
      </c>
      <c r="F160" t="s">
        <v>12</v>
      </c>
    </row>
    <row r="161" spans="1:6" x14ac:dyDescent="0.25">
      <c r="A161">
        <v>5806</v>
      </c>
      <c r="B161">
        <v>33969</v>
      </c>
      <c r="C161" t="s">
        <v>6</v>
      </c>
      <c r="D161" t="str">
        <f>HYPERLINK("https://users.rcc.uchicago.edu/~cozzyd/monutau/#event&amp;run=5806&amp;entry=33969", "link")</f>
        <v>link</v>
      </c>
      <c r="E161" t="s">
        <v>6</v>
      </c>
      <c r="F161" t="s">
        <v>7</v>
      </c>
    </row>
    <row r="162" spans="1:6" x14ac:dyDescent="0.25">
      <c r="A162">
        <v>5806</v>
      </c>
      <c r="B162">
        <v>34006</v>
      </c>
      <c r="C162" t="s">
        <v>6</v>
      </c>
      <c r="D162" t="str">
        <f>HYPERLINK("https://users.rcc.uchicago.edu/~cozzyd/monutau/#event&amp;run=5806&amp;entry=34006", "link")</f>
        <v>link</v>
      </c>
      <c r="E162" t="s">
        <v>6</v>
      </c>
      <c r="F162" t="s">
        <v>11</v>
      </c>
    </row>
    <row r="163" spans="1:6" x14ac:dyDescent="0.25">
      <c r="A163">
        <v>5806</v>
      </c>
      <c r="B163">
        <v>34166</v>
      </c>
      <c r="C163" t="s">
        <v>6</v>
      </c>
      <c r="D163" t="str">
        <f>HYPERLINK("https://users.rcc.uchicago.edu/~cozzyd/monutau/#event&amp;run=5806&amp;entry=34166", "link")</f>
        <v>link</v>
      </c>
      <c r="E163" t="s">
        <v>6</v>
      </c>
      <c r="F163" t="s">
        <v>11</v>
      </c>
    </row>
    <row r="164" spans="1:6" x14ac:dyDescent="0.25">
      <c r="A164">
        <v>5806</v>
      </c>
      <c r="B164">
        <v>34464</v>
      </c>
      <c r="C164" t="s">
        <v>6</v>
      </c>
      <c r="D164" t="str">
        <f>HYPERLINK("https://users.rcc.uchicago.edu/~cozzyd/monutau/#event&amp;run=5806&amp;entry=34464", "link")</f>
        <v>link</v>
      </c>
      <c r="E164" t="s">
        <v>6</v>
      </c>
      <c r="F164" t="s">
        <v>11</v>
      </c>
    </row>
    <row r="165" spans="1:6" x14ac:dyDescent="0.25">
      <c r="A165">
        <v>5806</v>
      </c>
      <c r="B165">
        <v>34629</v>
      </c>
      <c r="C165" t="s">
        <v>6</v>
      </c>
      <c r="D165" t="str">
        <f>HYPERLINK("https://users.rcc.uchicago.edu/~cozzyd/monutau/#event&amp;run=5806&amp;entry=34629", "link")</f>
        <v>link</v>
      </c>
      <c r="E165" t="s">
        <v>6</v>
      </c>
      <c r="F165" t="s">
        <v>11</v>
      </c>
    </row>
    <row r="166" spans="1:6" x14ac:dyDescent="0.25">
      <c r="A166">
        <v>5806</v>
      </c>
      <c r="B166">
        <v>34829</v>
      </c>
      <c r="C166" t="s">
        <v>6</v>
      </c>
      <c r="D166" t="str">
        <f>HYPERLINK("https://users.rcc.uchicago.edu/~cozzyd/monutau/#event&amp;run=5806&amp;entry=34829", "link")</f>
        <v>link</v>
      </c>
      <c r="E166" t="s">
        <v>6</v>
      </c>
      <c r="F166" t="s">
        <v>12</v>
      </c>
    </row>
    <row r="167" spans="1:6" x14ac:dyDescent="0.25">
      <c r="A167">
        <v>5806</v>
      </c>
      <c r="B167">
        <v>34880</v>
      </c>
      <c r="C167" t="s">
        <v>6</v>
      </c>
      <c r="D167" t="str">
        <f>HYPERLINK("https://users.rcc.uchicago.edu/~cozzyd/monutau/#event&amp;run=5806&amp;entry=34880", "link")</f>
        <v>link</v>
      </c>
      <c r="E167" t="s">
        <v>6</v>
      </c>
      <c r="F167" t="s">
        <v>12</v>
      </c>
    </row>
    <row r="168" spans="1:6" x14ac:dyDescent="0.25">
      <c r="A168">
        <v>5806</v>
      </c>
      <c r="B168">
        <v>35012</v>
      </c>
      <c r="C168" t="s">
        <v>6</v>
      </c>
      <c r="D168" t="str">
        <f>HYPERLINK("https://users.rcc.uchicago.edu/~cozzyd/monutau/#event&amp;run=5806&amp;entry=35012", "link")</f>
        <v>link</v>
      </c>
      <c r="E168" t="s">
        <v>6</v>
      </c>
      <c r="F168" t="s">
        <v>7</v>
      </c>
    </row>
    <row r="169" spans="1:6" x14ac:dyDescent="0.25">
      <c r="A169">
        <v>5806</v>
      </c>
      <c r="B169">
        <v>35283</v>
      </c>
      <c r="C169" t="s">
        <v>6</v>
      </c>
      <c r="D169" t="str">
        <f>HYPERLINK("https://users.rcc.uchicago.edu/~cozzyd/monutau/#event&amp;run=5806&amp;entry=35283", "link")</f>
        <v>link</v>
      </c>
      <c r="E169" t="s">
        <v>6</v>
      </c>
      <c r="F169" t="s">
        <v>12</v>
      </c>
    </row>
    <row r="170" spans="1:6" x14ac:dyDescent="0.25">
      <c r="A170">
        <v>5806</v>
      </c>
      <c r="B170">
        <v>35764</v>
      </c>
      <c r="C170" t="s">
        <v>6</v>
      </c>
      <c r="D170" t="str">
        <f>HYPERLINK("https://users.rcc.uchicago.edu/~cozzyd/monutau/#event&amp;run=5806&amp;entry=35764", "link")</f>
        <v>link</v>
      </c>
      <c r="E170" t="s">
        <v>6</v>
      </c>
      <c r="F170" t="s">
        <v>11</v>
      </c>
    </row>
    <row r="171" spans="1:6" x14ac:dyDescent="0.25">
      <c r="A171">
        <v>5806</v>
      </c>
      <c r="B171">
        <v>35831</v>
      </c>
      <c r="C171" t="s">
        <v>6</v>
      </c>
      <c r="D171" t="str">
        <f>HYPERLINK("https://users.rcc.uchicago.edu/~cozzyd/monutau/#event&amp;run=5806&amp;entry=35831", "link")</f>
        <v>link</v>
      </c>
      <c r="E171" t="s">
        <v>6</v>
      </c>
      <c r="F171" t="s">
        <v>12</v>
      </c>
    </row>
    <row r="172" spans="1:6" x14ac:dyDescent="0.25">
      <c r="A172">
        <v>5806</v>
      </c>
      <c r="B172">
        <v>36320</v>
      </c>
      <c r="C172" t="s">
        <v>6</v>
      </c>
      <c r="D172" t="str">
        <f>HYPERLINK("https://users.rcc.uchicago.edu/~cozzyd/monutau/#event&amp;run=5806&amp;entry=36320", "link")</f>
        <v>link</v>
      </c>
      <c r="E172" t="s">
        <v>6</v>
      </c>
      <c r="F172" t="s">
        <v>12</v>
      </c>
    </row>
    <row r="173" spans="1:6" x14ac:dyDescent="0.25">
      <c r="A173">
        <v>5806</v>
      </c>
      <c r="B173">
        <v>36473</v>
      </c>
      <c r="C173" t="s">
        <v>6</v>
      </c>
      <c r="D173" t="str">
        <f>HYPERLINK("https://users.rcc.uchicago.edu/~cozzyd/monutau/#event&amp;run=5806&amp;entry=36473", "link")</f>
        <v>link</v>
      </c>
      <c r="E173" t="s">
        <v>6</v>
      </c>
      <c r="F173" t="s">
        <v>12</v>
      </c>
    </row>
    <row r="174" spans="1:6" x14ac:dyDescent="0.25">
      <c r="A174">
        <v>5806</v>
      </c>
      <c r="B174">
        <v>39837</v>
      </c>
      <c r="C174" t="s">
        <v>6</v>
      </c>
      <c r="D174" t="str">
        <f>HYPERLINK("https://users.rcc.uchicago.edu/~cozzyd/monutau/#event&amp;run=5806&amp;entry=39837", "link")</f>
        <v>link</v>
      </c>
      <c r="E174" t="s">
        <v>6</v>
      </c>
      <c r="F174" t="s">
        <v>12</v>
      </c>
    </row>
    <row r="175" spans="1:6" x14ac:dyDescent="0.25">
      <c r="A175">
        <v>5806</v>
      </c>
      <c r="B175">
        <v>39882</v>
      </c>
      <c r="C175" t="s">
        <v>6</v>
      </c>
      <c r="D175" t="str">
        <f>HYPERLINK("https://users.rcc.uchicago.edu/~cozzyd/monutau/#event&amp;run=5806&amp;entry=39882", "link")</f>
        <v>link</v>
      </c>
      <c r="E175" t="s">
        <v>6</v>
      </c>
      <c r="F175" t="s">
        <v>12</v>
      </c>
    </row>
    <row r="176" spans="1:6" x14ac:dyDescent="0.25">
      <c r="A176">
        <v>5806</v>
      </c>
      <c r="B176">
        <v>40361</v>
      </c>
      <c r="C176" t="s">
        <v>6</v>
      </c>
      <c r="D176" t="str">
        <f>HYPERLINK("https://users.rcc.uchicago.edu/~cozzyd/monutau/#event&amp;run=5806&amp;entry=40361", "link")</f>
        <v>link</v>
      </c>
      <c r="E176" t="s">
        <v>6</v>
      </c>
      <c r="F176" t="s">
        <v>7</v>
      </c>
    </row>
    <row r="177" spans="1:6" x14ac:dyDescent="0.25">
      <c r="A177">
        <v>5806</v>
      </c>
      <c r="B177">
        <v>40429</v>
      </c>
      <c r="C177" t="s">
        <v>6</v>
      </c>
      <c r="D177" t="str">
        <f>HYPERLINK("https://users.rcc.uchicago.edu/~cozzyd/monutau/#event&amp;run=5806&amp;entry=40429", "link")</f>
        <v>link</v>
      </c>
      <c r="E177" t="s">
        <v>6</v>
      </c>
      <c r="F177" t="s">
        <v>11</v>
      </c>
    </row>
    <row r="178" spans="1:6" x14ac:dyDescent="0.25">
      <c r="A178">
        <v>5806</v>
      </c>
      <c r="B178">
        <v>40564</v>
      </c>
      <c r="C178" t="s">
        <v>6</v>
      </c>
      <c r="D178" t="str">
        <f>HYPERLINK("https://users.rcc.uchicago.edu/~cozzyd/monutau/#event&amp;run=5806&amp;entry=40564", "link")</f>
        <v>link</v>
      </c>
      <c r="E178" t="s">
        <v>6</v>
      </c>
      <c r="F178" t="s">
        <v>11</v>
      </c>
    </row>
    <row r="179" spans="1:6" x14ac:dyDescent="0.25">
      <c r="A179">
        <v>5806</v>
      </c>
      <c r="B179">
        <v>40582</v>
      </c>
      <c r="C179" t="s">
        <v>6</v>
      </c>
      <c r="D179" t="str">
        <f>HYPERLINK("https://users.rcc.uchicago.edu/~cozzyd/monutau/#event&amp;run=5806&amp;entry=40582", "link")</f>
        <v>link</v>
      </c>
      <c r="E179" t="s">
        <v>6</v>
      </c>
      <c r="F179" t="s">
        <v>11</v>
      </c>
    </row>
    <row r="180" spans="1:6" x14ac:dyDescent="0.25">
      <c r="A180">
        <v>5806</v>
      </c>
      <c r="B180">
        <v>40709</v>
      </c>
      <c r="C180" t="s">
        <v>6</v>
      </c>
      <c r="D180" t="str">
        <f>HYPERLINK("https://users.rcc.uchicago.edu/~cozzyd/monutau/#event&amp;run=5806&amp;entry=40709", "link")</f>
        <v>link</v>
      </c>
      <c r="E180" t="s">
        <v>6</v>
      </c>
      <c r="F180" t="s">
        <v>12</v>
      </c>
    </row>
    <row r="181" spans="1:6" x14ac:dyDescent="0.25">
      <c r="A181">
        <v>5806</v>
      </c>
      <c r="B181">
        <v>40794</v>
      </c>
      <c r="C181" t="s">
        <v>6</v>
      </c>
      <c r="D181" t="str">
        <f>HYPERLINK("https://users.rcc.uchicago.edu/~cozzyd/monutau/#event&amp;run=5806&amp;entry=40794", "link")</f>
        <v>link</v>
      </c>
      <c r="E181" t="s">
        <v>6</v>
      </c>
      <c r="F181" t="s">
        <v>12</v>
      </c>
    </row>
    <row r="182" spans="1:6" x14ac:dyDescent="0.25">
      <c r="A182">
        <v>5806</v>
      </c>
      <c r="B182">
        <v>40805</v>
      </c>
      <c r="C182" t="s">
        <v>6</v>
      </c>
      <c r="D182" t="str">
        <f>HYPERLINK("https://users.rcc.uchicago.edu/~cozzyd/monutau/#event&amp;run=5806&amp;entry=40805", "link")</f>
        <v>link</v>
      </c>
      <c r="E182" t="s">
        <v>6</v>
      </c>
      <c r="F182" t="s">
        <v>12</v>
      </c>
    </row>
    <row r="183" spans="1:6" x14ac:dyDescent="0.25">
      <c r="A183">
        <v>5806</v>
      </c>
      <c r="B183">
        <v>41179</v>
      </c>
      <c r="C183" t="s">
        <v>6</v>
      </c>
      <c r="D183" t="str">
        <f>HYPERLINK("https://users.rcc.uchicago.edu/~cozzyd/monutau/#event&amp;run=5806&amp;entry=41179", "link")</f>
        <v>link</v>
      </c>
      <c r="E183" t="s">
        <v>6</v>
      </c>
      <c r="F183" t="s">
        <v>12</v>
      </c>
    </row>
    <row r="184" spans="1:6" x14ac:dyDescent="0.25">
      <c r="A184">
        <v>5806</v>
      </c>
      <c r="B184">
        <v>41367</v>
      </c>
      <c r="C184" t="s">
        <v>6</v>
      </c>
      <c r="D184" t="str">
        <f>HYPERLINK("https://users.rcc.uchicago.edu/~cozzyd/monutau/#event&amp;run=5806&amp;entry=41367", "link")</f>
        <v>link</v>
      </c>
      <c r="E184" t="s">
        <v>6</v>
      </c>
      <c r="F184" t="s">
        <v>12</v>
      </c>
    </row>
    <row r="185" spans="1:6" x14ac:dyDescent="0.25">
      <c r="A185">
        <v>5806</v>
      </c>
      <c r="B185">
        <v>41946</v>
      </c>
      <c r="C185" t="s">
        <v>6</v>
      </c>
      <c r="D185" t="str">
        <f>HYPERLINK("https://users.rcc.uchicago.edu/~cozzyd/monutau/#event&amp;run=5806&amp;entry=41946", "link")</f>
        <v>link</v>
      </c>
      <c r="E185" t="s">
        <v>6</v>
      </c>
      <c r="F185" t="s">
        <v>12</v>
      </c>
    </row>
    <row r="186" spans="1:6" x14ac:dyDescent="0.25">
      <c r="A186">
        <v>5806</v>
      </c>
      <c r="B186">
        <v>41969</v>
      </c>
      <c r="C186" t="s">
        <v>6</v>
      </c>
      <c r="D186" t="str">
        <f>HYPERLINK("https://users.rcc.uchicago.edu/~cozzyd/monutau/#event&amp;run=5806&amp;entry=41969", "link")</f>
        <v>link</v>
      </c>
      <c r="E186" t="s">
        <v>6</v>
      </c>
      <c r="F186" t="s">
        <v>12</v>
      </c>
    </row>
    <row r="187" spans="1:6" x14ac:dyDescent="0.25">
      <c r="A187">
        <v>5806</v>
      </c>
      <c r="B187">
        <v>42391</v>
      </c>
      <c r="C187" t="s">
        <v>6</v>
      </c>
      <c r="D187" t="str">
        <f>HYPERLINK("https://users.rcc.uchicago.edu/~cozzyd/monutau/#event&amp;run=5806&amp;entry=42391", "link")</f>
        <v>link</v>
      </c>
      <c r="E187" t="s">
        <v>6</v>
      </c>
      <c r="F187" t="s">
        <v>12</v>
      </c>
    </row>
    <row r="188" spans="1:6" x14ac:dyDescent="0.25">
      <c r="A188">
        <v>5806</v>
      </c>
      <c r="B188">
        <v>42739</v>
      </c>
      <c r="C188" t="s">
        <v>6</v>
      </c>
      <c r="D188" t="str">
        <f>HYPERLINK("https://users.rcc.uchicago.edu/~cozzyd/monutau/#event&amp;run=5806&amp;entry=42739", "link")</f>
        <v>link</v>
      </c>
      <c r="E188" t="s">
        <v>6</v>
      </c>
      <c r="F188" t="s">
        <v>12</v>
      </c>
    </row>
    <row r="189" spans="1:6" x14ac:dyDescent="0.25">
      <c r="A189">
        <v>5806</v>
      </c>
      <c r="B189">
        <v>42790</v>
      </c>
      <c r="C189" t="s">
        <v>6</v>
      </c>
      <c r="D189" t="str">
        <f>HYPERLINK("https://users.rcc.uchicago.edu/~cozzyd/monutau/#event&amp;run=5806&amp;entry=42790", "link")</f>
        <v>link</v>
      </c>
      <c r="E189" t="s">
        <v>6</v>
      </c>
      <c r="F189" t="s">
        <v>11</v>
      </c>
    </row>
    <row r="190" spans="1:6" x14ac:dyDescent="0.25">
      <c r="A190">
        <v>5806</v>
      </c>
      <c r="B190">
        <v>42984</v>
      </c>
      <c r="C190" t="s">
        <v>6</v>
      </c>
      <c r="D190" t="str">
        <f>HYPERLINK("https://users.rcc.uchicago.edu/~cozzyd/monutau/#event&amp;run=5806&amp;entry=42984", "link")</f>
        <v>link</v>
      </c>
      <c r="E190" t="s">
        <v>6</v>
      </c>
      <c r="F190" t="s">
        <v>12</v>
      </c>
    </row>
    <row r="191" spans="1:6" x14ac:dyDescent="0.25">
      <c r="A191">
        <v>5806</v>
      </c>
      <c r="B191">
        <v>43008</v>
      </c>
      <c r="C191" t="s">
        <v>6</v>
      </c>
      <c r="D191" t="str">
        <f>HYPERLINK("https://users.rcc.uchicago.edu/~cozzyd/monutau/#event&amp;run=5806&amp;entry=43008", "link")</f>
        <v>link</v>
      </c>
      <c r="E191" t="s">
        <v>6</v>
      </c>
      <c r="F191" t="s">
        <v>12</v>
      </c>
    </row>
    <row r="192" spans="1:6" x14ac:dyDescent="0.25">
      <c r="A192">
        <v>5806</v>
      </c>
      <c r="B192">
        <v>43030</v>
      </c>
      <c r="C192" t="s">
        <v>6</v>
      </c>
      <c r="D192" t="str">
        <f>HYPERLINK("https://users.rcc.uchicago.edu/~cozzyd/monutau/#event&amp;run=5806&amp;entry=43030", "link")</f>
        <v>link</v>
      </c>
      <c r="E192" t="s">
        <v>6</v>
      </c>
      <c r="F192" t="s">
        <v>11</v>
      </c>
    </row>
    <row r="193" spans="1:6" x14ac:dyDescent="0.25">
      <c r="A193">
        <v>5806</v>
      </c>
      <c r="B193">
        <v>43058</v>
      </c>
      <c r="C193" t="s">
        <v>6</v>
      </c>
      <c r="D193" t="str">
        <f>HYPERLINK("https://users.rcc.uchicago.edu/~cozzyd/monutau/#event&amp;run=5806&amp;entry=43058", "link")</f>
        <v>link</v>
      </c>
      <c r="E193" t="s">
        <v>6</v>
      </c>
      <c r="F193" t="s">
        <v>12</v>
      </c>
    </row>
    <row r="194" spans="1:6" x14ac:dyDescent="0.25">
      <c r="A194">
        <v>5806</v>
      </c>
      <c r="B194">
        <v>43231</v>
      </c>
      <c r="C194" t="s">
        <v>6</v>
      </c>
      <c r="D194" t="str">
        <f>HYPERLINK("https://users.rcc.uchicago.edu/~cozzyd/monutau/#event&amp;run=5806&amp;entry=43231", "link")</f>
        <v>link</v>
      </c>
      <c r="E194" t="s">
        <v>6</v>
      </c>
      <c r="F194" t="s">
        <v>12</v>
      </c>
    </row>
    <row r="195" spans="1:6" x14ac:dyDescent="0.25">
      <c r="A195">
        <v>5806</v>
      </c>
      <c r="B195">
        <v>43858</v>
      </c>
      <c r="C195" t="s">
        <v>6</v>
      </c>
      <c r="D195" t="str">
        <f>HYPERLINK("https://users.rcc.uchicago.edu/~cozzyd/monutau/#event&amp;run=5806&amp;entry=43858", "link")</f>
        <v>link</v>
      </c>
      <c r="E195" t="s">
        <v>6</v>
      </c>
      <c r="F195" t="s">
        <v>7</v>
      </c>
    </row>
    <row r="196" spans="1:6" x14ac:dyDescent="0.25">
      <c r="A196">
        <v>5806</v>
      </c>
      <c r="B196">
        <v>43869</v>
      </c>
      <c r="C196" t="s">
        <v>6</v>
      </c>
      <c r="D196" t="str">
        <f>HYPERLINK("https://users.rcc.uchicago.edu/~cozzyd/monutau/#event&amp;run=5806&amp;entry=43869", "link")</f>
        <v>link</v>
      </c>
      <c r="E196" t="s">
        <v>6</v>
      </c>
      <c r="F196" t="s">
        <v>7</v>
      </c>
    </row>
    <row r="197" spans="1:6" x14ac:dyDescent="0.25">
      <c r="A197">
        <v>5806</v>
      </c>
      <c r="B197">
        <v>43898</v>
      </c>
      <c r="C197" t="s">
        <v>6</v>
      </c>
      <c r="D197" t="str">
        <f>HYPERLINK("https://users.rcc.uchicago.edu/~cozzyd/monutau/#event&amp;run=5806&amp;entry=43898", "link")</f>
        <v>link</v>
      </c>
      <c r="E197" t="s">
        <v>6</v>
      </c>
      <c r="F197" t="s">
        <v>12</v>
      </c>
    </row>
    <row r="198" spans="1:6" x14ac:dyDescent="0.25">
      <c r="A198">
        <v>5806</v>
      </c>
      <c r="B198">
        <v>44575</v>
      </c>
      <c r="C198" t="s">
        <v>6</v>
      </c>
      <c r="D198" t="str">
        <f>HYPERLINK("https://users.rcc.uchicago.edu/~cozzyd/monutau/#event&amp;run=5806&amp;entry=44575", "link")</f>
        <v>link</v>
      </c>
      <c r="E198" t="s">
        <v>6</v>
      </c>
      <c r="F198" t="s">
        <v>11</v>
      </c>
    </row>
    <row r="199" spans="1:6" x14ac:dyDescent="0.25">
      <c r="A199">
        <v>5806</v>
      </c>
      <c r="B199">
        <v>44781</v>
      </c>
      <c r="C199" t="s">
        <v>6</v>
      </c>
      <c r="D199" t="str">
        <f>HYPERLINK("https://users.rcc.uchicago.edu/~cozzyd/monutau/#event&amp;run=5806&amp;entry=44781", "link")</f>
        <v>link</v>
      </c>
      <c r="E199" t="s">
        <v>6</v>
      </c>
      <c r="F199" t="s">
        <v>11</v>
      </c>
    </row>
    <row r="200" spans="1:6" x14ac:dyDescent="0.25">
      <c r="A200">
        <v>5806</v>
      </c>
      <c r="B200">
        <v>45183</v>
      </c>
      <c r="C200" t="s">
        <v>6</v>
      </c>
      <c r="D200" t="str">
        <f>HYPERLINK("https://users.rcc.uchicago.edu/~cozzyd/monutau/#event&amp;run=5806&amp;entry=45183", "link")</f>
        <v>link</v>
      </c>
      <c r="E200" t="s">
        <v>6</v>
      </c>
      <c r="F200" t="s">
        <v>12</v>
      </c>
    </row>
    <row r="201" spans="1:6" x14ac:dyDescent="0.25">
      <c r="A201">
        <v>5807</v>
      </c>
      <c r="B201">
        <v>16075</v>
      </c>
      <c r="C201" t="s">
        <v>6</v>
      </c>
      <c r="D201" t="str">
        <f>HYPERLINK("https://users.rcc.uchicago.edu/~cozzyd/monutau/#event&amp;run=5807&amp;entry=16075", "link")</f>
        <v>link</v>
      </c>
      <c r="E201" t="s">
        <v>6</v>
      </c>
      <c r="F201" t="s">
        <v>10</v>
      </c>
    </row>
    <row r="202" spans="1:6" x14ac:dyDescent="0.25">
      <c r="A202">
        <v>5807</v>
      </c>
      <c r="B202">
        <v>28366</v>
      </c>
      <c r="C202" t="s">
        <v>6</v>
      </c>
      <c r="D202" t="str">
        <f>HYPERLINK("https://users.rcc.uchicago.edu/~cozzyd/monutau/#event&amp;run=5807&amp;entry=28366", "link")</f>
        <v>link</v>
      </c>
      <c r="E202" t="s">
        <v>6</v>
      </c>
      <c r="F202" t="s">
        <v>7</v>
      </c>
    </row>
    <row r="203" spans="1:6" x14ac:dyDescent="0.25">
      <c r="A203">
        <v>5807</v>
      </c>
      <c r="B203">
        <v>29189</v>
      </c>
      <c r="C203" t="s">
        <v>6</v>
      </c>
      <c r="D203" t="str">
        <f>HYPERLINK("https://users.rcc.uchicago.edu/~cozzyd/monutau/#event&amp;run=5807&amp;entry=29189", "link")</f>
        <v>link</v>
      </c>
      <c r="E203" t="s">
        <v>6</v>
      </c>
      <c r="F203" t="s">
        <v>12</v>
      </c>
    </row>
    <row r="204" spans="1:6" x14ac:dyDescent="0.25">
      <c r="A204">
        <v>5807</v>
      </c>
      <c r="B204">
        <v>33571</v>
      </c>
      <c r="C204" t="s">
        <v>6</v>
      </c>
      <c r="D204" t="str">
        <f>HYPERLINK("https://users.rcc.uchicago.edu/~cozzyd/monutau/#event&amp;run=5807&amp;entry=33571", "link")</f>
        <v>link</v>
      </c>
      <c r="E204" t="s">
        <v>6</v>
      </c>
      <c r="F204" t="s">
        <v>11</v>
      </c>
    </row>
    <row r="205" spans="1:6" x14ac:dyDescent="0.25">
      <c r="A205">
        <v>5807</v>
      </c>
      <c r="B205">
        <v>34623</v>
      </c>
      <c r="C205" t="s">
        <v>6</v>
      </c>
      <c r="D205" t="str">
        <f>HYPERLINK("https://users.rcc.uchicago.edu/~cozzyd/monutau/#event&amp;run=5807&amp;entry=34623", "link")</f>
        <v>link</v>
      </c>
      <c r="E205" t="s">
        <v>6</v>
      </c>
      <c r="F205" t="s">
        <v>12</v>
      </c>
    </row>
    <row r="206" spans="1:6" x14ac:dyDescent="0.25">
      <c r="A206">
        <v>5807</v>
      </c>
      <c r="B206">
        <v>34804</v>
      </c>
      <c r="C206" t="s">
        <v>6</v>
      </c>
      <c r="D206" t="str">
        <f>HYPERLINK("https://users.rcc.uchicago.edu/~cozzyd/monutau/#event&amp;run=5807&amp;entry=34804", "link")</f>
        <v>link</v>
      </c>
      <c r="E206" t="s">
        <v>6</v>
      </c>
      <c r="F206" t="s">
        <v>12</v>
      </c>
    </row>
    <row r="207" spans="1:6" x14ac:dyDescent="0.25">
      <c r="A207">
        <v>5807</v>
      </c>
      <c r="B207">
        <v>36666</v>
      </c>
      <c r="C207" t="s">
        <v>6</v>
      </c>
      <c r="D207" t="str">
        <f>HYPERLINK("https://users.rcc.uchicago.edu/~cozzyd/monutau/#event&amp;run=5807&amp;entry=36666", "link")</f>
        <v>link</v>
      </c>
      <c r="E207" t="s">
        <v>6</v>
      </c>
      <c r="F207" t="s">
        <v>11</v>
      </c>
    </row>
    <row r="208" spans="1:6" x14ac:dyDescent="0.25">
      <c r="A208">
        <v>5807</v>
      </c>
      <c r="B208">
        <v>39821</v>
      </c>
      <c r="C208" t="s">
        <v>6</v>
      </c>
      <c r="D208" t="str">
        <f>HYPERLINK("https://users.rcc.uchicago.edu/~cozzyd/monutau/#event&amp;run=5807&amp;entry=39821", "link")</f>
        <v>link</v>
      </c>
      <c r="E208" t="s">
        <v>6</v>
      </c>
      <c r="F208" t="s">
        <v>12</v>
      </c>
    </row>
    <row r="209" spans="1:6" x14ac:dyDescent="0.25">
      <c r="A209">
        <v>5807</v>
      </c>
      <c r="B209">
        <v>42747</v>
      </c>
      <c r="C209" t="s">
        <v>6</v>
      </c>
      <c r="D209" t="str">
        <f>HYPERLINK("https://users.rcc.uchicago.edu/~cozzyd/monutau/#event&amp;run=5807&amp;entry=42747", "link")</f>
        <v>link</v>
      </c>
      <c r="E209" t="s">
        <v>6</v>
      </c>
      <c r="F209" t="s">
        <v>12</v>
      </c>
    </row>
    <row r="210" spans="1:6" x14ac:dyDescent="0.25">
      <c r="A210">
        <v>5807</v>
      </c>
      <c r="B210">
        <v>45123</v>
      </c>
      <c r="C210" t="s">
        <v>6</v>
      </c>
      <c r="D210" t="str">
        <f>HYPERLINK("https://users.rcc.uchicago.edu/~cozzyd/monutau/#event&amp;run=5807&amp;entry=45123", "link")</f>
        <v>link</v>
      </c>
      <c r="E210" t="s">
        <v>6</v>
      </c>
      <c r="F210" t="s">
        <v>11</v>
      </c>
    </row>
    <row r="211" spans="1:6" x14ac:dyDescent="0.25">
      <c r="A211">
        <v>5811</v>
      </c>
      <c r="B211">
        <v>35070</v>
      </c>
      <c r="C211" t="s">
        <v>6</v>
      </c>
      <c r="D211" t="str">
        <f>HYPERLINK("https://users.rcc.uchicago.edu/~cozzyd/monutau/#event&amp;run=5811&amp;entry=35070", "link")</f>
        <v>link</v>
      </c>
      <c r="E211" t="s">
        <v>6</v>
      </c>
      <c r="F211" t="s">
        <v>7</v>
      </c>
    </row>
    <row r="212" spans="1:6" x14ac:dyDescent="0.25">
      <c r="A212">
        <v>5812</v>
      </c>
      <c r="B212">
        <v>16838</v>
      </c>
      <c r="C212" t="s">
        <v>6</v>
      </c>
      <c r="D212" t="str">
        <f>HYPERLINK("https://users.rcc.uchicago.edu/~cozzyd/monutau/#event&amp;run=5812&amp;entry=16838", "link")</f>
        <v>link</v>
      </c>
      <c r="E212" t="s">
        <v>6</v>
      </c>
      <c r="F212" t="s">
        <v>7</v>
      </c>
    </row>
    <row r="213" spans="1:6" x14ac:dyDescent="0.25">
      <c r="A213">
        <v>5812</v>
      </c>
      <c r="B213">
        <v>16859</v>
      </c>
      <c r="C213" t="s">
        <v>6</v>
      </c>
      <c r="D213" t="str">
        <f>HYPERLINK("https://users.rcc.uchicago.edu/~cozzyd/monutau/#event&amp;run=5812&amp;entry=16859", "link")</f>
        <v>link</v>
      </c>
      <c r="E213" t="s">
        <v>6</v>
      </c>
      <c r="F213" t="s">
        <v>12</v>
      </c>
    </row>
    <row r="214" spans="1:6" x14ac:dyDescent="0.25">
      <c r="A214">
        <v>5812</v>
      </c>
      <c r="B214">
        <v>16879</v>
      </c>
      <c r="C214" t="s">
        <v>6</v>
      </c>
      <c r="D214" t="str">
        <f>HYPERLINK("https://users.rcc.uchicago.edu/~cozzyd/monutau/#event&amp;run=5812&amp;entry=16879", "link")</f>
        <v>link</v>
      </c>
      <c r="E214" t="s">
        <v>6</v>
      </c>
      <c r="F214" t="s">
        <v>12</v>
      </c>
    </row>
    <row r="215" spans="1:6" x14ac:dyDescent="0.25">
      <c r="A215">
        <v>5812</v>
      </c>
      <c r="B215">
        <v>16880</v>
      </c>
      <c r="C215" t="s">
        <v>6</v>
      </c>
      <c r="D215" t="str">
        <f>HYPERLINK("https://users.rcc.uchicago.edu/~cozzyd/monutau/#event&amp;run=5812&amp;entry=16880", "link")</f>
        <v>link</v>
      </c>
      <c r="E215" t="s">
        <v>6</v>
      </c>
      <c r="F215" t="s">
        <v>7</v>
      </c>
    </row>
    <row r="216" spans="1:6" x14ac:dyDescent="0.25">
      <c r="A216">
        <v>5812</v>
      </c>
      <c r="B216">
        <v>16950</v>
      </c>
      <c r="C216" t="s">
        <v>6</v>
      </c>
      <c r="D216" t="str">
        <f>HYPERLINK("https://users.rcc.uchicago.edu/~cozzyd/monutau/#event&amp;run=5812&amp;entry=16950", "link")</f>
        <v>link</v>
      </c>
      <c r="E216" t="s">
        <v>6</v>
      </c>
      <c r="F216" t="s">
        <v>12</v>
      </c>
    </row>
    <row r="217" spans="1:6" x14ac:dyDescent="0.25">
      <c r="A217">
        <v>5812</v>
      </c>
      <c r="B217">
        <v>16974</v>
      </c>
      <c r="C217" t="s">
        <v>6</v>
      </c>
      <c r="D217" t="str">
        <f>HYPERLINK("https://users.rcc.uchicago.edu/~cozzyd/monutau/#event&amp;run=5812&amp;entry=16974", "link")</f>
        <v>link</v>
      </c>
      <c r="E217" t="s">
        <v>6</v>
      </c>
      <c r="F217" t="s">
        <v>12</v>
      </c>
    </row>
    <row r="218" spans="1:6" x14ac:dyDescent="0.25">
      <c r="A218">
        <v>5812</v>
      </c>
      <c r="B218">
        <v>40525</v>
      </c>
      <c r="C218" t="s">
        <v>6</v>
      </c>
      <c r="D218" t="str">
        <f>HYPERLINK("https://users.rcc.uchicago.edu/~cozzyd/monutau/#event&amp;run=5812&amp;entry=40525", "link")</f>
        <v>link</v>
      </c>
      <c r="E218" t="s">
        <v>6</v>
      </c>
      <c r="F218" t="s">
        <v>12</v>
      </c>
    </row>
    <row r="219" spans="1:6" x14ac:dyDescent="0.25">
      <c r="A219">
        <v>5812</v>
      </c>
      <c r="B219">
        <v>40609</v>
      </c>
      <c r="C219" t="s">
        <v>6</v>
      </c>
      <c r="D219" t="str">
        <f>HYPERLINK("https://users.rcc.uchicago.edu/~cozzyd/monutau/#event&amp;run=5812&amp;entry=40609", "link")</f>
        <v>link</v>
      </c>
      <c r="E219" t="s">
        <v>6</v>
      </c>
      <c r="F219" t="s">
        <v>12</v>
      </c>
    </row>
    <row r="220" spans="1:6" x14ac:dyDescent="0.25">
      <c r="A220">
        <v>5812</v>
      </c>
      <c r="B220">
        <v>40613</v>
      </c>
      <c r="C220" t="s">
        <v>6</v>
      </c>
      <c r="D220" t="str">
        <f>HYPERLINK("https://users.rcc.uchicago.edu/~cozzyd/monutau/#event&amp;run=5812&amp;entry=40613", "link")</f>
        <v>link</v>
      </c>
      <c r="E220" t="s">
        <v>6</v>
      </c>
      <c r="F220" t="s">
        <v>12</v>
      </c>
    </row>
    <row r="221" spans="1:6" x14ac:dyDescent="0.25">
      <c r="A221">
        <v>5812</v>
      </c>
      <c r="B221">
        <v>40623</v>
      </c>
      <c r="C221" t="s">
        <v>6</v>
      </c>
      <c r="D221" t="str">
        <f>HYPERLINK("https://users.rcc.uchicago.edu/~cozzyd/monutau/#event&amp;run=5812&amp;entry=40623", "link")</f>
        <v>link</v>
      </c>
      <c r="E221" t="s">
        <v>6</v>
      </c>
      <c r="F221" t="s">
        <v>12</v>
      </c>
    </row>
    <row r="222" spans="1:6" x14ac:dyDescent="0.25">
      <c r="A222">
        <v>5812</v>
      </c>
      <c r="B222">
        <v>40626</v>
      </c>
      <c r="C222" t="s">
        <v>6</v>
      </c>
      <c r="D222" t="str">
        <f>HYPERLINK("https://users.rcc.uchicago.edu/~cozzyd/monutau/#event&amp;run=5812&amp;entry=40626", "link")</f>
        <v>link</v>
      </c>
      <c r="E222" t="s">
        <v>6</v>
      </c>
      <c r="F222" t="s">
        <v>12</v>
      </c>
    </row>
    <row r="223" spans="1:6" x14ac:dyDescent="0.25">
      <c r="A223">
        <v>5812</v>
      </c>
      <c r="B223">
        <v>40633</v>
      </c>
      <c r="C223" t="s">
        <v>6</v>
      </c>
      <c r="D223" t="str">
        <f>HYPERLINK("https://users.rcc.uchicago.edu/~cozzyd/monutau/#event&amp;run=5812&amp;entry=40633", "link")</f>
        <v>link</v>
      </c>
      <c r="E223" t="s">
        <v>6</v>
      </c>
      <c r="F223" t="s">
        <v>12</v>
      </c>
    </row>
    <row r="224" spans="1:6" x14ac:dyDescent="0.25">
      <c r="A224">
        <v>5812</v>
      </c>
      <c r="B224">
        <v>45074</v>
      </c>
      <c r="C224" t="s">
        <v>6</v>
      </c>
      <c r="D224" t="str">
        <f>HYPERLINK("https://users.rcc.uchicago.edu/~cozzyd/monutau/#event&amp;run=5812&amp;entry=45074", "link")</f>
        <v>link</v>
      </c>
      <c r="E224" t="s">
        <v>6</v>
      </c>
      <c r="F224" t="s">
        <v>12</v>
      </c>
    </row>
    <row r="225" spans="1:6" x14ac:dyDescent="0.25">
      <c r="A225">
        <v>5813</v>
      </c>
      <c r="B225">
        <v>28808</v>
      </c>
      <c r="C225" t="s">
        <v>6</v>
      </c>
      <c r="D225" t="str">
        <f>HYPERLINK("https://users.rcc.uchicago.edu/~cozzyd/monutau/#event&amp;run=5813&amp;entry=28808", "link")</f>
        <v>link</v>
      </c>
      <c r="E225" t="s">
        <v>6</v>
      </c>
      <c r="F225" t="s">
        <v>12</v>
      </c>
    </row>
    <row r="226" spans="1:6" x14ac:dyDescent="0.25">
      <c r="A226">
        <v>5813</v>
      </c>
      <c r="B226">
        <v>28910</v>
      </c>
      <c r="C226" t="s">
        <v>6</v>
      </c>
      <c r="D226" t="str">
        <f>HYPERLINK("https://users.rcc.uchicago.edu/~cozzyd/monutau/#event&amp;run=5813&amp;entry=28910", "link")</f>
        <v>link</v>
      </c>
      <c r="E226" t="s">
        <v>6</v>
      </c>
      <c r="F226" t="s">
        <v>12</v>
      </c>
    </row>
    <row r="227" spans="1:6" x14ac:dyDescent="0.25">
      <c r="A227">
        <v>5813</v>
      </c>
      <c r="B227">
        <v>32531</v>
      </c>
      <c r="C227" t="s">
        <v>6</v>
      </c>
      <c r="D227" t="str">
        <f>HYPERLINK("https://users.rcc.uchicago.edu/~cozzyd/monutau/#event&amp;run=5813&amp;entry=32531", "link")</f>
        <v>link</v>
      </c>
      <c r="E227" t="s">
        <v>6</v>
      </c>
      <c r="F227" t="s">
        <v>12</v>
      </c>
    </row>
    <row r="228" spans="1:6" x14ac:dyDescent="0.25">
      <c r="A228">
        <v>5813</v>
      </c>
      <c r="B228">
        <v>35054</v>
      </c>
      <c r="C228" t="s">
        <v>6</v>
      </c>
      <c r="D228" t="str">
        <f>HYPERLINK("https://users.rcc.uchicago.edu/~cozzyd/monutau/#event&amp;run=5813&amp;entry=35054", "link")</f>
        <v>link</v>
      </c>
      <c r="E228" t="s">
        <v>6</v>
      </c>
      <c r="F228" t="s">
        <v>12</v>
      </c>
    </row>
    <row r="229" spans="1:6" x14ac:dyDescent="0.25">
      <c r="A229">
        <v>5813</v>
      </c>
      <c r="B229">
        <v>39723</v>
      </c>
      <c r="C229" t="s">
        <v>6</v>
      </c>
      <c r="D229" t="str">
        <f>HYPERLINK("https://users.rcc.uchicago.edu/~cozzyd/monutau/#event&amp;run=5813&amp;entry=39723", "link")</f>
        <v>link</v>
      </c>
      <c r="E229" t="s">
        <v>6</v>
      </c>
      <c r="F229" t="s">
        <v>12</v>
      </c>
    </row>
    <row r="230" spans="1:6" x14ac:dyDescent="0.25">
      <c r="A230">
        <v>5813</v>
      </c>
      <c r="B230">
        <v>39745</v>
      </c>
      <c r="C230" t="s">
        <v>6</v>
      </c>
      <c r="D230" t="str">
        <f>HYPERLINK("https://users.rcc.uchicago.edu/~cozzyd/monutau/#event&amp;run=5813&amp;entry=39745", "link")</f>
        <v>link</v>
      </c>
      <c r="E230" t="s">
        <v>6</v>
      </c>
      <c r="F230" t="s">
        <v>12</v>
      </c>
    </row>
    <row r="231" spans="1:6" x14ac:dyDescent="0.25">
      <c r="A231">
        <v>5813</v>
      </c>
      <c r="B231">
        <v>39764</v>
      </c>
      <c r="C231" t="s">
        <v>6</v>
      </c>
      <c r="D231" t="str">
        <f>HYPERLINK("https://users.rcc.uchicago.edu/~cozzyd/monutau/#event&amp;run=5813&amp;entry=39764", "link")</f>
        <v>link</v>
      </c>
      <c r="E231" t="s">
        <v>6</v>
      </c>
      <c r="F231" t="s">
        <v>12</v>
      </c>
    </row>
    <row r="232" spans="1:6" x14ac:dyDescent="0.25">
      <c r="A232">
        <v>5813</v>
      </c>
      <c r="B232">
        <v>45384</v>
      </c>
      <c r="C232" t="s">
        <v>6</v>
      </c>
      <c r="D232" t="str">
        <f>HYPERLINK("https://users.rcc.uchicago.edu/~cozzyd/monutau/#event&amp;run=5813&amp;entry=45384", "link")</f>
        <v>link</v>
      </c>
      <c r="E232" t="s">
        <v>6</v>
      </c>
      <c r="F232" t="s">
        <v>12</v>
      </c>
    </row>
    <row r="233" spans="1:6" x14ac:dyDescent="0.25">
      <c r="A233">
        <v>5813</v>
      </c>
      <c r="B233">
        <v>45413</v>
      </c>
      <c r="C233" t="s">
        <v>6</v>
      </c>
      <c r="D233" t="str">
        <f>HYPERLINK("https://users.rcc.uchicago.edu/~cozzyd/monutau/#event&amp;run=5813&amp;entry=45413", "link")</f>
        <v>link</v>
      </c>
      <c r="E233" t="s">
        <v>6</v>
      </c>
      <c r="F233" t="s">
        <v>12</v>
      </c>
    </row>
    <row r="234" spans="1:6" x14ac:dyDescent="0.25">
      <c r="A234">
        <v>5813</v>
      </c>
      <c r="B234">
        <v>46052</v>
      </c>
      <c r="C234" t="s">
        <v>6</v>
      </c>
      <c r="D234" t="str">
        <f>HYPERLINK("https://users.rcc.uchicago.edu/~cozzyd/monutau/#event&amp;run=5813&amp;entry=46052", "link")</f>
        <v>link</v>
      </c>
      <c r="E234" t="s">
        <v>6</v>
      </c>
      <c r="F234" t="s">
        <v>11</v>
      </c>
    </row>
    <row r="235" spans="1:6" x14ac:dyDescent="0.25">
      <c r="A235">
        <v>5813</v>
      </c>
      <c r="B235">
        <v>47067</v>
      </c>
      <c r="C235" t="s">
        <v>6</v>
      </c>
      <c r="D235" t="str">
        <f>HYPERLINK("https://users.rcc.uchicago.edu/~cozzyd/monutau/#event&amp;run=5813&amp;entry=47067", "link")</f>
        <v>link</v>
      </c>
      <c r="E235" t="s">
        <v>6</v>
      </c>
      <c r="F235" t="s">
        <v>12</v>
      </c>
    </row>
    <row r="236" spans="1:6" x14ac:dyDescent="0.25">
      <c r="A236">
        <v>5815</v>
      </c>
      <c r="B236">
        <v>121757</v>
      </c>
      <c r="C236" t="s">
        <v>6</v>
      </c>
      <c r="D236" t="str">
        <f>HYPERLINK("https://users.rcc.uchicago.edu/~cozzyd/monutau/#event&amp;run=5815&amp;entry=121757", "link")</f>
        <v>link</v>
      </c>
      <c r="E236" t="s">
        <v>6</v>
      </c>
      <c r="F236" t="s">
        <v>12</v>
      </c>
    </row>
    <row r="237" spans="1:6" x14ac:dyDescent="0.25">
      <c r="A237">
        <v>5816</v>
      </c>
      <c r="B237">
        <v>136010</v>
      </c>
      <c r="C237" t="s">
        <v>6</v>
      </c>
      <c r="D237" t="str">
        <f>HYPERLINK("https://users.rcc.uchicago.edu/~cozzyd/monutau/#event&amp;run=5816&amp;entry=136010", "link")</f>
        <v>link</v>
      </c>
      <c r="E237" t="s">
        <v>6</v>
      </c>
      <c r="F237" t="s">
        <v>12</v>
      </c>
    </row>
    <row r="238" spans="1:6" x14ac:dyDescent="0.25">
      <c r="A238">
        <v>5818</v>
      </c>
      <c r="B238">
        <v>93074</v>
      </c>
      <c r="C238" t="s">
        <v>6</v>
      </c>
      <c r="D238" t="str">
        <f>HYPERLINK("https://users.rcc.uchicago.edu/~cozzyd/monutau/#event&amp;run=5818&amp;entry=93074", "link")</f>
        <v>link</v>
      </c>
      <c r="E238" t="s">
        <v>6</v>
      </c>
      <c r="F238" t="s">
        <v>12</v>
      </c>
    </row>
    <row r="239" spans="1:6" x14ac:dyDescent="0.25">
      <c r="A239">
        <v>5818</v>
      </c>
      <c r="B239">
        <v>112420</v>
      </c>
      <c r="C239" t="s">
        <v>6</v>
      </c>
      <c r="D239" t="str">
        <f>HYPERLINK("https://users.rcc.uchicago.edu/~cozzyd/monutau/#event&amp;run=5818&amp;entry=112420", "link")</f>
        <v>link</v>
      </c>
      <c r="E239" t="s">
        <v>6</v>
      </c>
      <c r="F239" t="s">
        <v>12</v>
      </c>
    </row>
    <row r="240" spans="1:6" x14ac:dyDescent="0.25">
      <c r="A240">
        <v>5819</v>
      </c>
      <c r="B240">
        <v>8134</v>
      </c>
      <c r="C240" t="s">
        <v>6</v>
      </c>
      <c r="D240" t="str">
        <f>HYPERLINK("https://users.rcc.uchicago.edu/~cozzyd/monutau/#event&amp;run=5819&amp;entry=8134", "link")</f>
        <v>link</v>
      </c>
      <c r="E240" t="s">
        <v>6</v>
      </c>
      <c r="F240" t="s">
        <v>11</v>
      </c>
    </row>
    <row r="241" spans="1:6" x14ac:dyDescent="0.25">
      <c r="A241">
        <v>5819</v>
      </c>
      <c r="B241">
        <v>67288</v>
      </c>
      <c r="C241" t="s">
        <v>6</v>
      </c>
      <c r="D241" t="str">
        <f>HYPERLINK("https://users.rcc.uchicago.edu/~cozzyd/monutau/#event&amp;run=5819&amp;entry=67288", "link")</f>
        <v>link</v>
      </c>
      <c r="E241" t="s">
        <v>6</v>
      </c>
      <c r="F241" t="s">
        <v>12</v>
      </c>
    </row>
    <row r="242" spans="1:6" x14ac:dyDescent="0.25">
      <c r="A242">
        <v>5819</v>
      </c>
      <c r="B242">
        <v>68795</v>
      </c>
      <c r="C242" t="s">
        <v>6</v>
      </c>
      <c r="D242" t="str">
        <f>HYPERLINK("https://users.rcc.uchicago.edu/~cozzyd/monutau/#event&amp;run=5819&amp;entry=68795", "link")</f>
        <v>link</v>
      </c>
      <c r="E242" t="s">
        <v>6</v>
      </c>
      <c r="F242" t="s">
        <v>7</v>
      </c>
    </row>
    <row r="243" spans="1:6" x14ac:dyDescent="0.25">
      <c r="A243">
        <v>5819</v>
      </c>
      <c r="B243">
        <v>68946</v>
      </c>
      <c r="C243" t="s">
        <v>6</v>
      </c>
      <c r="D243" t="str">
        <f>HYPERLINK("https://users.rcc.uchicago.edu/~cozzyd/monutau/#event&amp;run=5819&amp;entry=68946", "link")</f>
        <v>link</v>
      </c>
      <c r="E243" t="s">
        <v>6</v>
      </c>
      <c r="F243" t="s">
        <v>12</v>
      </c>
    </row>
    <row r="244" spans="1:6" x14ac:dyDescent="0.25">
      <c r="A244">
        <v>5819</v>
      </c>
      <c r="B244">
        <v>71535</v>
      </c>
      <c r="C244" t="s">
        <v>6</v>
      </c>
      <c r="D244" t="str">
        <f>HYPERLINK("https://users.rcc.uchicago.edu/~cozzyd/monutau/#event&amp;run=5819&amp;entry=71535", "link")</f>
        <v>link</v>
      </c>
      <c r="E244" t="s">
        <v>6</v>
      </c>
      <c r="F244" t="s">
        <v>12</v>
      </c>
    </row>
    <row r="245" spans="1:6" x14ac:dyDescent="0.25">
      <c r="A245">
        <v>5819</v>
      </c>
      <c r="B245">
        <v>71542</v>
      </c>
      <c r="C245" t="s">
        <v>6</v>
      </c>
      <c r="D245" t="str">
        <f>HYPERLINK("https://users.rcc.uchicago.edu/~cozzyd/monutau/#event&amp;run=5819&amp;entry=71542", "link")</f>
        <v>link</v>
      </c>
      <c r="E245" t="s">
        <v>6</v>
      </c>
      <c r="F245" t="s">
        <v>7</v>
      </c>
    </row>
    <row r="246" spans="1:6" x14ac:dyDescent="0.25">
      <c r="A246">
        <v>5819</v>
      </c>
      <c r="B246">
        <v>71659</v>
      </c>
      <c r="C246" t="s">
        <v>6</v>
      </c>
      <c r="D246" t="str">
        <f>HYPERLINK("https://users.rcc.uchicago.edu/~cozzyd/monutau/#event&amp;run=5819&amp;entry=71659", "link")</f>
        <v>link</v>
      </c>
      <c r="E246" t="s">
        <v>6</v>
      </c>
      <c r="F246" t="s">
        <v>12</v>
      </c>
    </row>
    <row r="247" spans="1:6" x14ac:dyDescent="0.25">
      <c r="A247">
        <v>5819</v>
      </c>
      <c r="B247">
        <v>71849</v>
      </c>
      <c r="C247" t="s">
        <v>6</v>
      </c>
      <c r="D247" t="str">
        <f>HYPERLINK("https://users.rcc.uchicago.edu/~cozzyd/monutau/#event&amp;run=5819&amp;entry=71849", "link")</f>
        <v>link</v>
      </c>
      <c r="E247" t="s">
        <v>6</v>
      </c>
      <c r="F247" t="s">
        <v>12</v>
      </c>
    </row>
    <row r="248" spans="1:6" x14ac:dyDescent="0.25">
      <c r="A248">
        <v>5819</v>
      </c>
      <c r="B248">
        <v>115344</v>
      </c>
      <c r="C248" t="s">
        <v>6</v>
      </c>
      <c r="D248" t="str">
        <f>HYPERLINK("https://users.rcc.uchicago.edu/~cozzyd/monutau/#event&amp;run=5819&amp;entry=115344", "link")</f>
        <v>link</v>
      </c>
      <c r="E248" t="s">
        <v>6</v>
      </c>
      <c r="F248" t="s">
        <v>12</v>
      </c>
    </row>
    <row r="249" spans="1:6" x14ac:dyDescent="0.25">
      <c r="A249">
        <v>5820</v>
      </c>
      <c r="B249">
        <v>241</v>
      </c>
      <c r="C249" t="s">
        <v>6</v>
      </c>
      <c r="D249" t="str">
        <f>HYPERLINK("https://users.rcc.uchicago.edu/~cozzyd/monutau/#event&amp;run=5820&amp;entry=241", "link")</f>
        <v>link</v>
      </c>
      <c r="E249" t="s">
        <v>6</v>
      </c>
      <c r="F249" t="s">
        <v>12</v>
      </c>
    </row>
    <row r="250" spans="1:6" x14ac:dyDescent="0.25">
      <c r="A250">
        <v>5820</v>
      </c>
      <c r="B250">
        <v>3608</v>
      </c>
      <c r="C250" t="s">
        <v>6</v>
      </c>
      <c r="D250" t="str">
        <f>HYPERLINK("https://users.rcc.uchicago.edu/~cozzyd/monutau/#event&amp;run=5820&amp;entry=3608", "link")</f>
        <v>link</v>
      </c>
      <c r="E250" t="s">
        <v>6</v>
      </c>
      <c r="F250" t="s">
        <v>12</v>
      </c>
    </row>
    <row r="251" spans="1:6" x14ac:dyDescent="0.25">
      <c r="A251">
        <v>5820</v>
      </c>
      <c r="B251">
        <v>14515</v>
      </c>
      <c r="C251" t="s">
        <v>13</v>
      </c>
      <c r="D251" t="str">
        <f>HYPERLINK("https://users.rcc.uchicago.edu/~cozzyd/monutau/#event&amp;run=5820&amp;entry=14515", "link")</f>
        <v>link</v>
      </c>
      <c r="E251" t="s">
        <v>15</v>
      </c>
      <c r="F251" t="s">
        <v>11</v>
      </c>
    </row>
    <row r="252" spans="1:6" x14ac:dyDescent="0.25">
      <c r="A252">
        <v>5821</v>
      </c>
      <c r="B252">
        <v>39066</v>
      </c>
      <c r="C252" t="s">
        <v>6</v>
      </c>
      <c r="D252" t="str">
        <f>HYPERLINK("https://users.rcc.uchicago.edu/~cozzyd/monutau/#event&amp;run=5821&amp;entry=39066", "link")</f>
        <v>link</v>
      </c>
      <c r="E252" t="s">
        <v>6</v>
      </c>
      <c r="F252" t="s">
        <v>12</v>
      </c>
    </row>
    <row r="253" spans="1:6" x14ac:dyDescent="0.25">
      <c r="A253">
        <v>5821</v>
      </c>
      <c r="B253">
        <v>39121</v>
      </c>
      <c r="C253" t="s">
        <v>6</v>
      </c>
      <c r="D253" t="str">
        <f>HYPERLINK("https://users.rcc.uchicago.edu/~cozzyd/monutau/#event&amp;run=5821&amp;entry=39121", "link")</f>
        <v>link</v>
      </c>
      <c r="E253" t="s">
        <v>6</v>
      </c>
      <c r="F253" t="s">
        <v>12</v>
      </c>
    </row>
    <row r="254" spans="1:6" x14ac:dyDescent="0.25">
      <c r="A254">
        <v>5821</v>
      </c>
      <c r="B254">
        <v>49293</v>
      </c>
      <c r="C254" t="s">
        <v>6</v>
      </c>
      <c r="D254" t="str">
        <f>HYPERLINK("https://users.rcc.uchicago.edu/~cozzyd/monutau/#event&amp;run=5821&amp;entry=49293", "link")</f>
        <v>link</v>
      </c>
      <c r="E254" t="s">
        <v>6</v>
      </c>
      <c r="F254" t="s">
        <v>12</v>
      </c>
    </row>
    <row r="255" spans="1:6" x14ac:dyDescent="0.25">
      <c r="A255">
        <v>5821</v>
      </c>
      <c r="B255">
        <v>49409</v>
      </c>
      <c r="C255" t="s">
        <v>6</v>
      </c>
      <c r="D255" t="str">
        <f>HYPERLINK("https://users.rcc.uchicago.edu/~cozzyd/monutau/#event&amp;run=5821&amp;entry=49409", "link")</f>
        <v>link</v>
      </c>
      <c r="E255" t="s">
        <v>6</v>
      </c>
      <c r="F255" t="s">
        <v>12</v>
      </c>
    </row>
    <row r="256" spans="1:6" x14ac:dyDescent="0.25">
      <c r="A256">
        <v>5821</v>
      </c>
      <c r="B256">
        <v>49410</v>
      </c>
      <c r="C256" t="s">
        <v>6</v>
      </c>
      <c r="D256" t="str">
        <f>HYPERLINK("https://users.rcc.uchicago.edu/~cozzyd/monutau/#event&amp;run=5821&amp;entry=49410", "link")</f>
        <v>link</v>
      </c>
      <c r="E256" t="s">
        <v>6</v>
      </c>
      <c r="F256" t="s">
        <v>12</v>
      </c>
    </row>
    <row r="257" spans="1:6" x14ac:dyDescent="0.25">
      <c r="A257">
        <v>5821</v>
      </c>
      <c r="B257">
        <v>49411</v>
      </c>
      <c r="C257" t="s">
        <v>6</v>
      </c>
      <c r="D257" t="str">
        <f>HYPERLINK("https://users.rcc.uchicago.edu/~cozzyd/monutau/#event&amp;run=5821&amp;entry=49411", "link")</f>
        <v>link</v>
      </c>
      <c r="E257" t="s">
        <v>6</v>
      </c>
      <c r="F257" t="s">
        <v>12</v>
      </c>
    </row>
    <row r="258" spans="1:6" x14ac:dyDescent="0.25">
      <c r="A258">
        <v>5821</v>
      </c>
      <c r="B258">
        <v>49417</v>
      </c>
      <c r="C258" t="s">
        <v>6</v>
      </c>
      <c r="D258" t="str">
        <f>HYPERLINK("https://users.rcc.uchicago.edu/~cozzyd/monutau/#event&amp;run=5821&amp;entry=49417", "link")</f>
        <v>link</v>
      </c>
      <c r="E258" t="s">
        <v>6</v>
      </c>
      <c r="F258" t="s">
        <v>12</v>
      </c>
    </row>
    <row r="259" spans="1:6" x14ac:dyDescent="0.25">
      <c r="A259">
        <v>5821</v>
      </c>
      <c r="B259">
        <v>50010</v>
      </c>
      <c r="C259" t="s">
        <v>6</v>
      </c>
      <c r="D259" t="str">
        <f>HYPERLINK("https://users.rcc.uchicago.edu/~cozzyd/monutau/#event&amp;run=5821&amp;entry=50010", "link")</f>
        <v>link</v>
      </c>
      <c r="E259" t="s">
        <v>6</v>
      </c>
      <c r="F259" t="s">
        <v>12</v>
      </c>
    </row>
    <row r="260" spans="1:6" x14ac:dyDescent="0.25">
      <c r="A260">
        <v>5821</v>
      </c>
      <c r="B260">
        <v>52382</v>
      </c>
      <c r="C260" t="s">
        <v>6</v>
      </c>
      <c r="D260" t="str">
        <f>HYPERLINK("https://users.rcc.uchicago.edu/~cozzyd/monutau/#event&amp;run=5821&amp;entry=52382", "link")</f>
        <v>link</v>
      </c>
      <c r="E260" t="s">
        <v>6</v>
      </c>
      <c r="F260" t="s">
        <v>12</v>
      </c>
    </row>
    <row r="261" spans="1:6" x14ac:dyDescent="0.25">
      <c r="A261">
        <v>5821</v>
      </c>
      <c r="B261">
        <v>52429</v>
      </c>
      <c r="C261" t="s">
        <v>6</v>
      </c>
      <c r="D261" t="str">
        <f>HYPERLINK("https://users.rcc.uchicago.edu/~cozzyd/monutau/#event&amp;run=5821&amp;entry=52429", "link")</f>
        <v>link</v>
      </c>
      <c r="E261" t="s">
        <v>6</v>
      </c>
      <c r="F261" t="s">
        <v>7</v>
      </c>
    </row>
    <row r="262" spans="1:6" x14ac:dyDescent="0.25">
      <c r="A262">
        <v>5821</v>
      </c>
      <c r="B262">
        <v>52440</v>
      </c>
      <c r="C262" t="s">
        <v>6</v>
      </c>
      <c r="D262" t="str">
        <f>HYPERLINK("https://users.rcc.uchicago.edu/~cozzyd/monutau/#event&amp;run=5821&amp;entry=52440", "link")</f>
        <v>link</v>
      </c>
      <c r="E262" t="s">
        <v>6</v>
      </c>
      <c r="F262" t="s">
        <v>12</v>
      </c>
    </row>
    <row r="263" spans="1:6" x14ac:dyDescent="0.25">
      <c r="A263">
        <v>5821</v>
      </c>
      <c r="B263">
        <v>52448</v>
      </c>
      <c r="C263" t="s">
        <v>6</v>
      </c>
      <c r="D263" t="str">
        <f>HYPERLINK("https://users.rcc.uchicago.edu/~cozzyd/monutau/#event&amp;run=5821&amp;entry=52448", "link")</f>
        <v>link</v>
      </c>
      <c r="E263" t="s">
        <v>6</v>
      </c>
      <c r="F263" t="s">
        <v>12</v>
      </c>
    </row>
    <row r="264" spans="1:6" x14ac:dyDescent="0.25">
      <c r="A264">
        <v>5821</v>
      </c>
      <c r="B264">
        <v>52527</v>
      </c>
      <c r="C264" t="s">
        <v>6</v>
      </c>
      <c r="D264" t="str">
        <f>HYPERLINK("https://users.rcc.uchicago.edu/~cozzyd/monutau/#event&amp;run=5821&amp;entry=52527", "link")</f>
        <v>link</v>
      </c>
      <c r="E264" t="s">
        <v>6</v>
      </c>
      <c r="F264" t="s">
        <v>12</v>
      </c>
    </row>
    <row r="265" spans="1:6" x14ac:dyDescent="0.25">
      <c r="A265">
        <v>5821</v>
      </c>
      <c r="B265">
        <v>53177</v>
      </c>
      <c r="C265" t="s">
        <v>6</v>
      </c>
      <c r="D265" t="str">
        <f>HYPERLINK("https://users.rcc.uchicago.edu/~cozzyd/monutau/#event&amp;run=5821&amp;entry=53177", "link")</f>
        <v>link</v>
      </c>
      <c r="E265" t="s">
        <v>6</v>
      </c>
      <c r="F265" t="s">
        <v>12</v>
      </c>
    </row>
    <row r="266" spans="1:6" x14ac:dyDescent="0.25">
      <c r="A266">
        <v>5821</v>
      </c>
      <c r="B266">
        <v>53183</v>
      </c>
      <c r="C266" t="s">
        <v>6</v>
      </c>
      <c r="D266" t="str">
        <f>HYPERLINK("https://users.rcc.uchicago.edu/~cozzyd/monutau/#event&amp;run=5821&amp;entry=53183", "link")</f>
        <v>link</v>
      </c>
      <c r="E266" t="s">
        <v>6</v>
      </c>
      <c r="F266" t="s">
        <v>12</v>
      </c>
    </row>
    <row r="267" spans="1:6" x14ac:dyDescent="0.25">
      <c r="A267">
        <v>5821</v>
      </c>
      <c r="B267">
        <v>53771</v>
      </c>
      <c r="C267" t="s">
        <v>6</v>
      </c>
      <c r="D267" t="str">
        <f>HYPERLINK("https://users.rcc.uchicago.edu/~cozzyd/monutau/#event&amp;run=5821&amp;entry=53771", "link")</f>
        <v>link</v>
      </c>
      <c r="E267" t="s">
        <v>6</v>
      </c>
      <c r="F267" t="s">
        <v>12</v>
      </c>
    </row>
    <row r="268" spans="1:6" x14ac:dyDescent="0.25">
      <c r="A268">
        <v>5821</v>
      </c>
      <c r="B268">
        <v>53782</v>
      </c>
      <c r="C268" t="s">
        <v>6</v>
      </c>
      <c r="D268" t="str">
        <f>HYPERLINK("https://users.rcc.uchicago.edu/~cozzyd/monutau/#event&amp;run=5821&amp;entry=53782", "link")</f>
        <v>link</v>
      </c>
      <c r="E268" t="s">
        <v>6</v>
      </c>
      <c r="F268" t="s">
        <v>12</v>
      </c>
    </row>
    <row r="269" spans="1:6" x14ac:dyDescent="0.25">
      <c r="A269">
        <v>5821</v>
      </c>
      <c r="B269">
        <v>53795</v>
      </c>
      <c r="C269" t="s">
        <v>6</v>
      </c>
      <c r="D269" t="str">
        <f>HYPERLINK("https://users.rcc.uchicago.edu/~cozzyd/monutau/#event&amp;run=5821&amp;entry=53795", "link")</f>
        <v>link</v>
      </c>
      <c r="E269" t="s">
        <v>6</v>
      </c>
      <c r="F269" t="s">
        <v>12</v>
      </c>
    </row>
    <row r="270" spans="1:6" x14ac:dyDescent="0.25">
      <c r="A270">
        <v>5821</v>
      </c>
      <c r="B270">
        <v>55809</v>
      </c>
      <c r="C270" t="s">
        <v>6</v>
      </c>
      <c r="D270" t="str">
        <f>HYPERLINK("https://users.rcc.uchicago.edu/~cozzyd/monutau/#event&amp;run=5821&amp;entry=55809", "link")</f>
        <v>link</v>
      </c>
      <c r="E270" t="s">
        <v>6</v>
      </c>
      <c r="F270" t="s">
        <v>12</v>
      </c>
    </row>
    <row r="271" spans="1:6" x14ac:dyDescent="0.25">
      <c r="A271">
        <v>5821</v>
      </c>
      <c r="B271">
        <v>55834</v>
      </c>
      <c r="C271" t="s">
        <v>6</v>
      </c>
      <c r="D271" t="str">
        <f>HYPERLINK("https://users.rcc.uchicago.edu/~cozzyd/monutau/#event&amp;run=5821&amp;entry=55834", "link")</f>
        <v>link</v>
      </c>
      <c r="E271" t="s">
        <v>6</v>
      </c>
      <c r="F271" t="s">
        <v>12</v>
      </c>
    </row>
    <row r="272" spans="1:6" x14ac:dyDescent="0.25">
      <c r="A272">
        <v>5821</v>
      </c>
      <c r="B272">
        <v>61267</v>
      </c>
      <c r="C272" t="s">
        <v>6</v>
      </c>
      <c r="D272" t="str">
        <f>HYPERLINK("https://users.rcc.uchicago.edu/~cozzyd/monutau/#event&amp;run=5821&amp;entry=61267", "link")</f>
        <v>link</v>
      </c>
      <c r="E272" t="s">
        <v>6</v>
      </c>
      <c r="F272" t="s">
        <v>12</v>
      </c>
    </row>
    <row r="273" spans="1:6" x14ac:dyDescent="0.25">
      <c r="A273">
        <v>5821</v>
      </c>
      <c r="B273">
        <v>70918</v>
      </c>
      <c r="C273" t="s">
        <v>6</v>
      </c>
      <c r="D273" t="str">
        <f>HYPERLINK("https://users.rcc.uchicago.edu/~cozzyd/monutau/#event&amp;run=5821&amp;entry=70918", "link")</f>
        <v>link</v>
      </c>
      <c r="E273" t="s">
        <v>6</v>
      </c>
      <c r="F273" t="s">
        <v>12</v>
      </c>
    </row>
    <row r="274" spans="1:6" x14ac:dyDescent="0.25">
      <c r="A274">
        <v>5821</v>
      </c>
      <c r="B274">
        <v>77267</v>
      </c>
      <c r="C274" t="s">
        <v>6</v>
      </c>
      <c r="D274" t="str">
        <f>HYPERLINK("https://users.rcc.uchicago.edu/~cozzyd/monutau/#event&amp;run=5821&amp;entry=77267", "link")</f>
        <v>link</v>
      </c>
      <c r="E274" t="s">
        <v>6</v>
      </c>
      <c r="F274" t="s">
        <v>11</v>
      </c>
    </row>
    <row r="275" spans="1:6" x14ac:dyDescent="0.25">
      <c r="A275">
        <v>5821</v>
      </c>
      <c r="B275">
        <v>86248</v>
      </c>
      <c r="C275" t="s">
        <v>6</v>
      </c>
      <c r="D275" t="str">
        <f>HYPERLINK("https://users.rcc.uchicago.edu/~cozzyd/monutau/#event&amp;run=5821&amp;entry=86248", "link")</f>
        <v>link</v>
      </c>
      <c r="E275" t="s">
        <v>6</v>
      </c>
      <c r="F275" t="s">
        <v>12</v>
      </c>
    </row>
    <row r="276" spans="1:6" x14ac:dyDescent="0.25">
      <c r="A276">
        <v>5821</v>
      </c>
      <c r="B276">
        <v>86313</v>
      </c>
      <c r="C276" t="s">
        <v>6</v>
      </c>
      <c r="D276" t="str">
        <f>HYPERLINK("https://users.rcc.uchicago.edu/~cozzyd/monutau/#event&amp;run=5821&amp;entry=86313", "link")</f>
        <v>link</v>
      </c>
      <c r="E276" t="s">
        <v>6</v>
      </c>
      <c r="F276" t="s">
        <v>12</v>
      </c>
    </row>
    <row r="277" spans="1:6" x14ac:dyDescent="0.25">
      <c r="A277">
        <v>5822</v>
      </c>
      <c r="B277">
        <v>30238</v>
      </c>
      <c r="C277" t="s">
        <v>6</v>
      </c>
      <c r="D277" t="str">
        <f>HYPERLINK("https://users.rcc.uchicago.edu/~cozzyd/monutau/#event&amp;run=5822&amp;entry=30238", "link")</f>
        <v>link</v>
      </c>
      <c r="E277" t="s">
        <v>6</v>
      </c>
      <c r="F277" t="s">
        <v>12</v>
      </c>
    </row>
    <row r="278" spans="1:6" x14ac:dyDescent="0.25">
      <c r="A278">
        <v>5822</v>
      </c>
      <c r="B278">
        <v>30357</v>
      </c>
      <c r="C278" t="s">
        <v>6</v>
      </c>
      <c r="D278" t="str">
        <f>HYPERLINK("https://users.rcc.uchicago.edu/~cozzyd/monutau/#event&amp;run=5822&amp;entry=30357", "link")</f>
        <v>link</v>
      </c>
      <c r="E278" t="s">
        <v>6</v>
      </c>
      <c r="F278" t="s">
        <v>12</v>
      </c>
    </row>
    <row r="279" spans="1:6" x14ac:dyDescent="0.25">
      <c r="A279">
        <v>5822</v>
      </c>
      <c r="B279">
        <v>30681</v>
      </c>
      <c r="C279" t="s">
        <v>6</v>
      </c>
      <c r="D279" t="str">
        <f>HYPERLINK("https://users.rcc.uchicago.edu/~cozzyd/monutau/#event&amp;run=5822&amp;entry=30681", "link")</f>
        <v>link</v>
      </c>
      <c r="E279" t="s">
        <v>6</v>
      </c>
      <c r="F279" t="s">
        <v>12</v>
      </c>
    </row>
    <row r="280" spans="1:6" x14ac:dyDescent="0.25">
      <c r="A280">
        <v>5822</v>
      </c>
      <c r="B280">
        <v>31088</v>
      </c>
      <c r="C280" t="s">
        <v>6</v>
      </c>
      <c r="D280" t="str">
        <f>HYPERLINK("https://users.rcc.uchicago.edu/~cozzyd/monutau/#event&amp;run=5822&amp;entry=31088", "link")</f>
        <v>link</v>
      </c>
      <c r="E280" t="s">
        <v>6</v>
      </c>
      <c r="F280" t="s">
        <v>12</v>
      </c>
    </row>
    <row r="281" spans="1:6" x14ac:dyDescent="0.25">
      <c r="A281">
        <v>5822</v>
      </c>
      <c r="B281">
        <v>31167</v>
      </c>
      <c r="C281" t="s">
        <v>6</v>
      </c>
      <c r="D281" t="str">
        <f>HYPERLINK("https://users.rcc.uchicago.edu/~cozzyd/monutau/#event&amp;run=5822&amp;entry=31167", "link")</f>
        <v>link</v>
      </c>
      <c r="E281" t="s">
        <v>6</v>
      </c>
      <c r="F281" t="s">
        <v>12</v>
      </c>
    </row>
    <row r="282" spans="1:6" x14ac:dyDescent="0.25">
      <c r="A282">
        <v>5822</v>
      </c>
      <c r="B282">
        <v>31316</v>
      </c>
      <c r="C282" t="s">
        <v>6</v>
      </c>
      <c r="D282" t="str">
        <f>HYPERLINK("https://users.rcc.uchicago.edu/~cozzyd/monutau/#event&amp;run=5822&amp;entry=31316", "link")</f>
        <v>link</v>
      </c>
      <c r="E282" t="s">
        <v>6</v>
      </c>
      <c r="F282" t="s">
        <v>7</v>
      </c>
    </row>
    <row r="283" spans="1:6" x14ac:dyDescent="0.25">
      <c r="A283">
        <v>5822</v>
      </c>
      <c r="B283">
        <v>31325</v>
      </c>
      <c r="C283" t="s">
        <v>6</v>
      </c>
      <c r="D283" t="str">
        <f>HYPERLINK("https://users.rcc.uchicago.edu/~cozzyd/monutau/#event&amp;run=5822&amp;entry=31325", "link")</f>
        <v>link</v>
      </c>
      <c r="E283" t="s">
        <v>6</v>
      </c>
      <c r="F283" t="s">
        <v>12</v>
      </c>
    </row>
    <row r="284" spans="1:6" x14ac:dyDescent="0.25">
      <c r="A284">
        <v>5822</v>
      </c>
      <c r="B284">
        <v>41347</v>
      </c>
      <c r="C284" t="s">
        <v>6</v>
      </c>
      <c r="D284" t="str">
        <f>HYPERLINK("https://users.rcc.uchicago.edu/~cozzyd/monutau/#event&amp;run=5822&amp;entry=41347", "link")</f>
        <v>link</v>
      </c>
      <c r="E284" t="s">
        <v>6</v>
      </c>
      <c r="F284" t="s">
        <v>12</v>
      </c>
    </row>
    <row r="285" spans="1:6" x14ac:dyDescent="0.25">
      <c r="A285">
        <v>5822</v>
      </c>
      <c r="B285">
        <v>42088</v>
      </c>
      <c r="C285" t="s">
        <v>6</v>
      </c>
      <c r="D285" t="str">
        <f>HYPERLINK("https://users.rcc.uchicago.edu/~cozzyd/monutau/#event&amp;run=5822&amp;entry=42088", "link")</f>
        <v>link</v>
      </c>
      <c r="E285" t="s">
        <v>6</v>
      </c>
      <c r="F285" t="s">
        <v>12</v>
      </c>
    </row>
    <row r="286" spans="1:6" x14ac:dyDescent="0.25">
      <c r="A286">
        <v>5822</v>
      </c>
      <c r="B286">
        <v>42467</v>
      </c>
      <c r="C286" t="s">
        <v>6</v>
      </c>
      <c r="D286" t="str">
        <f>HYPERLINK("https://users.rcc.uchicago.edu/~cozzyd/monutau/#event&amp;run=5822&amp;entry=42467", "link")</f>
        <v>link</v>
      </c>
      <c r="E286" t="s">
        <v>6</v>
      </c>
      <c r="F286" t="s">
        <v>12</v>
      </c>
    </row>
    <row r="287" spans="1:6" x14ac:dyDescent="0.25">
      <c r="A287">
        <v>5822</v>
      </c>
      <c r="B287">
        <v>42469</v>
      </c>
      <c r="C287" t="s">
        <v>6</v>
      </c>
      <c r="D287" t="str">
        <f>HYPERLINK("https://users.rcc.uchicago.edu/~cozzyd/monutau/#event&amp;run=5822&amp;entry=42469", "link")</f>
        <v>link</v>
      </c>
      <c r="E287" t="s">
        <v>6</v>
      </c>
      <c r="F287" t="s">
        <v>12</v>
      </c>
    </row>
    <row r="288" spans="1:6" x14ac:dyDescent="0.25">
      <c r="A288">
        <v>5822</v>
      </c>
      <c r="B288">
        <v>42530</v>
      </c>
      <c r="C288" t="s">
        <v>6</v>
      </c>
      <c r="D288" t="str">
        <f>HYPERLINK("https://users.rcc.uchicago.edu/~cozzyd/monutau/#event&amp;run=5822&amp;entry=42530", "link")</f>
        <v>link</v>
      </c>
      <c r="E288" t="s">
        <v>6</v>
      </c>
      <c r="F288" t="s">
        <v>12</v>
      </c>
    </row>
    <row r="289" spans="1:6" x14ac:dyDescent="0.25">
      <c r="A289">
        <v>5822</v>
      </c>
      <c r="B289">
        <v>43429</v>
      </c>
      <c r="C289" t="s">
        <v>6</v>
      </c>
      <c r="D289" t="str">
        <f>HYPERLINK("https://users.rcc.uchicago.edu/~cozzyd/monutau/#event&amp;run=5822&amp;entry=43429", "link")</f>
        <v>link</v>
      </c>
      <c r="E289" t="s">
        <v>6</v>
      </c>
      <c r="F289" t="s">
        <v>12</v>
      </c>
    </row>
    <row r="290" spans="1:6" x14ac:dyDescent="0.25">
      <c r="A290">
        <v>5822</v>
      </c>
      <c r="B290">
        <v>73918</v>
      </c>
      <c r="C290" t="s">
        <v>6</v>
      </c>
      <c r="D290" t="str">
        <f>HYPERLINK("https://users.rcc.uchicago.edu/~cozzyd/monutau/#event&amp;run=5822&amp;entry=73918", "link")</f>
        <v>link</v>
      </c>
      <c r="E290" t="s">
        <v>6</v>
      </c>
      <c r="F290" t="s">
        <v>12</v>
      </c>
    </row>
    <row r="291" spans="1:6" x14ac:dyDescent="0.25">
      <c r="A291">
        <v>5822</v>
      </c>
      <c r="B291">
        <v>77476</v>
      </c>
      <c r="C291" t="s">
        <v>6</v>
      </c>
      <c r="D291" t="str">
        <f>HYPERLINK("https://users.rcc.uchicago.edu/~cozzyd/monutau/#event&amp;run=5822&amp;entry=77476", "link")</f>
        <v>link</v>
      </c>
      <c r="E291" t="s">
        <v>6</v>
      </c>
      <c r="F291" t="s">
        <v>12</v>
      </c>
    </row>
    <row r="292" spans="1:6" x14ac:dyDescent="0.25">
      <c r="A292">
        <v>5822</v>
      </c>
      <c r="B292">
        <v>83732</v>
      </c>
      <c r="C292" t="s">
        <v>6</v>
      </c>
      <c r="D292" t="str">
        <f>HYPERLINK("https://users.rcc.uchicago.edu/~cozzyd/monutau/#event&amp;run=5822&amp;entry=83732", "link")</f>
        <v>link</v>
      </c>
      <c r="E292" t="s">
        <v>6</v>
      </c>
      <c r="F292" t="s">
        <v>12</v>
      </c>
    </row>
    <row r="293" spans="1:6" x14ac:dyDescent="0.25">
      <c r="A293">
        <v>5822</v>
      </c>
      <c r="B293">
        <v>85375</v>
      </c>
      <c r="C293" t="s">
        <v>6</v>
      </c>
      <c r="D293" t="str">
        <f>HYPERLINK("https://users.rcc.uchicago.edu/~cozzyd/monutau/#event&amp;run=5822&amp;entry=85375", "link")</f>
        <v>link</v>
      </c>
      <c r="E293" t="s">
        <v>6</v>
      </c>
      <c r="F293" t="s">
        <v>12</v>
      </c>
    </row>
    <row r="294" spans="1:6" x14ac:dyDescent="0.25">
      <c r="A294">
        <v>5822</v>
      </c>
      <c r="B294">
        <v>102520</v>
      </c>
      <c r="C294" t="s">
        <v>6</v>
      </c>
      <c r="D294" t="str">
        <f>HYPERLINK("https://users.rcc.uchicago.edu/~cozzyd/monutau/#event&amp;run=5822&amp;entry=102520", "link")</f>
        <v>link</v>
      </c>
      <c r="E294" t="s">
        <v>6</v>
      </c>
      <c r="F294" t="s">
        <v>12</v>
      </c>
    </row>
    <row r="295" spans="1:6" x14ac:dyDescent="0.25">
      <c r="A295">
        <v>5822</v>
      </c>
      <c r="B295">
        <v>103434</v>
      </c>
      <c r="C295" t="s">
        <v>6</v>
      </c>
      <c r="D295" t="str">
        <f>HYPERLINK("https://users.rcc.uchicago.edu/~cozzyd/monutau/#event&amp;run=5822&amp;entry=103434", "link")</f>
        <v>link</v>
      </c>
      <c r="E295" t="s">
        <v>6</v>
      </c>
      <c r="F295" t="s">
        <v>12</v>
      </c>
    </row>
    <row r="296" spans="1:6" x14ac:dyDescent="0.25">
      <c r="A296">
        <v>5822</v>
      </c>
      <c r="B296">
        <v>118502</v>
      </c>
      <c r="C296" t="s">
        <v>6</v>
      </c>
      <c r="D296" t="str">
        <f>HYPERLINK("https://users.rcc.uchicago.edu/~cozzyd/monutau/#event&amp;run=5822&amp;entry=118502", "link")</f>
        <v>link</v>
      </c>
      <c r="E296" t="s">
        <v>6</v>
      </c>
      <c r="F296" t="s">
        <v>12</v>
      </c>
    </row>
    <row r="297" spans="1:6" x14ac:dyDescent="0.25">
      <c r="A297">
        <v>5822</v>
      </c>
      <c r="B297">
        <v>119256</v>
      </c>
      <c r="C297" t="s">
        <v>6</v>
      </c>
      <c r="D297" t="str">
        <f>HYPERLINK("https://users.rcc.uchicago.edu/~cozzyd/monutau/#event&amp;run=5822&amp;entry=119256", "link")</f>
        <v>link</v>
      </c>
      <c r="E297" t="s">
        <v>6</v>
      </c>
      <c r="F297" t="s">
        <v>12</v>
      </c>
    </row>
    <row r="298" spans="1:6" x14ac:dyDescent="0.25">
      <c r="A298">
        <v>5822</v>
      </c>
      <c r="B298">
        <v>120208</v>
      </c>
      <c r="C298" t="s">
        <v>6</v>
      </c>
      <c r="D298" t="str">
        <f>HYPERLINK("https://users.rcc.uchicago.edu/~cozzyd/monutau/#event&amp;run=5822&amp;entry=120208", "link")</f>
        <v>link</v>
      </c>
      <c r="E298" t="s">
        <v>6</v>
      </c>
      <c r="F298" t="s">
        <v>12</v>
      </c>
    </row>
    <row r="299" spans="1:6" x14ac:dyDescent="0.25">
      <c r="A299">
        <v>5822</v>
      </c>
      <c r="B299">
        <v>122077</v>
      </c>
      <c r="C299" t="s">
        <v>6</v>
      </c>
      <c r="D299" t="str">
        <f>HYPERLINK("https://users.rcc.uchicago.edu/~cozzyd/monutau/#event&amp;run=5822&amp;entry=122077", "link")</f>
        <v>link</v>
      </c>
      <c r="E299" t="s">
        <v>6</v>
      </c>
      <c r="F299" t="s">
        <v>12</v>
      </c>
    </row>
    <row r="300" spans="1:6" x14ac:dyDescent="0.25">
      <c r="A300">
        <v>5822</v>
      </c>
      <c r="B300">
        <v>124101</v>
      </c>
      <c r="C300" t="s">
        <v>6</v>
      </c>
      <c r="D300" t="str">
        <f>HYPERLINK("https://users.rcc.uchicago.edu/~cozzyd/monutau/#event&amp;run=5822&amp;entry=124101", "link")</f>
        <v>link</v>
      </c>
      <c r="E300" t="s">
        <v>6</v>
      </c>
      <c r="F300" t="s">
        <v>12</v>
      </c>
    </row>
    <row r="301" spans="1:6" x14ac:dyDescent="0.25">
      <c r="A301">
        <v>5822</v>
      </c>
      <c r="B301">
        <v>127686</v>
      </c>
      <c r="C301" t="s">
        <v>6</v>
      </c>
      <c r="D301" t="str">
        <f>HYPERLINK("https://users.rcc.uchicago.edu/~cozzyd/monutau/#event&amp;run=5822&amp;entry=127686", "link")</f>
        <v>link</v>
      </c>
      <c r="E301" t="s">
        <v>6</v>
      </c>
      <c r="F301" t="s">
        <v>12</v>
      </c>
    </row>
    <row r="302" spans="1:6" x14ac:dyDescent="0.25">
      <c r="A302">
        <v>5822</v>
      </c>
      <c r="B302">
        <v>128255</v>
      </c>
      <c r="C302" t="s">
        <v>6</v>
      </c>
      <c r="D302" t="str">
        <f>HYPERLINK("https://users.rcc.uchicago.edu/~cozzyd/monutau/#event&amp;run=5822&amp;entry=128255", "link")</f>
        <v>link</v>
      </c>
      <c r="E302" t="s">
        <v>6</v>
      </c>
      <c r="F302" t="s">
        <v>12</v>
      </c>
    </row>
    <row r="303" spans="1:6" x14ac:dyDescent="0.25">
      <c r="A303">
        <v>5822</v>
      </c>
      <c r="B303">
        <v>128871</v>
      </c>
      <c r="C303" t="s">
        <v>6</v>
      </c>
      <c r="D303" t="str">
        <f>HYPERLINK("https://users.rcc.uchicago.edu/~cozzyd/monutau/#event&amp;run=5822&amp;entry=128871", "link")</f>
        <v>link</v>
      </c>
      <c r="E303" t="s">
        <v>6</v>
      </c>
      <c r="F303" t="s">
        <v>12</v>
      </c>
    </row>
    <row r="304" spans="1:6" x14ac:dyDescent="0.25">
      <c r="A304">
        <v>5822</v>
      </c>
      <c r="B304">
        <v>129074</v>
      </c>
      <c r="C304" t="s">
        <v>6</v>
      </c>
      <c r="D304" t="str">
        <f>HYPERLINK("https://users.rcc.uchicago.edu/~cozzyd/monutau/#event&amp;run=5822&amp;entry=129074", "link")</f>
        <v>link</v>
      </c>
      <c r="E304" t="s">
        <v>6</v>
      </c>
      <c r="F304" t="s">
        <v>12</v>
      </c>
    </row>
    <row r="305" spans="1:6" x14ac:dyDescent="0.25">
      <c r="A305">
        <v>5823</v>
      </c>
      <c r="B305">
        <v>12373</v>
      </c>
      <c r="C305" t="s">
        <v>6</v>
      </c>
      <c r="D305" t="str">
        <f>HYPERLINK("https://users.rcc.uchicago.edu/~cozzyd/monutau/#event&amp;run=5823&amp;entry=12373", "link")</f>
        <v>link</v>
      </c>
      <c r="E305" t="s">
        <v>6</v>
      </c>
      <c r="F305" t="s">
        <v>12</v>
      </c>
    </row>
    <row r="306" spans="1:6" x14ac:dyDescent="0.25">
      <c r="A306">
        <v>5823</v>
      </c>
      <c r="B306">
        <v>12413</v>
      </c>
      <c r="C306" t="s">
        <v>6</v>
      </c>
      <c r="D306" t="str">
        <f>HYPERLINK("https://users.rcc.uchicago.edu/~cozzyd/monutau/#event&amp;run=5823&amp;entry=12413", "link")</f>
        <v>link</v>
      </c>
      <c r="E306" t="s">
        <v>6</v>
      </c>
      <c r="F306" t="s">
        <v>12</v>
      </c>
    </row>
    <row r="307" spans="1:6" x14ac:dyDescent="0.25">
      <c r="A307">
        <v>5823</v>
      </c>
      <c r="B307">
        <v>24566</v>
      </c>
      <c r="C307" t="s">
        <v>6</v>
      </c>
      <c r="D307" t="str">
        <f>HYPERLINK("https://users.rcc.uchicago.edu/~cozzyd/monutau/#event&amp;run=5823&amp;entry=24566", "link")</f>
        <v>link</v>
      </c>
      <c r="E307" t="s">
        <v>6</v>
      </c>
      <c r="F307" t="s">
        <v>11</v>
      </c>
    </row>
    <row r="308" spans="1:6" x14ac:dyDescent="0.25">
      <c r="A308">
        <v>5823</v>
      </c>
      <c r="B308">
        <v>25655</v>
      </c>
      <c r="C308" t="s">
        <v>6</v>
      </c>
      <c r="D308" t="str">
        <f>HYPERLINK("https://users.rcc.uchicago.edu/~cozzyd/monutau/#event&amp;run=5823&amp;entry=25655", "link")</f>
        <v>link</v>
      </c>
      <c r="E308" t="s">
        <v>6</v>
      </c>
      <c r="F308" t="s">
        <v>12</v>
      </c>
    </row>
    <row r="309" spans="1:6" x14ac:dyDescent="0.25">
      <c r="A309">
        <v>5823</v>
      </c>
      <c r="B309">
        <v>29770</v>
      </c>
      <c r="C309" t="s">
        <v>6</v>
      </c>
      <c r="D309" t="str">
        <f>HYPERLINK("https://users.rcc.uchicago.edu/~cozzyd/monutau/#event&amp;run=5823&amp;entry=29770", "link")</f>
        <v>link</v>
      </c>
      <c r="E309" t="s">
        <v>6</v>
      </c>
      <c r="F309" t="s">
        <v>12</v>
      </c>
    </row>
    <row r="310" spans="1:6" x14ac:dyDescent="0.25">
      <c r="A310">
        <v>5823</v>
      </c>
      <c r="B310">
        <v>55678</v>
      </c>
      <c r="C310" t="s">
        <v>6</v>
      </c>
      <c r="D310" t="str">
        <f>HYPERLINK("https://users.rcc.uchicago.edu/~cozzyd/monutau/#event&amp;run=5823&amp;entry=55678", "link")</f>
        <v>link</v>
      </c>
      <c r="E310" t="s">
        <v>6</v>
      </c>
      <c r="F310" t="s">
        <v>12</v>
      </c>
    </row>
    <row r="311" spans="1:6" x14ac:dyDescent="0.25">
      <c r="A311">
        <v>5823</v>
      </c>
      <c r="B311">
        <v>56554</v>
      </c>
      <c r="C311" t="s">
        <v>6</v>
      </c>
      <c r="D311" t="str">
        <f>HYPERLINK("https://users.rcc.uchicago.edu/~cozzyd/monutau/#event&amp;run=5823&amp;entry=56554", "link")</f>
        <v>link</v>
      </c>
      <c r="E311" t="s">
        <v>6</v>
      </c>
      <c r="F311" t="s">
        <v>12</v>
      </c>
    </row>
    <row r="312" spans="1:6" x14ac:dyDescent="0.25">
      <c r="A312">
        <v>5823</v>
      </c>
      <c r="B312">
        <v>57144</v>
      </c>
      <c r="C312" t="s">
        <v>6</v>
      </c>
      <c r="D312" t="str">
        <f>HYPERLINK("https://users.rcc.uchicago.edu/~cozzyd/monutau/#event&amp;run=5823&amp;entry=57144", "link")</f>
        <v>link</v>
      </c>
      <c r="E312" t="s">
        <v>6</v>
      </c>
      <c r="F312" t="s">
        <v>12</v>
      </c>
    </row>
    <row r="313" spans="1:6" x14ac:dyDescent="0.25">
      <c r="A313">
        <v>5823</v>
      </c>
      <c r="B313">
        <v>57177</v>
      </c>
      <c r="C313" t="s">
        <v>6</v>
      </c>
      <c r="D313" t="str">
        <f>HYPERLINK("https://users.rcc.uchicago.edu/~cozzyd/monutau/#event&amp;run=5823&amp;entry=57177", "link")</f>
        <v>link</v>
      </c>
      <c r="E313" t="s">
        <v>6</v>
      </c>
      <c r="F313" t="s">
        <v>12</v>
      </c>
    </row>
    <row r="314" spans="1:6" x14ac:dyDescent="0.25">
      <c r="A314">
        <v>5823</v>
      </c>
      <c r="B314">
        <v>85958</v>
      </c>
      <c r="C314" t="s">
        <v>6</v>
      </c>
      <c r="D314" t="str">
        <f>HYPERLINK("https://users.rcc.uchicago.edu/~cozzyd/monutau/#event&amp;run=5823&amp;entry=85958", "link")</f>
        <v>link</v>
      </c>
      <c r="E314" t="s">
        <v>6</v>
      </c>
      <c r="F314" t="s">
        <v>12</v>
      </c>
    </row>
    <row r="315" spans="1:6" x14ac:dyDescent="0.25">
      <c r="A315">
        <v>5823</v>
      </c>
      <c r="B315">
        <v>94023</v>
      </c>
      <c r="C315" t="s">
        <v>6</v>
      </c>
      <c r="D315" t="str">
        <f>HYPERLINK("https://users.rcc.uchicago.edu/~cozzyd/monutau/#event&amp;run=5823&amp;entry=94023", "link")</f>
        <v>link</v>
      </c>
      <c r="E315" t="s">
        <v>6</v>
      </c>
      <c r="F315" t="s">
        <v>12</v>
      </c>
    </row>
    <row r="316" spans="1:6" x14ac:dyDescent="0.25">
      <c r="A316">
        <v>5823</v>
      </c>
      <c r="B316">
        <v>107507</v>
      </c>
      <c r="C316" t="s">
        <v>6</v>
      </c>
      <c r="D316" t="str">
        <f>HYPERLINK("https://users.rcc.uchicago.edu/~cozzyd/monutau/#event&amp;run=5823&amp;entry=107507", "link")</f>
        <v>link</v>
      </c>
      <c r="E316" t="s">
        <v>6</v>
      </c>
      <c r="F316" t="s">
        <v>12</v>
      </c>
    </row>
    <row r="317" spans="1:6" x14ac:dyDescent="0.25">
      <c r="A317">
        <v>5823</v>
      </c>
      <c r="B317">
        <v>113343</v>
      </c>
      <c r="C317" t="s">
        <v>6</v>
      </c>
      <c r="D317" t="str">
        <f>HYPERLINK("https://users.rcc.uchicago.edu/~cozzyd/monutau/#event&amp;run=5823&amp;entry=113343", "link")</f>
        <v>link</v>
      </c>
      <c r="E317" t="s">
        <v>6</v>
      </c>
      <c r="F317" t="s">
        <v>12</v>
      </c>
    </row>
    <row r="318" spans="1:6" x14ac:dyDescent="0.25">
      <c r="A318">
        <v>5823</v>
      </c>
      <c r="B318">
        <v>117150</v>
      </c>
      <c r="C318" t="s">
        <v>6</v>
      </c>
      <c r="D318" t="str">
        <f>HYPERLINK("https://users.rcc.uchicago.edu/~cozzyd/monutau/#event&amp;run=5823&amp;entry=117150", "link")</f>
        <v>link</v>
      </c>
      <c r="E318" t="s">
        <v>6</v>
      </c>
      <c r="F318" t="s">
        <v>12</v>
      </c>
    </row>
    <row r="319" spans="1:6" x14ac:dyDescent="0.25">
      <c r="A319">
        <v>5823</v>
      </c>
      <c r="B319">
        <v>117779</v>
      </c>
      <c r="C319" t="s">
        <v>6</v>
      </c>
      <c r="D319" t="str">
        <f>HYPERLINK("https://users.rcc.uchicago.edu/~cozzyd/monutau/#event&amp;run=5823&amp;entry=117779", "link")</f>
        <v>link</v>
      </c>
      <c r="E319" t="s">
        <v>6</v>
      </c>
      <c r="F319" t="s">
        <v>12</v>
      </c>
    </row>
    <row r="320" spans="1:6" x14ac:dyDescent="0.25">
      <c r="A320">
        <v>5823</v>
      </c>
      <c r="B320">
        <v>124901</v>
      </c>
      <c r="C320" t="s">
        <v>6</v>
      </c>
      <c r="D320" t="str">
        <f>HYPERLINK("https://users.rcc.uchicago.edu/~cozzyd/monutau/#event&amp;run=5823&amp;entry=124901", "link")</f>
        <v>link</v>
      </c>
      <c r="E320" t="s">
        <v>6</v>
      </c>
      <c r="F320" t="s">
        <v>12</v>
      </c>
    </row>
    <row r="321" spans="1:6" x14ac:dyDescent="0.25">
      <c r="A321">
        <v>5823</v>
      </c>
      <c r="B321">
        <v>142087</v>
      </c>
      <c r="C321" t="s">
        <v>6</v>
      </c>
      <c r="D321" t="str">
        <f>HYPERLINK("https://users.rcc.uchicago.edu/~cozzyd/monutau/#event&amp;run=5823&amp;entry=142087", "link")</f>
        <v>link</v>
      </c>
      <c r="E321" t="s">
        <v>6</v>
      </c>
      <c r="F321" t="s">
        <v>12</v>
      </c>
    </row>
    <row r="322" spans="1:6" x14ac:dyDescent="0.25">
      <c r="A322">
        <v>5824</v>
      </c>
      <c r="B322">
        <v>1180</v>
      </c>
      <c r="C322" t="s">
        <v>6</v>
      </c>
      <c r="D322" t="str">
        <f>HYPERLINK("https://users.rcc.uchicago.edu/~cozzyd/monutau/#event&amp;run=5824&amp;entry=1180", "link")</f>
        <v>link</v>
      </c>
      <c r="E322" t="s">
        <v>6</v>
      </c>
      <c r="F322" t="s">
        <v>12</v>
      </c>
    </row>
    <row r="323" spans="1:6" x14ac:dyDescent="0.25">
      <c r="A323">
        <v>5824</v>
      </c>
      <c r="B323">
        <v>25686</v>
      </c>
      <c r="C323" t="s">
        <v>6</v>
      </c>
      <c r="D323" t="str">
        <f>HYPERLINK("https://users.rcc.uchicago.edu/~cozzyd/monutau/#event&amp;run=5824&amp;entry=25686", "link")</f>
        <v>link</v>
      </c>
      <c r="E323" t="s">
        <v>6</v>
      </c>
      <c r="F323" t="s">
        <v>12</v>
      </c>
    </row>
    <row r="324" spans="1:6" x14ac:dyDescent="0.25">
      <c r="A324">
        <v>5824</v>
      </c>
      <c r="B324">
        <v>58148</v>
      </c>
      <c r="C324" t="s">
        <v>6</v>
      </c>
      <c r="D324" t="str">
        <f>HYPERLINK("https://users.rcc.uchicago.edu/~cozzyd/monutau/#event&amp;run=5824&amp;entry=58148", "link")</f>
        <v>link</v>
      </c>
      <c r="E324" t="s">
        <v>6</v>
      </c>
      <c r="F324" t="s">
        <v>12</v>
      </c>
    </row>
    <row r="325" spans="1:6" x14ac:dyDescent="0.25">
      <c r="A325">
        <v>5824</v>
      </c>
      <c r="B325">
        <v>93640</v>
      </c>
      <c r="C325" t="s">
        <v>6</v>
      </c>
      <c r="D325" t="str">
        <f>HYPERLINK("https://users.rcc.uchicago.edu/~cozzyd/monutau/#event&amp;run=5824&amp;entry=93640", "link")</f>
        <v>link</v>
      </c>
      <c r="E325" t="s">
        <v>6</v>
      </c>
      <c r="F325" t="s">
        <v>12</v>
      </c>
    </row>
    <row r="326" spans="1:6" x14ac:dyDescent="0.25">
      <c r="A326">
        <v>5824</v>
      </c>
      <c r="B326">
        <v>94513</v>
      </c>
      <c r="C326" t="s">
        <v>6</v>
      </c>
      <c r="D326" t="str">
        <f>HYPERLINK("https://users.rcc.uchicago.edu/~cozzyd/monutau/#event&amp;run=5824&amp;entry=94513", "link")</f>
        <v>link</v>
      </c>
      <c r="E326" t="s">
        <v>6</v>
      </c>
      <c r="F326" t="s">
        <v>12</v>
      </c>
    </row>
    <row r="327" spans="1:6" x14ac:dyDescent="0.25">
      <c r="A327">
        <v>5824</v>
      </c>
      <c r="B327">
        <v>98477</v>
      </c>
      <c r="C327" t="s">
        <v>6</v>
      </c>
      <c r="D327" t="str">
        <f>HYPERLINK("https://users.rcc.uchicago.edu/~cozzyd/monutau/#event&amp;run=5824&amp;entry=98477", "link")</f>
        <v>link</v>
      </c>
      <c r="E327" t="s">
        <v>6</v>
      </c>
      <c r="F327" t="s">
        <v>12</v>
      </c>
    </row>
    <row r="328" spans="1:6" x14ac:dyDescent="0.25">
      <c r="A328">
        <v>5824</v>
      </c>
      <c r="B328">
        <v>98875</v>
      </c>
      <c r="C328" t="s">
        <v>6</v>
      </c>
      <c r="D328" t="str">
        <f>HYPERLINK("https://users.rcc.uchicago.edu/~cozzyd/monutau/#event&amp;run=5824&amp;entry=98875", "link")</f>
        <v>link</v>
      </c>
      <c r="E328" t="s">
        <v>6</v>
      </c>
      <c r="F328" t="s">
        <v>12</v>
      </c>
    </row>
    <row r="329" spans="1:6" x14ac:dyDescent="0.25">
      <c r="A329">
        <v>5824</v>
      </c>
      <c r="B329">
        <v>101268</v>
      </c>
      <c r="C329" t="s">
        <v>6</v>
      </c>
      <c r="D329" t="str">
        <f>HYPERLINK("https://users.rcc.uchicago.edu/~cozzyd/monutau/#event&amp;run=5824&amp;entry=101268", "link")</f>
        <v>link</v>
      </c>
      <c r="E329" t="s">
        <v>6</v>
      </c>
      <c r="F329" t="s">
        <v>12</v>
      </c>
    </row>
    <row r="330" spans="1:6" x14ac:dyDescent="0.25">
      <c r="A330">
        <v>5824</v>
      </c>
      <c r="B330">
        <v>101373</v>
      </c>
      <c r="C330" t="s">
        <v>6</v>
      </c>
      <c r="D330" t="str">
        <f>HYPERLINK("https://users.rcc.uchicago.edu/~cozzyd/monutau/#event&amp;run=5824&amp;entry=101373", "link")</f>
        <v>link</v>
      </c>
      <c r="E330" t="s">
        <v>6</v>
      </c>
      <c r="F330" t="s">
        <v>12</v>
      </c>
    </row>
    <row r="331" spans="1:6" x14ac:dyDescent="0.25">
      <c r="A331">
        <v>5824</v>
      </c>
      <c r="B331">
        <v>101405</v>
      </c>
      <c r="C331" t="s">
        <v>6</v>
      </c>
      <c r="D331" t="str">
        <f>HYPERLINK("https://users.rcc.uchicago.edu/~cozzyd/monutau/#event&amp;run=5824&amp;entry=101405", "link")</f>
        <v>link</v>
      </c>
      <c r="E331" t="s">
        <v>6</v>
      </c>
      <c r="F331" t="s">
        <v>12</v>
      </c>
    </row>
    <row r="332" spans="1:6" x14ac:dyDescent="0.25">
      <c r="A332">
        <v>5824</v>
      </c>
      <c r="B332">
        <v>101588</v>
      </c>
      <c r="C332" t="s">
        <v>6</v>
      </c>
      <c r="D332" t="str">
        <f>HYPERLINK("https://users.rcc.uchicago.edu/~cozzyd/monutau/#event&amp;run=5824&amp;entry=101588", "link")</f>
        <v>link</v>
      </c>
      <c r="E332" t="s">
        <v>6</v>
      </c>
      <c r="F332" t="s">
        <v>12</v>
      </c>
    </row>
    <row r="333" spans="1:6" x14ac:dyDescent="0.25">
      <c r="A333">
        <v>5824</v>
      </c>
      <c r="B333">
        <v>105930</v>
      </c>
      <c r="C333" t="s">
        <v>6</v>
      </c>
      <c r="D333" t="str">
        <f>HYPERLINK("https://users.rcc.uchicago.edu/~cozzyd/monutau/#event&amp;run=5824&amp;entry=105930", "link")</f>
        <v>link</v>
      </c>
      <c r="E333" t="s">
        <v>6</v>
      </c>
      <c r="F333" t="s">
        <v>12</v>
      </c>
    </row>
    <row r="334" spans="1:6" x14ac:dyDescent="0.25">
      <c r="A334">
        <v>5824</v>
      </c>
      <c r="B334">
        <v>110419</v>
      </c>
      <c r="C334" t="s">
        <v>6</v>
      </c>
      <c r="D334" t="str">
        <f>HYPERLINK("https://users.rcc.uchicago.edu/~cozzyd/monutau/#event&amp;run=5824&amp;entry=110419", "link")</f>
        <v>link</v>
      </c>
      <c r="E334" t="s">
        <v>6</v>
      </c>
      <c r="F334" t="s">
        <v>12</v>
      </c>
    </row>
    <row r="335" spans="1:6" x14ac:dyDescent="0.25">
      <c r="A335">
        <v>5824</v>
      </c>
      <c r="B335">
        <v>115297</v>
      </c>
      <c r="C335" t="s">
        <v>6</v>
      </c>
      <c r="D335" t="str">
        <f>HYPERLINK("https://users.rcc.uchicago.edu/~cozzyd/monutau/#event&amp;run=5824&amp;entry=115297", "link")</f>
        <v>link</v>
      </c>
      <c r="E335" t="s">
        <v>6</v>
      </c>
      <c r="F335" t="s">
        <v>12</v>
      </c>
    </row>
    <row r="336" spans="1:6" x14ac:dyDescent="0.25">
      <c r="A336">
        <v>5824</v>
      </c>
      <c r="B336">
        <v>130937</v>
      </c>
      <c r="C336" t="s">
        <v>6</v>
      </c>
      <c r="D336" t="str">
        <f>HYPERLINK("https://users.rcc.uchicago.edu/~cozzyd/monutau/#event&amp;run=5824&amp;entry=130937", "link")</f>
        <v>link</v>
      </c>
      <c r="E336" t="s">
        <v>6</v>
      </c>
      <c r="F336" t="s">
        <v>12</v>
      </c>
    </row>
    <row r="337" spans="1:6" x14ac:dyDescent="0.25">
      <c r="A337">
        <v>5824</v>
      </c>
      <c r="B337">
        <v>137419</v>
      </c>
      <c r="C337" t="s">
        <v>6</v>
      </c>
      <c r="D337" t="str">
        <f>HYPERLINK("https://users.rcc.uchicago.edu/~cozzyd/monutau/#event&amp;run=5824&amp;entry=137419", "link")</f>
        <v>link</v>
      </c>
      <c r="E337" t="s">
        <v>6</v>
      </c>
      <c r="F337" t="s">
        <v>12</v>
      </c>
    </row>
    <row r="338" spans="1:6" x14ac:dyDescent="0.25">
      <c r="A338">
        <v>5824</v>
      </c>
      <c r="B338">
        <v>145713</v>
      </c>
      <c r="C338" t="s">
        <v>6</v>
      </c>
      <c r="D338" t="str">
        <f>HYPERLINK("https://users.rcc.uchicago.edu/~cozzyd/monutau/#event&amp;run=5824&amp;entry=145713", "link")</f>
        <v>link</v>
      </c>
      <c r="E338" t="s">
        <v>6</v>
      </c>
      <c r="F338" t="s">
        <v>12</v>
      </c>
    </row>
    <row r="339" spans="1:6" x14ac:dyDescent="0.25">
      <c r="A339">
        <v>5825</v>
      </c>
      <c r="B339">
        <v>1141</v>
      </c>
      <c r="C339" t="s">
        <v>6</v>
      </c>
      <c r="D339" t="str">
        <f>HYPERLINK("https://users.rcc.uchicago.edu/~cozzyd/monutau/#event&amp;run=5825&amp;entry=1141", "link")</f>
        <v>link</v>
      </c>
      <c r="E339" t="s">
        <v>6</v>
      </c>
      <c r="F339" t="s">
        <v>12</v>
      </c>
    </row>
    <row r="340" spans="1:6" x14ac:dyDescent="0.25">
      <c r="A340">
        <v>5825</v>
      </c>
      <c r="B340">
        <v>13662</v>
      </c>
      <c r="C340" t="s">
        <v>6</v>
      </c>
      <c r="D340" t="str">
        <f>HYPERLINK("https://users.rcc.uchicago.edu/~cozzyd/monutau/#event&amp;run=5825&amp;entry=13662", "link")</f>
        <v>link</v>
      </c>
      <c r="E340" t="s">
        <v>6</v>
      </c>
      <c r="F340" t="s">
        <v>12</v>
      </c>
    </row>
    <row r="341" spans="1:6" x14ac:dyDescent="0.25">
      <c r="A341">
        <v>5825</v>
      </c>
      <c r="B341">
        <v>17645</v>
      </c>
      <c r="C341" t="s">
        <v>6</v>
      </c>
      <c r="D341" t="str">
        <f>HYPERLINK("https://users.rcc.uchicago.edu/~cozzyd/monutau/#event&amp;run=5825&amp;entry=17645", "link")</f>
        <v>link</v>
      </c>
      <c r="E341" t="s">
        <v>6</v>
      </c>
      <c r="F341" t="s">
        <v>12</v>
      </c>
    </row>
    <row r="342" spans="1:6" x14ac:dyDescent="0.25">
      <c r="A342">
        <v>5825</v>
      </c>
      <c r="B342">
        <v>29688</v>
      </c>
      <c r="C342" t="s">
        <v>6</v>
      </c>
      <c r="D342" t="str">
        <f>HYPERLINK("https://users.rcc.uchicago.edu/~cozzyd/monutau/#event&amp;run=5825&amp;entry=29688", "link")</f>
        <v>link</v>
      </c>
      <c r="E342" t="s">
        <v>6</v>
      </c>
      <c r="F342" t="s">
        <v>12</v>
      </c>
    </row>
    <row r="343" spans="1:6" x14ac:dyDescent="0.25">
      <c r="A343">
        <v>5825</v>
      </c>
      <c r="B343">
        <v>35538</v>
      </c>
      <c r="C343" t="s">
        <v>6</v>
      </c>
      <c r="D343" t="str">
        <f>HYPERLINK("https://users.rcc.uchicago.edu/~cozzyd/monutau/#event&amp;run=5825&amp;entry=35538", "link")</f>
        <v>link</v>
      </c>
      <c r="E343" t="s">
        <v>6</v>
      </c>
      <c r="F343" t="s">
        <v>12</v>
      </c>
    </row>
    <row r="344" spans="1:6" x14ac:dyDescent="0.25">
      <c r="A344">
        <v>5825</v>
      </c>
      <c r="B344">
        <v>36808</v>
      </c>
      <c r="C344" t="s">
        <v>6</v>
      </c>
      <c r="D344" t="str">
        <f>HYPERLINK("https://users.rcc.uchicago.edu/~cozzyd/monutau/#event&amp;run=5825&amp;entry=36808", "link")</f>
        <v>link</v>
      </c>
      <c r="E344" t="s">
        <v>6</v>
      </c>
      <c r="F344" t="s">
        <v>12</v>
      </c>
    </row>
    <row r="345" spans="1:6" x14ac:dyDescent="0.25">
      <c r="A345">
        <v>5825</v>
      </c>
      <c r="B345">
        <v>55911</v>
      </c>
      <c r="C345" t="s">
        <v>6</v>
      </c>
      <c r="D345" t="str">
        <f>HYPERLINK("https://users.rcc.uchicago.edu/~cozzyd/monutau/#event&amp;run=5825&amp;entry=55911", "link")</f>
        <v>link</v>
      </c>
      <c r="E345" t="s">
        <v>6</v>
      </c>
      <c r="F345" t="s">
        <v>12</v>
      </c>
    </row>
    <row r="346" spans="1:6" x14ac:dyDescent="0.25">
      <c r="A346">
        <v>5825</v>
      </c>
      <c r="B346">
        <v>56023</v>
      </c>
      <c r="C346" t="s">
        <v>6</v>
      </c>
      <c r="D346" t="str">
        <f>HYPERLINK("https://users.rcc.uchicago.edu/~cozzyd/monutau/#event&amp;run=5825&amp;entry=56023", "link")</f>
        <v>link</v>
      </c>
      <c r="E346" t="s">
        <v>6</v>
      </c>
      <c r="F346" t="s">
        <v>12</v>
      </c>
    </row>
    <row r="347" spans="1:6" x14ac:dyDescent="0.25">
      <c r="A347">
        <v>5825</v>
      </c>
      <c r="B347">
        <v>148568</v>
      </c>
      <c r="C347" t="s">
        <v>6</v>
      </c>
      <c r="D347" t="str">
        <f>HYPERLINK("https://users.rcc.uchicago.edu/~cozzyd/monutau/#event&amp;run=5825&amp;entry=148568", "link")</f>
        <v>link</v>
      </c>
      <c r="E347" t="s">
        <v>6</v>
      </c>
      <c r="F347" t="s">
        <v>12</v>
      </c>
    </row>
    <row r="348" spans="1:6" x14ac:dyDescent="0.25">
      <c r="A348">
        <v>5826</v>
      </c>
      <c r="B348">
        <v>10003</v>
      </c>
      <c r="C348" t="s">
        <v>6</v>
      </c>
      <c r="D348" t="str">
        <f>HYPERLINK("https://users.rcc.uchicago.edu/~cozzyd/monutau/#event&amp;run=5826&amp;entry=10003", "link")</f>
        <v>link</v>
      </c>
      <c r="E348" t="s">
        <v>6</v>
      </c>
      <c r="F348" t="s">
        <v>12</v>
      </c>
    </row>
    <row r="349" spans="1:6" x14ac:dyDescent="0.25">
      <c r="A349">
        <v>5826</v>
      </c>
      <c r="B349">
        <v>19548</v>
      </c>
      <c r="C349" t="s">
        <v>6</v>
      </c>
      <c r="D349" t="str">
        <f>HYPERLINK("https://users.rcc.uchicago.edu/~cozzyd/monutau/#event&amp;run=5826&amp;entry=19548", "link")</f>
        <v>link</v>
      </c>
      <c r="E349" t="s">
        <v>6</v>
      </c>
      <c r="F349" t="s">
        <v>12</v>
      </c>
    </row>
    <row r="350" spans="1:6" x14ac:dyDescent="0.25">
      <c r="A350">
        <v>5826</v>
      </c>
      <c r="B350">
        <v>31034</v>
      </c>
      <c r="C350" t="s">
        <v>6</v>
      </c>
      <c r="D350" t="str">
        <f>HYPERLINK("https://users.rcc.uchicago.edu/~cozzyd/monutau/#event&amp;run=5826&amp;entry=31034", "link")</f>
        <v>link</v>
      </c>
      <c r="E350" t="s">
        <v>6</v>
      </c>
      <c r="F350" t="s">
        <v>10</v>
      </c>
    </row>
    <row r="351" spans="1:6" x14ac:dyDescent="0.25">
      <c r="A351">
        <v>5826</v>
      </c>
      <c r="B351">
        <v>31810</v>
      </c>
      <c r="C351" t="s">
        <v>6</v>
      </c>
      <c r="D351" t="str">
        <f>HYPERLINK("https://users.rcc.uchicago.edu/~cozzyd/monutau/#event&amp;run=5826&amp;entry=31810", "link")</f>
        <v>link</v>
      </c>
      <c r="E351" t="s">
        <v>6</v>
      </c>
      <c r="F351" t="s">
        <v>12</v>
      </c>
    </row>
    <row r="352" spans="1:6" x14ac:dyDescent="0.25">
      <c r="A352">
        <v>5826</v>
      </c>
      <c r="B352">
        <v>65782</v>
      </c>
      <c r="C352" t="s">
        <v>6</v>
      </c>
      <c r="D352" t="str">
        <f>HYPERLINK("https://users.rcc.uchicago.edu/~cozzyd/monutau/#event&amp;run=5826&amp;entry=65782", "link")</f>
        <v>link</v>
      </c>
      <c r="E352" t="s">
        <v>6</v>
      </c>
      <c r="F352" t="s">
        <v>7</v>
      </c>
    </row>
    <row r="353" spans="1:6" x14ac:dyDescent="0.25">
      <c r="A353">
        <v>5826</v>
      </c>
      <c r="B353">
        <v>67392</v>
      </c>
      <c r="C353" t="s">
        <v>6</v>
      </c>
      <c r="D353" t="str">
        <f>HYPERLINK("https://users.rcc.uchicago.edu/~cozzyd/monutau/#event&amp;run=5826&amp;entry=67392", "link")</f>
        <v>link</v>
      </c>
      <c r="E353" t="s">
        <v>6</v>
      </c>
      <c r="F353" t="s">
        <v>12</v>
      </c>
    </row>
    <row r="354" spans="1:6" x14ac:dyDescent="0.25">
      <c r="A354">
        <v>5826</v>
      </c>
      <c r="B354">
        <v>71006</v>
      </c>
      <c r="C354" t="s">
        <v>6</v>
      </c>
      <c r="D354" t="str">
        <f>HYPERLINK("https://users.rcc.uchicago.edu/~cozzyd/monutau/#event&amp;run=5826&amp;entry=71006", "link")</f>
        <v>link</v>
      </c>
      <c r="E354" t="s">
        <v>6</v>
      </c>
      <c r="F354" t="s">
        <v>12</v>
      </c>
    </row>
    <row r="355" spans="1:6" x14ac:dyDescent="0.25">
      <c r="A355">
        <v>5826</v>
      </c>
      <c r="B355">
        <v>74526</v>
      </c>
      <c r="C355" t="s">
        <v>6</v>
      </c>
      <c r="D355" t="str">
        <f>HYPERLINK("https://users.rcc.uchicago.edu/~cozzyd/monutau/#event&amp;run=5826&amp;entry=74526", "link")</f>
        <v>link</v>
      </c>
      <c r="E355" t="s">
        <v>6</v>
      </c>
      <c r="F355" t="s">
        <v>12</v>
      </c>
    </row>
    <row r="356" spans="1:6" x14ac:dyDescent="0.25">
      <c r="A356">
        <v>5826</v>
      </c>
      <c r="B356">
        <v>75990</v>
      </c>
      <c r="C356" t="s">
        <v>6</v>
      </c>
      <c r="D356" t="str">
        <f>HYPERLINK("https://users.rcc.uchicago.edu/~cozzyd/monutau/#event&amp;run=5826&amp;entry=75990", "link")</f>
        <v>link</v>
      </c>
      <c r="E356" t="s">
        <v>6</v>
      </c>
      <c r="F356" t="s">
        <v>12</v>
      </c>
    </row>
    <row r="357" spans="1:6" x14ac:dyDescent="0.25">
      <c r="A357">
        <v>5826</v>
      </c>
      <c r="B357">
        <v>78074</v>
      </c>
      <c r="C357" t="s">
        <v>6</v>
      </c>
      <c r="D357" t="str">
        <f>HYPERLINK("https://users.rcc.uchicago.edu/~cozzyd/monutau/#event&amp;run=5826&amp;entry=78074", "link")</f>
        <v>link</v>
      </c>
      <c r="E357" t="s">
        <v>6</v>
      </c>
      <c r="F357" t="s">
        <v>12</v>
      </c>
    </row>
    <row r="358" spans="1:6" x14ac:dyDescent="0.25">
      <c r="A358">
        <v>5826</v>
      </c>
      <c r="B358">
        <v>85841</v>
      </c>
      <c r="C358" t="s">
        <v>6</v>
      </c>
      <c r="D358" t="str">
        <f>HYPERLINK("https://users.rcc.uchicago.edu/~cozzyd/monutau/#event&amp;run=5826&amp;entry=85841", "link")</f>
        <v>link</v>
      </c>
      <c r="E358" t="s">
        <v>6</v>
      </c>
      <c r="F358" t="s">
        <v>12</v>
      </c>
    </row>
    <row r="359" spans="1:6" x14ac:dyDescent="0.25">
      <c r="A359">
        <v>5826</v>
      </c>
      <c r="B359">
        <v>101038</v>
      </c>
      <c r="C359" t="s">
        <v>6</v>
      </c>
      <c r="D359" t="str">
        <f>HYPERLINK("https://users.rcc.uchicago.edu/~cozzyd/monutau/#event&amp;run=5826&amp;entry=101038", "link")</f>
        <v>link</v>
      </c>
      <c r="E359" t="s">
        <v>6</v>
      </c>
      <c r="F359" t="s">
        <v>12</v>
      </c>
    </row>
    <row r="360" spans="1:6" x14ac:dyDescent="0.25">
      <c r="A360">
        <v>5826</v>
      </c>
      <c r="B360">
        <v>107873</v>
      </c>
      <c r="C360" t="s">
        <v>6</v>
      </c>
      <c r="D360" t="str">
        <f>HYPERLINK("https://users.rcc.uchicago.edu/~cozzyd/monutau/#event&amp;run=5826&amp;entry=107873", "link")</f>
        <v>link</v>
      </c>
      <c r="E360" t="s">
        <v>6</v>
      </c>
      <c r="F360" t="s">
        <v>12</v>
      </c>
    </row>
    <row r="361" spans="1:6" x14ac:dyDescent="0.25">
      <c r="A361">
        <v>5826</v>
      </c>
      <c r="B361">
        <v>115834</v>
      </c>
      <c r="C361" t="s">
        <v>6</v>
      </c>
      <c r="D361" t="str">
        <f>HYPERLINK("https://users.rcc.uchicago.edu/~cozzyd/monutau/#event&amp;run=5826&amp;entry=115834", "link")</f>
        <v>link</v>
      </c>
      <c r="E361" t="s">
        <v>6</v>
      </c>
      <c r="F361" t="s">
        <v>12</v>
      </c>
    </row>
    <row r="362" spans="1:6" x14ac:dyDescent="0.25">
      <c r="A362">
        <v>5826</v>
      </c>
      <c r="B362">
        <v>118443</v>
      </c>
      <c r="C362" t="s">
        <v>6</v>
      </c>
      <c r="D362" t="str">
        <f>HYPERLINK("https://users.rcc.uchicago.edu/~cozzyd/monutau/#event&amp;run=5826&amp;entry=118443", "link")</f>
        <v>link</v>
      </c>
      <c r="E362" t="s">
        <v>6</v>
      </c>
      <c r="F362" t="s">
        <v>12</v>
      </c>
    </row>
    <row r="363" spans="1:6" x14ac:dyDescent="0.25">
      <c r="A363">
        <v>5827</v>
      </c>
      <c r="B363">
        <v>6939</v>
      </c>
      <c r="C363" t="s">
        <v>6</v>
      </c>
      <c r="D363" t="str">
        <f>HYPERLINK("https://users.rcc.uchicago.edu/~cozzyd/monutau/#event&amp;run=5827&amp;entry=6939", "link")</f>
        <v>link</v>
      </c>
      <c r="E363" t="s">
        <v>6</v>
      </c>
      <c r="F363" t="s">
        <v>12</v>
      </c>
    </row>
    <row r="364" spans="1:6" x14ac:dyDescent="0.25">
      <c r="A364">
        <v>5827</v>
      </c>
      <c r="B364">
        <v>10945</v>
      </c>
      <c r="C364" t="s">
        <v>6</v>
      </c>
      <c r="D364" t="str">
        <f>HYPERLINK("https://users.rcc.uchicago.edu/~cozzyd/monutau/#event&amp;run=5827&amp;entry=10945", "link")</f>
        <v>link</v>
      </c>
      <c r="E364" t="s">
        <v>6</v>
      </c>
      <c r="F364" t="s">
        <v>12</v>
      </c>
    </row>
    <row r="365" spans="1:6" x14ac:dyDescent="0.25">
      <c r="A365">
        <v>5827</v>
      </c>
      <c r="B365">
        <v>21487</v>
      </c>
      <c r="C365" t="s">
        <v>6</v>
      </c>
      <c r="D365" t="str">
        <f>HYPERLINK("https://users.rcc.uchicago.edu/~cozzyd/monutau/#event&amp;run=5827&amp;entry=21487", "link")</f>
        <v>link</v>
      </c>
      <c r="E365" t="s">
        <v>6</v>
      </c>
      <c r="F365" t="s">
        <v>12</v>
      </c>
    </row>
    <row r="366" spans="1:6" x14ac:dyDescent="0.25">
      <c r="A366">
        <v>5827</v>
      </c>
      <c r="B366">
        <v>24707</v>
      </c>
      <c r="C366" t="s">
        <v>6</v>
      </c>
      <c r="D366" t="str">
        <f>HYPERLINK("https://users.rcc.uchicago.edu/~cozzyd/monutau/#event&amp;run=5827&amp;entry=24707", "link")</f>
        <v>link</v>
      </c>
      <c r="E366" t="s">
        <v>6</v>
      </c>
      <c r="F366" t="s">
        <v>12</v>
      </c>
    </row>
    <row r="367" spans="1:6" x14ac:dyDescent="0.25">
      <c r="A367">
        <v>5827</v>
      </c>
      <c r="B367">
        <v>26452</v>
      </c>
      <c r="C367" t="s">
        <v>6</v>
      </c>
      <c r="D367" t="str">
        <f>HYPERLINK("https://users.rcc.uchicago.edu/~cozzyd/monutau/#event&amp;run=5827&amp;entry=26452", "link")</f>
        <v>link</v>
      </c>
      <c r="E367" t="s">
        <v>6</v>
      </c>
      <c r="F367" t="s">
        <v>12</v>
      </c>
    </row>
    <row r="368" spans="1:6" x14ac:dyDescent="0.25">
      <c r="A368">
        <v>5827</v>
      </c>
      <c r="B368">
        <v>26659</v>
      </c>
      <c r="C368" t="s">
        <v>6</v>
      </c>
      <c r="D368" t="str">
        <f>HYPERLINK("https://users.rcc.uchicago.edu/~cozzyd/monutau/#event&amp;run=5827&amp;entry=26659", "link")</f>
        <v>link</v>
      </c>
      <c r="E368" t="s">
        <v>6</v>
      </c>
      <c r="F368" t="s">
        <v>12</v>
      </c>
    </row>
    <row r="369" spans="1:6" x14ac:dyDescent="0.25">
      <c r="A369">
        <v>5827</v>
      </c>
      <c r="B369">
        <v>26668</v>
      </c>
      <c r="C369" t="s">
        <v>6</v>
      </c>
      <c r="D369" t="str">
        <f>HYPERLINK("https://users.rcc.uchicago.edu/~cozzyd/monutau/#event&amp;run=5827&amp;entry=26668", "link")</f>
        <v>link</v>
      </c>
      <c r="E369" t="s">
        <v>6</v>
      </c>
      <c r="F369" t="s">
        <v>12</v>
      </c>
    </row>
    <row r="370" spans="1:6" x14ac:dyDescent="0.25">
      <c r="A370">
        <v>5827</v>
      </c>
      <c r="B370">
        <v>26698</v>
      </c>
      <c r="C370" t="s">
        <v>6</v>
      </c>
      <c r="D370" t="str">
        <f>HYPERLINK("https://users.rcc.uchicago.edu/~cozzyd/monutau/#event&amp;run=5827&amp;entry=26698", "link")</f>
        <v>link</v>
      </c>
      <c r="E370" t="s">
        <v>6</v>
      </c>
      <c r="F370" t="s">
        <v>12</v>
      </c>
    </row>
    <row r="371" spans="1:6" x14ac:dyDescent="0.25">
      <c r="A371">
        <v>5827</v>
      </c>
      <c r="B371">
        <v>26712</v>
      </c>
      <c r="C371" t="s">
        <v>6</v>
      </c>
      <c r="D371" t="str">
        <f>HYPERLINK("https://users.rcc.uchicago.edu/~cozzyd/monutau/#event&amp;run=5827&amp;entry=26712", "link")</f>
        <v>link</v>
      </c>
      <c r="E371" t="s">
        <v>6</v>
      </c>
      <c r="F371" t="s">
        <v>12</v>
      </c>
    </row>
    <row r="372" spans="1:6" x14ac:dyDescent="0.25">
      <c r="A372">
        <v>5827</v>
      </c>
      <c r="B372">
        <v>26759</v>
      </c>
      <c r="C372" t="s">
        <v>6</v>
      </c>
      <c r="D372" t="str">
        <f>HYPERLINK("https://users.rcc.uchicago.edu/~cozzyd/monutau/#event&amp;run=5827&amp;entry=26759", "link")</f>
        <v>link</v>
      </c>
      <c r="E372" t="s">
        <v>6</v>
      </c>
      <c r="F372" t="s">
        <v>12</v>
      </c>
    </row>
    <row r="373" spans="1:6" x14ac:dyDescent="0.25">
      <c r="A373">
        <v>5827</v>
      </c>
      <c r="B373">
        <v>27073</v>
      </c>
      <c r="C373" t="s">
        <v>6</v>
      </c>
      <c r="D373" t="str">
        <f>HYPERLINK("https://users.rcc.uchicago.edu/~cozzyd/monutau/#event&amp;run=5827&amp;entry=27073", "link")</f>
        <v>link</v>
      </c>
      <c r="E373" t="s">
        <v>6</v>
      </c>
      <c r="F373" t="s">
        <v>12</v>
      </c>
    </row>
    <row r="374" spans="1:6" x14ac:dyDescent="0.25">
      <c r="A374">
        <v>5827</v>
      </c>
      <c r="B374">
        <v>27208</v>
      </c>
      <c r="C374" t="s">
        <v>6</v>
      </c>
      <c r="D374" t="str">
        <f>HYPERLINK("https://users.rcc.uchicago.edu/~cozzyd/monutau/#event&amp;run=5827&amp;entry=27208", "link")</f>
        <v>link</v>
      </c>
      <c r="E374" t="s">
        <v>6</v>
      </c>
      <c r="F374" t="s">
        <v>12</v>
      </c>
    </row>
    <row r="375" spans="1:6" x14ac:dyDescent="0.25">
      <c r="A375">
        <v>5827</v>
      </c>
      <c r="B375">
        <v>27319</v>
      </c>
      <c r="C375" t="s">
        <v>6</v>
      </c>
      <c r="D375" t="str">
        <f>HYPERLINK("https://users.rcc.uchicago.edu/~cozzyd/monutau/#event&amp;run=5827&amp;entry=27319", "link")</f>
        <v>link</v>
      </c>
      <c r="E375" t="s">
        <v>6</v>
      </c>
      <c r="F375" t="s">
        <v>12</v>
      </c>
    </row>
    <row r="376" spans="1:6" x14ac:dyDescent="0.25">
      <c r="A376">
        <v>5827</v>
      </c>
      <c r="B376">
        <v>27716</v>
      </c>
      <c r="C376" t="s">
        <v>6</v>
      </c>
      <c r="D376" t="str">
        <f>HYPERLINK("https://users.rcc.uchicago.edu/~cozzyd/monutau/#event&amp;run=5827&amp;entry=27716", "link")</f>
        <v>link</v>
      </c>
      <c r="E376" t="s">
        <v>6</v>
      </c>
      <c r="F376" t="s">
        <v>12</v>
      </c>
    </row>
    <row r="377" spans="1:6" x14ac:dyDescent="0.25">
      <c r="A377">
        <v>5827</v>
      </c>
      <c r="B377">
        <v>27752</v>
      </c>
      <c r="C377" t="s">
        <v>6</v>
      </c>
      <c r="D377" t="str">
        <f>HYPERLINK("https://users.rcc.uchicago.edu/~cozzyd/monutau/#event&amp;run=5827&amp;entry=27752", "link")</f>
        <v>link</v>
      </c>
      <c r="E377" t="s">
        <v>6</v>
      </c>
      <c r="F377" t="s">
        <v>12</v>
      </c>
    </row>
    <row r="378" spans="1:6" x14ac:dyDescent="0.25">
      <c r="A378">
        <v>5827</v>
      </c>
      <c r="B378">
        <v>28255</v>
      </c>
      <c r="C378" t="s">
        <v>6</v>
      </c>
      <c r="D378" t="str">
        <f>HYPERLINK("https://users.rcc.uchicago.edu/~cozzyd/monutau/#event&amp;run=5827&amp;entry=28255", "link")</f>
        <v>link</v>
      </c>
      <c r="E378" t="s">
        <v>6</v>
      </c>
      <c r="F378" t="s">
        <v>12</v>
      </c>
    </row>
    <row r="379" spans="1:6" x14ac:dyDescent="0.25">
      <c r="A379">
        <v>5827</v>
      </c>
      <c r="B379">
        <v>28997</v>
      </c>
      <c r="C379" t="s">
        <v>6</v>
      </c>
      <c r="D379" t="str">
        <f>HYPERLINK("https://users.rcc.uchicago.edu/~cozzyd/monutau/#event&amp;run=5827&amp;entry=28997", "link")</f>
        <v>link</v>
      </c>
      <c r="E379" t="s">
        <v>6</v>
      </c>
      <c r="F379" t="s">
        <v>12</v>
      </c>
    </row>
    <row r="380" spans="1:6" x14ac:dyDescent="0.25">
      <c r="A380">
        <v>5827</v>
      </c>
      <c r="B380">
        <v>31131</v>
      </c>
      <c r="C380" t="s">
        <v>6</v>
      </c>
      <c r="D380" t="str">
        <f>HYPERLINK("https://users.rcc.uchicago.edu/~cozzyd/monutau/#event&amp;run=5827&amp;entry=31131", "link")</f>
        <v>link</v>
      </c>
      <c r="E380" t="s">
        <v>6</v>
      </c>
      <c r="F380" t="s">
        <v>12</v>
      </c>
    </row>
    <row r="381" spans="1:6" x14ac:dyDescent="0.25">
      <c r="A381">
        <v>5827</v>
      </c>
      <c r="B381">
        <v>33736</v>
      </c>
      <c r="C381" t="s">
        <v>6</v>
      </c>
      <c r="D381" t="str">
        <f>HYPERLINK("https://users.rcc.uchicago.edu/~cozzyd/monutau/#event&amp;run=5827&amp;entry=33736", "link")</f>
        <v>link</v>
      </c>
      <c r="E381" t="s">
        <v>6</v>
      </c>
      <c r="F381" t="s">
        <v>12</v>
      </c>
    </row>
    <row r="382" spans="1:6" x14ac:dyDescent="0.25">
      <c r="A382">
        <v>5827</v>
      </c>
      <c r="B382">
        <v>33842</v>
      </c>
      <c r="C382" t="s">
        <v>6</v>
      </c>
      <c r="D382" t="str">
        <f>HYPERLINK("https://users.rcc.uchicago.edu/~cozzyd/monutau/#event&amp;run=5827&amp;entry=33842", "link")</f>
        <v>link</v>
      </c>
      <c r="E382" t="s">
        <v>6</v>
      </c>
      <c r="F382" t="s">
        <v>12</v>
      </c>
    </row>
    <row r="383" spans="1:6" x14ac:dyDescent="0.25">
      <c r="A383">
        <v>5827</v>
      </c>
      <c r="B383">
        <v>35743</v>
      </c>
      <c r="C383" t="s">
        <v>6</v>
      </c>
      <c r="D383" t="str">
        <f>HYPERLINK("https://users.rcc.uchicago.edu/~cozzyd/monutau/#event&amp;run=5827&amp;entry=35743", "link")</f>
        <v>link</v>
      </c>
      <c r="E383" t="s">
        <v>6</v>
      </c>
      <c r="F383" t="s">
        <v>12</v>
      </c>
    </row>
    <row r="384" spans="1:6" x14ac:dyDescent="0.25">
      <c r="A384">
        <v>5827</v>
      </c>
      <c r="B384">
        <v>35775</v>
      </c>
      <c r="C384" t="s">
        <v>6</v>
      </c>
      <c r="D384" t="str">
        <f>HYPERLINK("https://users.rcc.uchicago.edu/~cozzyd/monutau/#event&amp;run=5827&amp;entry=35775", "link")</f>
        <v>link</v>
      </c>
      <c r="E384" t="s">
        <v>6</v>
      </c>
      <c r="F384" t="s">
        <v>12</v>
      </c>
    </row>
    <row r="385" spans="1:6" x14ac:dyDescent="0.25">
      <c r="A385">
        <v>5827</v>
      </c>
      <c r="B385">
        <v>36147</v>
      </c>
      <c r="C385" t="s">
        <v>6</v>
      </c>
      <c r="D385" t="str">
        <f>HYPERLINK("https://users.rcc.uchicago.edu/~cozzyd/monutau/#event&amp;run=5827&amp;entry=36147", "link")</f>
        <v>link</v>
      </c>
      <c r="E385" t="s">
        <v>6</v>
      </c>
      <c r="F385" t="s">
        <v>12</v>
      </c>
    </row>
    <row r="386" spans="1:6" x14ac:dyDescent="0.25">
      <c r="A386">
        <v>5827</v>
      </c>
      <c r="B386">
        <v>36433</v>
      </c>
      <c r="C386" t="s">
        <v>6</v>
      </c>
      <c r="D386" t="str">
        <f>HYPERLINK("https://users.rcc.uchicago.edu/~cozzyd/monutau/#event&amp;run=5827&amp;entry=36433", "link")</f>
        <v>link</v>
      </c>
      <c r="E386" t="s">
        <v>6</v>
      </c>
      <c r="F386" t="s">
        <v>12</v>
      </c>
    </row>
    <row r="387" spans="1:6" x14ac:dyDescent="0.25">
      <c r="A387">
        <v>5827</v>
      </c>
      <c r="B387">
        <v>36909</v>
      </c>
      <c r="C387" t="s">
        <v>6</v>
      </c>
      <c r="D387" t="str">
        <f>HYPERLINK("https://users.rcc.uchicago.edu/~cozzyd/monutau/#event&amp;run=5827&amp;entry=36909", "link")</f>
        <v>link</v>
      </c>
      <c r="E387" t="s">
        <v>6</v>
      </c>
      <c r="F387" t="s">
        <v>12</v>
      </c>
    </row>
    <row r="388" spans="1:6" x14ac:dyDescent="0.25">
      <c r="A388">
        <v>5827</v>
      </c>
      <c r="B388">
        <v>37571</v>
      </c>
      <c r="C388" t="s">
        <v>6</v>
      </c>
      <c r="D388" t="str">
        <f>HYPERLINK("https://users.rcc.uchicago.edu/~cozzyd/monutau/#event&amp;run=5827&amp;entry=37571", "link")</f>
        <v>link</v>
      </c>
      <c r="E388" t="s">
        <v>6</v>
      </c>
      <c r="F388" t="s">
        <v>12</v>
      </c>
    </row>
    <row r="389" spans="1:6" x14ac:dyDescent="0.25">
      <c r="A389">
        <v>5827</v>
      </c>
      <c r="B389">
        <v>37756</v>
      </c>
      <c r="C389" t="s">
        <v>6</v>
      </c>
      <c r="D389" t="str">
        <f>HYPERLINK("https://users.rcc.uchicago.edu/~cozzyd/monutau/#event&amp;run=5827&amp;entry=37756", "link")</f>
        <v>link</v>
      </c>
      <c r="E389" t="s">
        <v>6</v>
      </c>
      <c r="F389" t="s">
        <v>12</v>
      </c>
    </row>
    <row r="390" spans="1:6" x14ac:dyDescent="0.25">
      <c r="A390">
        <v>5827</v>
      </c>
      <c r="B390">
        <v>39397</v>
      </c>
      <c r="C390" t="s">
        <v>6</v>
      </c>
      <c r="D390" t="str">
        <f>HYPERLINK("https://users.rcc.uchicago.edu/~cozzyd/monutau/#event&amp;run=5827&amp;entry=39397", "link")</f>
        <v>link</v>
      </c>
      <c r="E390" t="s">
        <v>6</v>
      </c>
      <c r="F390" t="s">
        <v>12</v>
      </c>
    </row>
    <row r="391" spans="1:6" x14ac:dyDescent="0.25">
      <c r="A391">
        <v>5827</v>
      </c>
      <c r="B391">
        <v>40487</v>
      </c>
      <c r="C391" t="s">
        <v>6</v>
      </c>
      <c r="D391" t="str">
        <f>HYPERLINK("https://users.rcc.uchicago.edu/~cozzyd/monutau/#event&amp;run=5827&amp;entry=40487", "link")</f>
        <v>link</v>
      </c>
      <c r="E391" t="s">
        <v>6</v>
      </c>
      <c r="F391" t="s">
        <v>12</v>
      </c>
    </row>
    <row r="392" spans="1:6" x14ac:dyDescent="0.25">
      <c r="A392">
        <v>5827</v>
      </c>
      <c r="B392">
        <v>40732</v>
      </c>
      <c r="C392" t="s">
        <v>6</v>
      </c>
      <c r="D392" t="str">
        <f>HYPERLINK("https://users.rcc.uchicago.edu/~cozzyd/monutau/#event&amp;run=5827&amp;entry=40732", "link")</f>
        <v>link</v>
      </c>
      <c r="E392" t="s">
        <v>6</v>
      </c>
      <c r="F392" t="s">
        <v>12</v>
      </c>
    </row>
    <row r="393" spans="1:6" x14ac:dyDescent="0.25">
      <c r="A393">
        <v>5827</v>
      </c>
      <c r="B393">
        <v>41757</v>
      </c>
      <c r="C393" t="s">
        <v>6</v>
      </c>
      <c r="D393" t="str">
        <f>HYPERLINK("https://users.rcc.uchicago.edu/~cozzyd/monutau/#event&amp;run=5827&amp;entry=41757", "link")</f>
        <v>link</v>
      </c>
      <c r="E393" t="s">
        <v>6</v>
      </c>
      <c r="F393" t="s">
        <v>12</v>
      </c>
    </row>
    <row r="394" spans="1:6" x14ac:dyDescent="0.25">
      <c r="A394">
        <v>5827</v>
      </c>
      <c r="B394">
        <v>44533</v>
      </c>
      <c r="C394" t="s">
        <v>6</v>
      </c>
      <c r="D394" t="str">
        <f>HYPERLINK("https://users.rcc.uchicago.edu/~cozzyd/monutau/#event&amp;run=5827&amp;entry=44533", "link")</f>
        <v>link</v>
      </c>
      <c r="E394" t="s">
        <v>6</v>
      </c>
      <c r="F394" t="s">
        <v>12</v>
      </c>
    </row>
    <row r="395" spans="1:6" x14ac:dyDescent="0.25">
      <c r="A395">
        <v>5827</v>
      </c>
      <c r="B395">
        <v>45789</v>
      </c>
      <c r="C395" t="s">
        <v>6</v>
      </c>
      <c r="D395" t="str">
        <f>HYPERLINK("https://users.rcc.uchicago.edu/~cozzyd/monutau/#event&amp;run=5827&amp;entry=45789", "link")</f>
        <v>link</v>
      </c>
      <c r="E395" t="s">
        <v>6</v>
      </c>
      <c r="F395" t="s">
        <v>12</v>
      </c>
    </row>
    <row r="396" spans="1:6" x14ac:dyDescent="0.25">
      <c r="A396">
        <v>5827</v>
      </c>
      <c r="B396">
        <v>46588</v>
      </c>
      <c r="C396" t="s">
        <v>6</v>
      </c>
      <c r="D396" t="str">
        <f>HYPERLINK("https://users.rcc.uchicago.edu/~cozzyd/monutau/#event&amp;run=5827&amp;entry=46588", "link")</f>
        <v>link</v>
      </c>
      <c r="E396" t="s">
        <v>6</v>
      </c>
      <c r="F396" t="s">
        <v>12</v>
      </c>
    </row>
    <row r="397" spans="1:6" x14ac:dyDescent="0.25">
      <c r="A397">
        <v>5827</v>
      </c>
      <c r="B397">
        <v>47205</v>
      </c>
      <c r="C397" t="s">
        <v>6</v>
      </c>
      <c r="D397" t="str">
        <f>HYPERLINK("https://users.rcc.uchicago.edu/~cozzyd/monutau/#event&amp;run=5827&amp;entry=47205", "link")</f>
        <v>link</v>
      </c>
      <c r="E397" t="s">
        <v>6</v>
      </c>
      <c r="F397" t="s">
        <v>12</v>
      </c>
    </row>
    <row r="398" spans="1:6" x14ac:dyDescent="0.25">
      <c r="A398">
        <v>5827</v>
      </c>
      <c r="B398">
        <v>47555</v>
      </c>
      <c r="C398" t="s">
        <v>6</v>
      </c>
      <c r="D398" t="str">
        <f>HYPERLINK("https://users.rcc.uchicago.edu/~cozzyd/monutau/#event&amp;run=5827&amp;entry=47555", "link")</f>
        <v>link</v>
      </c>
      <c r="E398" t="s">
        <v>6</v>
      </c>
      <c r="F398" t="s">
        <v>12</v>
      </c>
    </row>
    <row r="399" spans="1:6" x14ac:dyDescent="0.25">
      <c r="A399">
        <v>5827</v>
      </c>
      <c r="B399">
        <v>47902</v>
      </c>
      <c r="C399" t="s">
        <v>6</v>
      </c>
      <c r="D399" t="str">
        <f>HYPERLINK("https://users.rcc.uchicago.edu/~cozzyd/monutau/#event&amp;run=5827&amp;entry=47902", "link")</f>
        <v>link</v>
      </c>
      <c r="E399" t="s">
        <v>6</v>
      </c>
      <c r="F399" t="s">
        <v>12</v>
      </c>
    </row>
    <row r="400" spans="1:6" x14ac:dyDescent="0.25">
      <c r="A400">
        <v>5827</v>
      </c>
      <c r="B400">
        <v>47942</v>
      </c>
      <c r="C400" t="s">
        <v>6</v>
      </c>
      <c r="D400" t="str">
        <f>HYPERLINK("https://users.rcc.uchicago.edu/~cozzyd/monutau/#event&amp;run=5827&amp;entry=47942", "link")</f>
        <v>link</v>
      </c>
      <c r="E400" t="s">
        <v>6</v>
      </c>
      <c r="F400" t="s">
        <v>12</v>
      </c>
    </row>
    <row r="401" spans="1:6" x14ac:dyDescent="0.25">
      <c r="A401">
        <v>5827</v>
      </c>
      <c r="B401">
        <v>48103</v>
      </c>
      <c r="C401" t="s">
        <v>6</v>
      </c>
      <c r="D401" t="str">
        <f>HYPERLINK("https://users.rcc.uchicago.edu/~cozzyd/monutau/#event&amp;run=5827&amp;entry=48103", "link")</f>
        <v>link</v>
      </c>
      <c r="E401" t="s">
        <v>6</v>
      </c>
      <c r="F401" t="s">
        <v>12</v>
      </c>
    </row>
    <row r="402" spans="1:6" x14ac:dyDescent="0.25">
      <c r="A402">
        <v>5827</v>
      </c>
      <c r="B402">
        <v>52083</v>
      </c>
      <c r="C402" t="s">
        <v>6</v>
      </c>
      <c r="D402" t="str">
        <f>HYPERLINK("https://users.rcc.uchicago.edu/~cozzyd/monutau/#event&amp;run=5827&amp;entry=52083", "link")</f>
        <v>link</v>
      </c>
      <c r="E402" t="s">
        <v>6</v>
      </c>
      <c r="F402" t="s">
        <v>12</v>
      </c>
    </row>
    <row r="403" spans="1:6" x14ac:dyDescent="0.25">
      <c r="A403">
        <v>5827</v>
      </c>
      <c r="B403">
        <v>52129</v>
      </c>
      <c r="C403" t="s">
        <v>6</v>
      </c>
      <c r="D403" t="str">
        <f>HYPERLINK("https://users.rcc.uchicago.edu/~cozzyd/monutau/#event&amp;run=5827&amp;entry=52129", "link")</f>
        <v>link</v>
      </c>
      <c r="E403" t="s">
        <v>6</v>
      </c>
      <c r="F403" t="s">
        <v>12</v>
      </c>
    </row>
    <row r="404" spans="1:6" x14ac:dyDescent="0.25">
      <c r="A404">
        <v>5827</v>
      </c>
      <c r="B404">
        <v>53371</v>
      </c>
      <c r="C404" t="s">
        <v>6</v>
      </c>
      <c r="D404" t="str">
        <f>HYPERLINK("https://users.rcc.uchicago.edu/~cozzyd/monutau/#event&amp;run=5827&amp;entry=53371", "link")</f>
        <v>link</v>
      </c>
      <c r="E404" t="s">
        <v>6</v>
      </c>
      <c r="F404" t="s">
        <v>12</v>
      </c>
    </row>
    <row r="405" spans="1:6" x14ac:dyDescent="0.25">
      <c r="A405">
        <v>5827</v>
      </c>
      <c r="B405">
        <v>55451</v>
      </c>
      <c r="C405" t="s">
        <v>6</v>
      </c>
      <c r="D405" t="str">
        <f>HYPERLINK("https://users.rcc.uchicago.edu/~cozzyd/monutau/#event&amp;run=5827&amp;entry=55451", "link")</f>
        <v>link</v>
      </c>
      <c r="E405" t="s">
        <v>6</v>
      </c>
      <c r="F405" t="s">
        <v>12</v>
      </c>
    </row>
    <row r="406" spans="1:6" x14ac:dyDescent="0.25">
      <c r="A406">
        <v>5827</v>
      </c>
      <c r="B406">
        <v>57434</v>
      </c>
      <c r="C406" t="s">
        <v>6</v>
      </c>
      <c r="D406" t="str">
        <f>HYPERLINK("https://users.rcc.uchicago.edu/~cozzyd/monutau/#event&amp;run=5827&amp;entry=57434", "link")</f>
        <v>link</v>
      </c>
      <c r="E406" t="s">
        <v>6</v>
      </c>
      <c r="F406" t="s">
        <v>12</v>
      </c>
    </row>
    <row r="407" spans="1:6" x14ac:dyDescent="0.25">
      <c r="A407">
        <v>5827</v>
      </c>
      <c r="B407">
        <v>62699</v>
      </c>
      <c r="C407" t="s">
        <v>6</v>
      </c>
      <c r="D407" t="str">
        <f>HYPERLINK("https://users.rcc.uchicago.edu/~cozzyd/monutau/#event&amp;run=5827&amp;entry=62699", "link")</f>
        <v>link</v>
      </c>
      <c r="E407" t="s">
        <v>6</v>
      </c>
      <c r="F407" t="s">
        <v>12</v>
      </c>
    </row>
    <row r="408" spans="1:6" x14ac:dyDescent="0.25">
      <c r="A408">
        <v>5827</v>
      </c>
      <c r="B408">
        <v>64177</v>
      </c>
      <c r="C408" t="s">
        <v>6</v>
      </c>
      <c r="D408" t="str">
        <f>HYPERLINK("https://users.rcc.uchicago.edu/~cozzyd/monutau/#event&amp;run=5827&amp;entry=64177", "link")</f>
        <v>link</v>
      </c>
      <c r="E408" t="s">
        <v>6</v>
      </c>
      <c r="F408" t="s">
        <v>12</v>
      </c>
    </row>
    <row r="409" spans="1:6" x14ac:dyDescent="0.25">
      <c r="A409">
        <v>5827</v>
      </c>
      <c r="B409">
        <v>76013</v>
      </c>
      <c r="C409" t="s">
        <v>6</v>
      </c>
      <c r="D409" t="str">
        <f>HYPERLINK("https://users.rcc.uchicago.edu/~cozzyd/monutau/#event&amp;run=5827&amp;entry=76013", "link")</f>
        <v>link</v>
      </c>
      <c r="E409" t="s">
        <v>6</v>
      </c>
      <c r="F409" t="s">
        <v>12</v>
      </c>
    </row>
    <row r="410" spans="1:6" x14ac:dyDescent="0.25">
      <c r="A410">
        <v>5827</v>
      </c>
      <c r="B410">
        <v>102644</v>
      </c>
      <c r="C410" t="s">
        <v>6</v>
      </c>
      <c r="D410" t="str">
        <f>HYPERLINK("https://users.rcc.uchicago.edu/~cozzyd/monutau/#event&amp;run=5827&amp;entry=102644", "link")</f>
        <v>link</v>
      </c>
      <c r="E410" t="s">
        <v>6</v>
      </c>
      <c r="F410" t="s">
        <v>12</v>
      </c>
    </row>
    <row r="411" spans="1:6" x14ac:dyDescent="0.25">
      <c r="A411">
        <v>5827</v>
      </c>
      <c r="B411">
        <v>120161</v>
      </c>
      <c r="C411" t="s">
        <v>6</v>
      </c>
      <c r="D411" t="str">
        <f>HYPERLINK("https://users.rcc.uchicago.edu/~cozzyd/monutau/#event&amp;run=5827&amp;entry=120161", "link")</f>
        <v>link</v>
      </c>
      <c r="E411" t="s">
        <v>6</v>
      </c>
      <c r="F411" t="s">
        <v>12</v>
      </c>
    </row>
    <row r="412" spans="1:6" x14ac:dyDescent="0.25">
      <c r="A412">
        <v>5827</v>
      </c>
      <c r="B412">
        <v>138749</v>
      </c>
      <c r="C412" t="s">
        <v>6</v>
      </c>
      <c r="D412" t="str">
        <f>HYPERLINK("https://users.rcc.uchicago.edu/~cozzyd/monutau/#event&amp;run=5827&amp;entry=138749", "link")</f>
        <v>link</v>
      </c>
      <c r="E412" t="s">
        <v>6</v>
      </c>
      <c r="F412" t="s">
        <v>12</v>
      </c>
    </row>
    <row r="413" spans="1:6" x14ac:dyDescent="0.25">
      <c r="A413">
        <v>5828</v>
      </c>
      <c r="B413">
        <v>10805</v>
      </c>
      <c r="C413" t="s">
        <v>6</v>
      </c>
      <c r="D413" t="str">
        <f>HYPERLINK("https://users.rcc.uchicago.edu/~cozzyd/monutau/#event&amp;run=5828&amp;entry=10805", "link")</f>
        <v>link</v>
      </c>
      <c r="E413" t="s">
        <v>6</v>
      </c>
      <c r="F413" t="s">
        <v>11</v>
      </c>
    </row>
    <row r="414" spans="1:6" x14ac:dyDescent="0.25">
      <c r="A414">
        <v>5828</v>
      </c>
      <c r="B414">
        <v>19895</v>
      </c>
      <c r="C414" t="s">
        <v>6</v>
      </c>
      <c r="D414" t="str">
        <f>HYPERLINK("https://users.rcc.uchicago.edu/~cozzyd/monutau/#event&amp;run=5828&amp;entry=19895", "link")</f>
        <v>link</v>
      </c>
      <c r="E414" t="s">
        <v>6</v>
      </c>
      <c r="F414" t="s">
        <v>12</v>
      </c>
    </row>
    <row r="415" spans="1:6" x14ac:dyDescent="0.25">
      <c r="A415">
        <v>5828</v>
      </c>
      <c r="B415">
        <v>20218</v>
      </c>
      <c r="C415" t="s">
        <v>6</v>
      </c>
      <c r="D415" t="str">
        <f>HYPERLINK("https://users.rcc.uchicago.edu/~cozzyd/monutau/#event&amp;run=5828&amp;entry=20218", "link")</f>
        <v>link</v>
      </c>
      <c r="E415" t="s">
        <v>6</v>
      </c>
      <c r="F415" t="s">
        <v>12</v>
      </c>
    </row>
    <row r="416" spans="1:6" x14ac:dyDescent="0.25">
      <c r="A416">
        <v>5828</v>
      </c>
      <c r="B416">
        <v>20714</v>
      </c>
      <c r="C416" t="s">
        <v>6</v>
      </c>
      <c r="D416" t="str">
        <f>HYPERLINK("https://users.rcc.uchicago.edu/~cozzyd/monutau/#event&amp;run=5828&amp;entry=20714", "link")</f>
        <v>link</v>
      </c>
      <c r="E416" t="s">
        <v>6</v>
      </c>
      <c r="F416" t="s">
        <v>12</v>
      </c>
    </row>
    <row r="417" spans="1:6" x14ac:dyDescent="0.25">
      <c r="A417">
        <v>5829</v>
      </c>
      <c r="B417">
        <v>51337</v>
      </c>
      <c r="C417" t="s">
        <v>13</v>
      </c>
      <c r="D417" t="str">
        <f>HYPERLINK("https://users.rcc.uchicago.edu/~cozzyd/monutau/#event&amp;run=5829&amp;entry=51337", "link")</f>
        <v>link</v>
      </c>
      <c r="E417" t="s">
        <v>21</v>
      </c>
      <c r="F417" t="s">
        <v>11</v>
      </c>
    </row>
    <row r="418" spans="1:6" x14ac:dyDescent="0.25">
      <c r="A418">
        <v>5829</v>
      </c>
      <c r="B418">
        <v>80545</v>
      </c>
      <c r="C418" t="s">
        <v>6</v>
      </c>
      <c r="D418" t="str">
        <f>HYPERLINK("https://users.rcc.uchicago.edu/~cozzyd/monutau/#event&amp;run=5829&amp;entry=80545", "link")</f>
        <v>link</v>
      </c>
      <c r="E418" t="s">
        <v>6</v>
      </c>
      <c r="F418" t="s">
        <v>11</v>
      </c>
    </row>
    <row r="419" spans="1:6" x14ac:dyDescent="0.25">
      <c r="A419">
        <v>5829</v>
      </c>
      <c r="B419">
        <v>140111</v>
      </c>
      <c r="C419" t="s">
        <v>6</v>
      </c>
      <c r="D419" t="str">
        <f>HYPERLINK("https://users.rcc.uchicago.edu/~cozzyd/monutau/#event&amp;run=5829&amp;entry=140111", "link")</f>
        <v>link</v>
      </c>
      <c r="E419" t="s">
        <v>6</v>
      </c>
      <c r="F419" t="s">
        <v>11</v>
      </c>
    </row>
    <row r="420" spans="1:6" x14ac:dyDescent="0.25">
      <c r="A420">
        <v>5834</v>
      </c>
      <c r="B420">
        <v>83486</v>
      </c>
      <c r="C420" t="s">
        <v>6</v>
      </c>
      <c r="D420" t="str">
        <f>HYPERLINK("https://users.rcc.uchicago.edu/~cozzyd/monutau/#event&amp;run=5834&amp;entry=83486", "link")</f>
        <v>link</v>
      </c>
      <c r="E420" t="s">
        <v>6</v>
      </c>
      <c r="F420" t="s">
        <v>11</v>
      </c>
    </row>
    <row r="421" spans="1:6" x14ac:dyDescent="0.25">
      <c r="A421">
        <v>5835</v>
      </c>
      <c r="B421">
        <v>3805</v>
      </c>
      <c r="C421" t="s">
        <v>6</v>
      </c>
      <c r="D421" t="str">
        <f>HYPERLINK("https://users.rcc.uchicago.edu/~cozzyd/monutau/#event&amp;run=5835&amp;entry=3805", "link")</f>
        <v>link</v>
      </c>
      <c r="E421" t="s">
        <v>6</v>
      </c>
      <c r="F421" t="s">
        <v>12</v>
      </c>
    </row>
    <row r="422" spans="1:6" x14ac:dyDescent="0.25">
      <c r="A422">
        <v>5835</v>
      </c>
      <c r="B422">
        <v>3820</v>
      </c>
      <c r="C422" t="s">
        <v>6</v>
      </c>
      <c r="D422" t="str">
        <f>HYPERLINK("https://users.rcc.uchicago.edu/~cozzyd/monutau/#event&amp;run=5835&amp;entry=3820", "link")</f>
        <v>link</v>
      </c>
      <c r="E422" t="s">
        <v>6</v>
      </c>
      <c r="F422" t="s">
        <v>12</v>
      </c>
    </row>
    <row r="423" spans="1:6" x14ac:dyDescent="0.25">
      <c r="A423">
        <v>5835</v>
      </c>
      <c r="B423">
        <v>30380</v>
      </c>
      <c r="C423" t="s">
        <v>6</v>
      </c>
      <c r="D423" t="str">
        <f>HYPERLINK("https://users.rcc.uchicago.edu/~cozzyd/monutau/#event&amp;run=5835&amp;entry=30380", "link")</f>
        <v>link</v>
      </c>
      <c r="E423" t="s">
        <v>6</v>
      </c>
      <c r="F423" t="s">
        <v>11</v>
      </c>
    </row>
    <row r="424" spans="1:6" x14ac:dyDescent="0.25">
      <c r="A424">
        <v>5835</v>
      </c>
      <c r="B424">
        <v>121776</v>
      </c>
      <c r="C424" t="s">
        <v>6</v>
      </c>
      <c r="D424" t="str">
        <f>HYPERLINK("https://users.rcc.uchicago.edu/~cozzyd/monutau/#event&amp;run=5835&amp;entry=121776", "link")</f>
        <v>link</v>
      </c>
      <c r="E424" t="s">
        <v>6</v>
      </c>
      <c r="F424" t="s">
        <v>11</v>
      </c>
    </row>
    <row r="425" spans="1:6" x14ac:dyDescent="0.25">
      <c r="A425">
        <v>5838</v>
      </c>
      <c r="B425">
        <v>117</v>
      </c>
      <c r="C425" t="s">
        <v>6</v>
      </c>
      <c r="D425" t="str">
        <f>HYPERLINK("https://users.rcc.uchicago.edu/~cozzyd/monutau/#event&amp;run=5838&amp;entry=117", "link")</f>
        <v>link</v>
      </c>
      <c r="E425" t="s">
        <v>6</v>
      </c>
      <c r="F425" t="s">
        <v>7</v>
      </c>
    </row>
    <row r="426" spans="1:6" x14ac:dyDescent="0.25">
      <c r="A426">
        <v>5838</v>
      </c>
      <c r="B426">
        <v>1915</v>
      </c>
      <c r="C426" t="s">
        <v>6</v>
      </c>
      <c r="D426" t="str">
        <f>HYPERLINK("https://users.rcc.uchicago.edu/~cozzyd/monutau/#event&amp;run=5838&amp;entry=1915", "link")</f>
        <v>link</v>
      </c>
      <c r="E426" t="s">
        <v>6</v>
      </c>
      <c r="F426" t="s">
        <v>11</v>
      </c>
    </row>
    <row r="427" spans="1:6" x14ac:dyDescent="0.25">
      <c r="A427">
        <v>5838</v>
      </c>
      <c r="B427">
        <v>4680</v>
      </c>
      <c r="C427" t="s">
        <v>6</v>
      </c>
      <c r="D427" t="str">
        <f>HYPERLINK("https://users.rcc.uchicago.edu/~cozzyd/monutau/#event&amp;run=5838&amp;entry=4680", "link")</f>
        <v>link</v>
      </c>
      <c r="E427" t="s">
        <v>6</v>
      </c>
      <c r="F427" t="s">
        <v>7</v>
      </c>
    </row>
    <row r="428" spans="1:6" x14ac:dyDescent="0.25">
      <c r="A428">
        <v>5838</v>
      </c>
      <c r="B428">
        <v>5024</v>
      </c>
      <c r="C428" t="s">
        <v>6</v>
      </c>
      <c r="D428" t="str">
        <f>HYPERLINK("https://users.rcc.uchicago.edu/~cozzyd/monutau/#event&amp;run=5838&amp;entry=5024", "link")</f>
        <v>link</v>
      </c>
      <c r="E428" t="s">
        <v>6</v>
      </c>
      <c r="F428" t="s">
        <v>11</v>
      </c>
    </row>
    <row r="429" spans="1:6" x14ac:dyDescent="0.25">
      <c r="A429">
        <v>5838</v>
      </c>
      <c r="B429">
        <v>10769</v>
      </c>
      <c r="C429" t="s">
        <v>6</v>
      </c>
      <c r="D429" t="str">
        <f>HYPERLINK("https://users.rcc.uchicago.edu/~cozzyd/monutau/#event&amp;run=5838&amp;entry=10769", "link")</f>
        <v>link</v>
      </c>
      <c r="E429" t="s">
        <v>6</v>
      </c>
      <c r="F429" t="s">
        <v>7</v>
      </c>
    </row>
    <row r="430" spans="1:6" x14ac:dyDescent="0.25">
      <c r="A430">
        <v>5838</v>
      </c>
      <c r="B430">
        <v>12940</v>
      </c>
      <c r="C430" t="s">
        <v>6</v>
      </c>
      <c r="D430" t="str">
        <f>HYPERLINK("https://users.rcc.uchicago.edu/~cozzyd/monutau/#event&amp;run=5838&amp;entry=12940", "link")</f>
        <v>link</v>
      </c>
      <c r="E430" t="s">
        <v>6</v>
      </c>
      <c r="F430" t="s">
        <v>11</v>
      </c>
    </row>
    <row r="431" spans="1:6" x14ac:dyDescent="0.25">
      <c r="A431">
        <v>5838</v>
      </c>
      <c r="B431">
        <v>13098</v>
      </c>
      <c r="C431" t="s">
        <v>6</v>
      </c>
      <c r="D431" t="str">
        <f>HYPERLINK("https://users.rcc.uchicago.edu/~cozzyd/monutau/#event&amp;run=5838&amp;entry=13098", "link")</f>
        <v>link</v>
      </c>
      <c r="E431" t="s">
        <v>6</v>
      </c>
      <c r="F431" t="s">
        <v>7</v>
      </c>
    </row>
    <row r="432" spans="1:6" x14ac:dyDescent="0.25">
      <c r="A432">
        <v>5838</v>
      </c>
      <c r="B432">
        <v>13948</v>
      </c>
      <c r="C432" t="s">
        <v>6</v>
      </c>
      <c r="D432" t="str">
        <f>HYPERLINK("https://users.rcc.uchicago.edu/~cozzyd/monutau/#event&amp;run=5838&amp;entry=13948", "link")</f>
        <v>link</v>
      </c>
      <c r="E432" t="s">
        <v>6</v>
      </c>
      <c r="F432" t="s">
        <v>7</v>
      </c>
    </row>
    <row r="433" spans="1:6" x14ac:dyDescent="0.25">
      <c r="A433">
        <v>5838</v>
      </c>
      <c r="B433">
        <v>14746</v>
      </c>
      <c r="C433" t="s">
        <v>6</v>
      </c>
      <c r="D433" t="str">
        <f>HYPERLINK("https://users.rcc.uchicago.edu/~cozzyd/monutau/#event&amp;run=5838&amp;entry=14746", "link")</f>
        <v>link</v>
      </c>
      <c r="E433" t="s">
        <v>6</v>
      </c>
      <c r="F433" t="s">
        <v>7</v>
      </c>
    </row>
    <row r="434" spans="1:6" x14ac:dyDescent="0.25">
      <c r="A434">
        <v>5838</v>
      </c>
      <c r="B434">
        <v>14859</v>
      </c>
      <c r="C434" t="s">
        <v>6</v>
      </c>
      <c r="D434" t="str">
        <f>HYPERLINK("https://users.rcc.uchicago.edu/~cozzyd/monutau/#event&amp;run=5838&amp;entry=14859", "link")</f>
        <v>link</v>
      </c>
      <c r="E434" t="s">
        <v>6</v>
      </c>
      <c r="F434" t="s">
        <v>11</v>
      </c>
    </row>
    <row r="435" spans="1:6" x14ac:dyDescent="0.25">
      <c r="A435">
        <v>5838</v>
      </c>
      <c r="B435">
        <v>17306</v>
      </c>
      <c r="C435" t="s">
        <v>6</v>
      </c>
      <c r="D435" t="str">
        <f>HYPERLINK("https://users.rcc.uchicago.edu/~cozzyd/monutau/#event&amp;run=5838&amp;entry=17306", "link")</f>
        <v>link</v>
      </c>
      <c r="E435" t="s">
        <v>6</v>
      </c>
      <c r="F435" t="s">
        <v>11</v>
      </c>
    </row>
    <row r="436" spans="1:6" x14ac:dyDescent="0.25">
      <c r="A436">
        <v>5838</v>
      </c>
      <c r="B436">
        <v>17808</v>
      </c>
      <c r="C436" t="s">
        <v>6</v>
      </c>
      <c r="D436" t="str">
        <f>HYPERLINK("https://users.rcc.uchicago.edu/~cozzyd/monutau/#event&amp;run=5838&amp;entry=17808", "link")</f>
        <v>link</v>
      </c>
      <c r="E436" t="s">
        <v>6</v>
      </c>
      <c r="F436" t="s">
        <v>11</v>
      </c>
    </row>
    <row r="437" spans="1:6" x14ac:dyDescent="0.25">
      <c r="A437">
        <v>5838</v>
      </c>
      <c r="B437">
        <v>22603</v>
      </c>
      <c r="C437" t="s">
        <v>6</v>
      </c>
      <c r="D437" t="str">
        <f>HYPERLINK("https://users.rcc.uchicago.edu/~cozzyd/monutau/#event&amp;run=5838&amp;entry=22603", "link")</f>
        <v>link</v>
      </c>
      <c r="E437" t="s">
        <v>6</v>
      </c>
      <c r="F437" t="s">
        <v>7</v>
      </c>
    </row>
    <row r="438" spans="1:6" x14ac:dyDescent="0.25">
      <c r="A438">
        <v>5838</v>
      </c>
      <c r="B438">
        <v>23617</v>
      </c>
      <c r="C438" t="s">
        <v>6</v>
      </c>
      <c r="D438" t="str">
        <f>HYPERLINK("https://users.rcc.uchicago.edu/~cozzyd/monutau/#event&amp;run=5838&amp;entry=23617", "link")</f>
        <v>link</v>
      </c>
      <c r="E438" t="s">
        <v>6</v>
      </c>
      <c r="F438" t="s">
        <v>11</v>
      </c>
    </row>
    <row r="439" spans="1:6" x14ac:dyDescent="0.25">
      <c r="A439">
        <v>5838</v>
      </c>
      <c r="B439">
        <v>24518</v>
      </c>
      <c r="C439" t="s">
        <v>6</v>
      </c>
      <c r="D439" t="str">
        <f>HYPERLINK("https://users.rcc.uchicago.edu/~cozzyd/monutau/#event&amp;run=5838&amp;entry=24518", "link")</f>
        <v>link</v>
      </c>
      <c r="E439" t="s">
        <v>6</v>
      </c>
      <c r="F439" t="s">
        <v>7</v>
      </c>
    </row>
    <row r="440" spans="1:6" x14ac:dyDescent="0.25">
      <c r="A440">
        <v>5838</v>
      </c>
      <c r="B440">
        <v>28214</v>
      </c>
      <c r="C440" t="s">
        <v>6</v>
      </c>
      <c r="D440" t="str">
        <f>HYPERLINK("https://users.rcc.uchicago.edu/~cozzyd/monutau/#event&amp;run=5838&amp;entry=28214", "link")</f>
        <v>link</v>
      </c>
      <c r="E440" t="s">
        <v>6</v>
      </c>
      <c r="F440" t="s">
        <v>12</v>
      </c>
    </row>
    <row r="441" spans="1:6" x14ac:dyDescent="0.25">
      <c r="A441">
        <v>5838</v>
      </c>
      <c r="B441">
        <v>29018</v>
      </c>
      <c r="C441" t="s">
        <v>6</v>
      </c>
      <c r="D441" t="str">
        <f>HYPERLINK("https://users.rcc.uchicago.edu/~cozzyd/monutau/#event&amp;run=5838&amp;entry=29018", "link")</f>
        <v>link</v>
      </c>
      <c r="E441" t="s">
        <v>6</v>
      </c>
      <c r="F441" t="s">
        <v>7</v>
      </c>
    </row>
    <row r="442" spans="1:6" x14ac:dyDescent="0.25">
      <c r="A442">
        <v>5838</v>
      </c>
      <c r="B442">
        <v>29100</v>
      </c>
      <c r="C442" t="s">
        <v>6</v>
      </c>
      <c r="D442" t="str">
        <f>HYPERLINK("https://users.rcc.uchicago.edu/~cozzyd/monutau/#event&amp;run=5838&amp;entry=29100", "link")</f>
        <v>link</v>
      </c>
      <c r="E442" t="s">
        <v>6</v>
      </c>
      <c r="F442" t="s">
        <v>7</v>
      </c>
    </row>
    <row r="443" spans="1:6" x14ac:dyDescent="0.25">
      <c r="A443">
        <v>5838</v>
      </c>
      <c r="B443">
        <v>30732</v>
      </c>
      <c r="C443" t="s">
        <v>6</v>
      </c>
      <c r="D443" t="str">
        <f>HYPERLINK("https://users.rcc.uchicago.edu/~cozzyd/monutau/#event&amp;run=5838&amp;entry=30732", "link")</f>
        <v>link</v>
      </c>
      <c r="E443" t="s">
        <v>6</v>
      </c>
      <c r="F443" t="s">
        <v>10</v>
      </c>
    </row>
    <row r="444" spans="1:6" x14ac:dyDescent="0.25">
      <c r="A444">
        <v>5838</v>
      </c>
      <c r="B444">
        <v>41272</v>
      </c>
      <c r="C444" t="s">
        <v>6</v>
      </c>
      <c r="D444" t="str">
        <f>HYPERLINK("https://users.rcc.uchicago.edu/~cozzyd/monutau/#event&amp;run=5838&amp;entry=41272", "link")</f>
        <v>link</v>
      </c>
      <c r="E444" t="s">
        <v>6</v>
      </c>
      <c r="F444" t="s">
        <v>11</v>
      </c>
    </row>
    <row r="445" spans="1:6" x14ac:dyDescent="0.25">
      <c r="A445">
        <v>5838</v>
      </c>
      <c r="B445">
        <v>57683</v>
      </c>
      <c r="C445" t="s">
        <v>6</v>
      </c>
      <c r="D445" t="str">
        <f>HYPERLINK("https://users.rcc.uchicago.edu/~cozzyd/monutau/#event&amp;run=5838&amp;entry=57683", "link")</f>
        <v>link</v>
      </c>
      <c r="E445" t="s">
        <v>6</v>
      </c>
      <c r="F445" t="s">
        <v>12</v>
      </c>
    </row>
    <row r="446" spans="1:6" x14ac:dyDescent="0.25">
      <c r="A446">
        <v>5838</v>
      </c>
      <c r="B446">
        <v>90025</v>
      </c>
      <c r="C446" t="s">
        <v>6</v>
      </c>
      <c r="D446" t="str">
        <f>HYPERLINK("https://users.rcc.uchicago.edu/~cozzyd/monutau/#event&amp;run=5838&amp;entry=90025", "link")</f>
        <v>link</v>
      </c>
      <c r="E446" t="s">
        <v>6</v>
      </c>
      <c r="F446" t="s">
        <v>7</v>
      </c>
    </row>
    <row r="447" spans="1:6" x14ac:dyDescent="0.25">
      <c r="A447">
        <v>5838</v>
      </c>
      <c r="B447">
        <v>116049</v>
      </c>
      <c r="C447" t="s">
        <v>6</v>
      </c>
      <c r="D447" t="str">
        <f>HYPERLINK("https://users.rcc.uchicago.edu/~cozzyd/monutau/#event&amp;run=5838&amp;entry=116049", "link")</f>
        <v>link</v>
      </c>
      <c r="E447" t="s">
        <v>6</v>
      </c>
      <c r="F447" t="s">
        <v>11</v>
      </c>
    </row>
    <row r="448" spans="1:6" x14ac:dyDescent="0.25">
      <c r="A448">
        <v>5839</v>
      </c>
      <c r="B448">
        <v>7764</v>
      </c>
      <c r="C448" t="s">
        <v>6</v>
      </c>
      <c r="D448" t="str">
        <f>HYPERLINK("https://users.rcc.uchicago.edu/~cozzyd/monutau/#event&amp;run=5839&amp;entry=7764", "link")</f>
        <v>link</v>
      </c>
      <c r="E448" t="s">
        <v>6</v>
      </c>
      <c r="F448" t="s">
        <v>11</v>
      </c>
    </row>
    <row r="449" spans="1:6" x14ac:dyDescent="0.25">
      <c r="A449">
        <v>5842</v>
      </c>
      <c r="B449">
        <v>5362</v>
      </c>
      <c r="C449" t="s">
        <v>6</v>
      </c>
      <c r="D449" t="str">
        <f>HYPERLINK("https://users.rcc.uchicago.edu/~cozzyd/monutau/#event&amp;run=5842&amp;entry=5362", "link")</f>
        <v>link</v>
      </c>
      <c r="E449" t="s">
        <v>6</v>
      </c>
      <c r="F449" t="s">
        <v>11</v>
      </c>
    </row>
    <row r="450" spans="1:6" x14ac:dyDescent="0.25">
      <c r="A450">
        <v>5842</v>
      </c>
      <c r="B450">
        <v>135200</v>
      </c>
      <c r="C450" t="s">
        <v>6</v>
      </c>
      <c r="D450" t="str">
        <f>HYPERLINK("https://users.rcc.uchicago.edu/~cozzyd/monutau/#event&amp;run=5842&amp;entry=135200", "link")</f>
        <v>link</v>
      </c>
      <c r="E450" t="s">
        <v>6</v>
      </c>
      <c r="F450" t="s">
        <v>12</v>
      </c>
    </row>
    <row r="451" spans="1:6" x14ac:dyDescent="0.25">
      <c r="A451">
        <v>5843</v>
      </c>
      <c r="B451">
        <v>65305</v>
      </c>
      <c r="C451" t="s">
        <v>6</v>
      </c>
      <c r="D451" t="str">
        <f>HYPERLINK("https://users.rcc.uchicago.edu/~cozzyd/monutau/#event&amp;run=5843&amp;entry=65305", "link")</f>
        <v>link</v>
      </c>
      <c r="E451" t="s">
        <v>6</v>
      </c>
      <c r="F451" t="s">
        <v>12</v>
      </c>
    </row>
    <row r="452" spans="1:6" x14ac:dyDescent="0.25">
      <c r="A452">
        <v>5844</v>
      </c>
      <c r="B452">
        <v>62626</v>
      </c>
      <c r="C452" t="s">
        <v>8</v>
      </c>
      <c r="D452" t="str">
        <f>HYPERLINK("https://users.rcc.uchicago.edu/~cozzyd/monutau/#event&amp;run=5844&amp;entry=62626", "link")</f>
        <v>link</v>
      </c>
      <c r="E452" t="s">
        <v>9</v>
      </c>
      <c r="F452" t="s">
        <v>7</v>
      </c>
    </row>
    <row r="453" spans="1:6" x14ac:dyDescent="0.25">
      <c r="A453">
        <v>5845</v>
      </c>
      <c r="B453">
        <v>79409</v>
      </c>
      <c r="C453" t="s">
        <v>6</v>
      </c>
      <c r="D453" t="str">
        <f>HYPERLINK("https://users.rcc.uchicago.edu/~cozzyd/monutau/#event&amp;run=5845&amp;entry=79409", "link")</f>
        <v>link</v>
      </c>
      <c r="E453" t="s">
        <v>6</v>
      </c>
      <c r="F453" t="s">
        <v>11</v>
      </c>
    </row>
    <row r="454" spans="1:6" x14ac:dyDescent="0.25">
      <c r="A454">
        <v>5846</v>
      </c>
      <c r="B454">
        <v>17250</v>
      </c>
      <c r="C454" t="s">
        <v>6</v>
      </c>
      <c r="D454" t="str">
        <f>HYPERLINK("https://users.rcc.uchicago.edu/~cozzyd/monutau/#event&amp;run=5846&amp;entry=17250", "link")</f>
        <v>link</v>
      </c>
      <c r="E454" t="s">
        <v>6</v>
      </c>
      <c r="F454" t="s">
        <v>7</v>
      </c>
    </row>
    <row r="455" spans="1:6" x14ac:dyDescent="0.25">
      <c r="A455">
        <v>5846</v>
      </c>
      <c r="B455">
        <v>51826</v>
      </c>
      <c r="C455" t="s">
        <v>6</v>
      </c>
      <c r="D455" t="str">
        <f>HYPERLINK("https://users.rcc.uchicago.edu/~cozzyd/monutau/#event&amp;run=5846&amp;entry=51826", "link")</f>
        <v>link</v>
      </c>
      <c r="E455" t="s">
        <v>6</v>
      </c>
      <c r="F455" t="s">
        <v>11</v>
      </c>
    </row>
    <row r="456" spans="1:6" x14ac:dyDescent="0.25">
      <c r="A456">
        <v>5846</v>
      </c>
      <c r="B456">
        <v>89578</v>
      </c>
      <c r="C456" t="s">
        <v>6</v>
      </c>
      <c r="D456" t="str">
        <f>HYPERLINK("https://users.rcc.uchicago.edu/~cozzyd/monutau/#event&amp;run=5846&amp;entry=89578", "link")</f>
        <v>link</v>
      </c>
      <c r="E456" t="s">
        <v>6</v>
      </c>
      <c r="F456" t="s">
        <v>11</v>
      </c>
    </row>
    <row r="457" spans="1:6" x14ac:dyDescent="0.25">
      <c r="A457">
        <v>5847</v>
      </c>
      <c r="B457">
        <v>7663</v>
      </c>
      <c r="C457" t="s">
        <v>6</v>
      </c>
      <c r="D457" t="str">
        <f>HYPERLINK("https://users.rcc.uchicago.edu/~cozzyd/monutau/#event&amp;run=5847&amp;entry=7663", "link")</f>
        <v>link</v>
      </c>
      <c r="E457" t="s">
        <v>6</v>
      </c>
      <c r="F457" t="s">
        <v>12</v>
      </c>
    </row>
    <row r="458" spans="1:6" x14ac:dyDescent="0.25">
      <c r="A458">
        <v>5847</v>
      </c>
      <c r="B458">
        <v>8231</v>
      </c>
      <c r="C458" t="s">
        <v>6</v>
      </c>
      <c r="D458" t="str">
        <f>HYPERLINK("https://users.rcc.uchicago.edu/~cozzyd/monutau/#event&amp;run=5847&amp;entry=8231", "link")</f>
        <v>link</v>
      </c>
      <c r="E458" t="s">
        <v>6</v>
      </c>
      <c r="F458" t="s">
        <v>12</v>
      </c>
    </row>
    <row r="459" spans="1:6" x14ac:dyDescent="0.25">
      <c r="A459">
        <v>5847</v>
      </c>
      <c r="B459">
        <v>10291</v>
      </c>
      <c r="C459" t="s">
        <v>6</v>
      </c>
      <c r="D459" t="str">
        <f>HYPERLINK("https://users.rcc.uchicago.edu/~cozzyd/monutau/#event&amp;run=5847&amp;entry=10291", "link")</f>
        <v>link</v>
      </c>
      <c r="E459" t="s">
        <v>6</v>
      </c>
      <c r="F459" t="s">
        <v>12</v>
      </c>
    </row>
    <row r="460" spans="1:6" x14ac:dyDescent="0.25">
      <c r="A460">
        <v>5847</v>
      </c>
      <c r="B460">
        <v>12983</v>
      </c>
      <c r="C460" t="s">
        <v>6</v>
      </c>
      <c r="D460" t="str">
        <f>HYPERLINK("https://users.rcc.uchicago.edu/~cozzyd/monutau/#event&amp;run=5847&amp;entry=12983", "link")</f>
        <v>link</v>
      </c>
      <c r="E460" t="s">
        <v>6</v>
      </c>
      <c r="F460" t="s">
        <v>12</v>
      </c>
    </row>
    <row r="461" spans="1:6" x14ac:dyDescent="0.25">
      <c r="A461">
        <v>5847</v>
      </c>
      <c r="B461">
        <v>13982</v>
      </c>
      <c r="C461" t="s">
        <v>6</v>
      </c>
      <c r="D461" t="str">
        <f>HYPERLINK("https://users.rcc.uchicago.edu/~cozzyd/monutau/#event&amp;run=5847&amp;entry=13982", "link")</f>
        <v>link</v>
      </c>
      <c r="E461" t="s">
        <v>6</v>
      </c>
      <c r="F461" t="s">
        <v>12</v>
      </c>
    </row>
    <row r="462" spans="1:6" x14ac:dyDescent="0.25">
      <c r="A462">
        <v>5847</v>
      </c>
      <c r="B462">
        <v>84897</v>
      </c>
      <c r="C462" t="s">
        <v>6</v>
      </c>
      <c r="D462" t="str">
        <f>HYPERLINK("https://users.rcc.uchicago.edu/~cozzyd/monutau/#event&amp;run=5847&amp;entry=84897", "link")</f>
        <v>link</v>
      </c>
      <c r="E462" t="s">
        <v>6</v>
      </c>
      <c r="F462" t="s">
        <v>7</v>
      </c>
    </row>
    <row r="463" spans="1:6" x14ac:dyDescent="0.25">
      <c r="A463">
        <v>5848</v>
      </c>
      <c r="B463">
        <v>135509</v>
      </c>
      <c r="C463" t="s">
        <v>6</v>
      </c>
      <c r="D463" t="str">
        <f>HYPERLINK("https://users.rcc.uchicago.edu/~cozzyd/monutau/#event&amp;run=5848&amp;entry=135509", "link")</f>
        <v>link</v>
      </c>
      <c r="E463" t="s">
        <v>6</v>
      </c>
      <c r="F463" t="s">
        <v>11</v>
      </c>
    </row>
    <row r="464" spans="1:6" x14ac:dyDescent="0.25">
      <c r="A464">
        <v>5850</v>
      </c>
      <c r="B464">
        <v>109892</v>
      </c>
      <c r="C464" t="s">
        <v>6</v>
      </c>
      <c r="D464" t="str">
        <f>HYPERLINK("https://users.rcc.uchicago.edu/~cozzyd/monutau/#event&amp;run=5850&amp;entry=109892", "link")</f>
        <v>link</v>
      </c>
      <c r="E464" t="s">
        <v>6</v>
      </c>
      <c r="F464" t="s">
        <v>7</v>
      </c>
    </row>
    <row r="465" spans="1:6" x14ac:dyDescent="0.25">
      <c r="A465">
        <v>5851</v>
      </c>
      <c r="B465">
        <v>90588</v>
      </c>
      <c r="C465" t="s">
        <v>6</v>
      </c>
      <c r="D465" t="str">
        <f>HYPERLINK("https://users.rcc.uchicago.edu/~cozzyd/monutau/#event&amp;run=5851&amp;entry=90588", "link")</f>
        <v>link</v>
      </c>
      <c r="E465" t="s">
        <v>6</v>
      </c>
      <c r="F465" t="s">
        <v>7</v>
      </c>
    </row>
    <row r="466" spans="1:6" x14ac:dyDescent="0.25">
      <c r="A466">
        <v>5852</v>
      </c>
      <c r="B466">
        <v>62968</v>
      </c>
      <c r="C466" t="s">
        <v>6</v>
      </c>
      <c r="D466" t="str">
        <f>HYPERLINK("https://users.rcc.uchicago.edu/~cozzyd/monutau/#event&amp;run=5852&amp;entry=62968", "link")</f>
        <v>link</v>
      </c>
      <c r="E466" t="s">
        <v>6</v>
      </c>
      <c r="F466" t="s">
        <v>12</v>
      </c>
    </row>
    <row r="467" spans="1:6" x14ac:dyDescent="0.25">
      <c r="A467">
        <v>5852</v>
      </c>
      <c r="B467">
        <v>134979</v>
      </c>
      <c r="C467" t="s">
        <v>6</v>
      </c>
      <c r="D467" t="str">
        <f>HYPERLINK("https://users.rcc.uchicago.edu/~cozzyd/monutau/#event&amp;run=5852&amp;entry=134979", "link")</f>
        <v>link</v>
      </c>
      <c r="E467" t="s">
        <v>6</v>
      </c>
      <c r="F467" t="s">
        <v>10</v>
      </c>
    </row>
    <row r="468" spans="1:6" x14ac:dyDescent="0.25">
      <c r="A468">
        <v>5853</v>
      </c>
      <c r="B468">
        <v>1280</v>
      </c>
      <c r="C468" t="s">
        <v>6</v>
      </c>
      <c r="D468" t="str">
        <f>HYPERLINK("https://users.rcc.uchicago.edu/~cozzyd/monutau/#event&amp;run=5853&amp;entry=1280", "link")</f>
        <v>link</v>
      </c>
      <c r="E468" t="s">
        <v>6</v>
      </c>
      <c r="F468" t="s">
        <v>7</v>
      </c>
    </row>
    <row r="469" spans="1:6" x14ac:dyDescent="0.25">
      <c r="A469">
        <v>5853</v>
      </c>
      <c r="B469">
        <v>58423</v>
      </c>
      <c r="C469" t="s">
        <v>6</v>
      </c>
      <c r="D469" t="str">
        <f>HYPERLINK("https://users.rcc.uchicago.edu/~cozzyd/monutau/#event&amp;run=5853&amp;entry=58423", "link")</f>
        <v>link</v>
      </c>
      <c r="E469" t="s">
        <v>6</v>
      </c>
      <c r="F469" t="s">
        <v>11</v>
      </c>
    </row>
    <row r="470" spans="1:6" x14ac:dyDescent="0.25">
      <c r="A470">
        <v>5853</v>
      </c>
      <c r="B470">
        <v>114664</v>
      </c>
      <c r="C470" t="s">
        <v>8</v>
      </c>
      <c r="D470" t="str">
        <f>HYPERLINK("https://users.rcc.uchicago.edu/~cozzyd/monutau/#event&amp;run=5853&amp;entry=114664", "link")</f>
        <v>link</v>
      </c>
      <c r="E470" t="s">
        <v>9</v>
      </c>
      <c r="F470" t="s">
        <v>11</v>
      </c>
    </row>
    <row r="471" spans="1:6" x14ac:dyDescent="0.25">
      <c r="A471">
        <v>5857</v>
      </c>
      <c r="B471">
        <v>34105</v>
      </c>
      <c r="C471" t="s">
        <v>6</v>
      </c>
      <c r="D471" t="str">
        <f>HYPERLINK("https://users.rcc.uchicago.edu/~cozzyd/monutau/#event&amp;run=5857&amp;entry=34105", "link")</f>
        <v>link</v>
      </c>
      <c r="E471" t="s">
        <v>6</v>
      </c>
      <c r="F471" t="s">
        <v>11</v>
      </c>
    </row>
    <row r="472" spans="1:6" x14ac:dyDescent="0.25">
      <c r="A472">
        <v>5858</v>
      </c>
      <c r="B472">
        <v>55234</v>
      </c>
      <c r="C472" t="s">
        <v>6</v>
      </c>
      <c r="D472" t="str">
        <f>HYPERLINK("https://users.rcc.uchicago.edu/~cozzyd/monutau/#event&amp;run=5858&amp;entry=55234", "link")</f>
        <v>link</v>
      </c>
      <c r="E472" t="s">
        <v>6</v>
      </c>
      <c r="F472" t="s">
        <v>11</v>
      </c>
    </row>
    <row r="473" spans="1:6" x14ac:dyDescent="0.25">
      <c r="A473">
        <v>5859</v>
      </c>
      <c r="B473">
        <v>118471</v>
      </c>
      <c r="C473" t="s">
        <v>6</v>
      </c>
      <c r="D473" t="str">
        <f>HYPERLINK("https://users.rcc.uchicago.edu/~cozzyd/monutau/#event&amp;run=5859&amp;entry=118471", "link")</f>
        <v>link</v>
      </c>
      <c r="E473" t="s">
        <v>6</v>
      </c>
      <c r="F473" t="s">
        <v>7</v>
      </c>
    </row>
    <row r="474" spans="1:6" x14ac:dyDescent="0.25">
      <c r="A474">
        <v>5861</v>
      </c>
      <c r="B474">
        <v>54555</v>
      </c>
      <c r="C474" t="s">
        <v>6</v>
      </c>
      <c r="D474" t="str">
        <f>HYPERLINK("https://users.rcc.uchicago.edu/~cozzyd/monutau/#event&amp;run=5861&amp;entry=54555", "link")</f>
        <v>link</v>
      </c>
      <c r="E474" t="s">
        <v>6</v>
      </c>
      <c r="F474" t="s">
        <v>12</v>
      </c>
    </row>
    <row r="475" spans="1:6" x14ac:dyDescent="0.25">
      <c r="A475">
        <v>5861</v>
      </c>
      <c r="B475">
        <v>128807</v>
      </c>
      <c r="C475" t="s">
        <v>6</v>
      </c>
      <c r="D475" t="str">
        <f>HYPERLINK("https://users.rcc.uchicago.edu/~cozzyd/monutau/#event&amp;run=5861&amp;entry=128807", "link")</f>
        <v>link</v>
      </c>
      <c r="E475" t="s">
        <v>6</v>
      </c>
      <c r="F475" t="s">
        <v>11</v>
      </c>
    </row>
    <row r="476" spans="1:6" x14ac:dyDescent="0.25">
      <c r="A476">
        <v>5861</v>
      </c>
      <c r="B476">
        <v>129730</v>
      </c>
      <c r="C476" t="s">
        <v>6</v>
      </c>
      <c r="D476" t="str">
        <f>HYPERLINK("https://users.rcc.uchicago.edu/~cozzyd/monutau/#event&amp;run=5861&amp;entry=129730", "link")</f>
        <v>link</v>
      </c>
      <c r="E476" t="s">
        <v>6</v>
      </c>
      <c r="F476" t="s">
        <v>7</v>
      </c>
    </row>
    <row r="477" spans="1:6" x14ac:dyDescent="0.25">
      <c r="A477">
        <v>5862</v>
      </c>
      <c r="B477">
        <v>146143</v>
      </c>
      <c r="C477" t="s">
        <v>6</v>
      </c>
      <c r="D477" t="str">
        <f>HYPERLINK("https://users.rcc.uchicago.edu/~cozzyd/monutau/#event&amp;run=5862&amp;entry=146143", "link")</f>
        <v>link</v>
      </c>
      <c r="E477" t="s">
        <v>6</v>
      </c>
      <c r="F477" t="s">
        <v>11</v>
      </c>
    </row>
    <row r="478" spans="1:6" x14ac:dyDescent="0.25">
      <c r="A478">
        <v>5863</v>
      </c>
      <c r="B478">
        <v>21766</v>
      </c>
      <c r="C478" t="s">
        <v>13</v>
      </c>
      <c r="D478" t="str">
        <f>HYPERLINK("https://users.rcc.uchicago.edu/~cozzyd/monutau/#event&amp;run=5863&amp;entry=21766", "link")</f>
        <v>link</v>
      </c>
      <c r="E478" t="s">
        <v>22</v>
      </c>
      <c r="F478" t="s">
        <v>11</v>
      </c>
    </row>
    <row r="479" spans="1:6" x14ac:dyDescent="0.25">
      <c r="A479">
        <v>5863</v>
      </c>
      <c r="B479">
        <v>39931</v>
      </c>
      <c r="C479" t="s">
        <v>6</v>
      </c>
      <c r="D479" t="str">
        <f>HYPERLINK("https://users.rcc.uchicago.edu/~cozzyd/monutau/#event&amp;run=5863&amp;entry=39931", "link")</f>
        <v>link</v>
      </c>
      <c r="E479" t="s">
        <v>6</v>
      </c>
      <c r="F479" t="s">
        <v>11</v>
      </c>
    </row>
    <row r="480" spans="1:6" x14ac:dyDescent="0.25">
      <c r="A480">
        <v>5863</v>
      </c>
      <c r="B480">
        <v>45600</v>
      </c>
      <c r="C480" t="s">
        <v>6</v>
      </c>
      <c r="D480" t="str">
        <f>HYPERLINK("https://users.rcc.uchicago.edu/~cozzyd/monutau/#event&amp;run=5863&amp;entry=45600", "link")</f>
        <v>link</v>
      </c>
      <c r="E480" t="s">
        <v>6</v>
      </c>
      <c r="F480" t="s">
        <v>7</v>
      </c>
    </row>
    <row r="481" spans="1:6" x14ac:dyDescent="0.25">
      <c r="A481">
        <v>5864</v>
      </c>
      <c r="B481">
        <v>70005</v>
      </c>
      <c r="C481" t="s">
        <v>6</v>
      </c>
      <c r="D481" t="str">
        <f>HYPERLINK("https://users.rcc.uchicago.edu/~cozzyd/monutau/#event&amp;run=5864&amp;entry=70005", "link")</f>
        <v>link</v>
      </c>
      <c r="E481" t="s">
        <v>6</v>
      </c>
      <c r="F481" t="s">
        <v>12</v>
      </c>
    </row>
    <row r="482" spans="1:6" x14ac:dyDescent="0.25">
      <c r="A482">
        <v>5865</v>
      </c>
      <c r="B482">
        <v>127441</v>
      </c>
      <c r="C482" t="s">
        <v>6</v>
      </c>
      <c r="D482" t="str">
        <f>HYPERLINK("https://users.rcc.uchicago.edu/~cozzyd/monutau/#event&amp;run=5865&amp;entry=127441", "link")</f>
        <v>link</v>
      </c>
      <c r="E482" t="s">
        <v>6</v>
      </c>
      <c r="F482" t="s">
        <v>12</v>
      </c>
    </row>
    <row r="483" spans="1:6" x14ac:dyDescent="0.25">
      <c r="A483">
        <v>5866</v>
      </c>
      <c r="B483">
        <v>25903</v>
      </c>
      <c r="C483" t="s">
        <v>6</v>
      </c>
      <c r="D483" t="str">
        <f>HYPERLINK("https://users.rcc.uchicago.edu/~cozzyd/monutau/#event&amp;run=5866&amp;entry=25903", "link")</f>
        <v>link</v>
      </c>
      <c r="E483" t="s">
        <v>6</v>
      </c>
      <c r="F483" t="s">
        <v>7</v>
      </c>
    </row>
    <row r="484" spans="1:6" x14ac:dyDescent="0.25">
      <c r="A484">
        <v>5866</v>
      </c>
      <c r="B484">
        <v>48866</v>
      </c>
      <c r="C484" t="s">
        <v>6</v>
      </c>
      <c r="D484" t="str">
        <f>HYPERLINK("https://users.rcc.uchicago.edu/~cozzyd/monutau/#event&amp;run=5866&amp;entry=48866", "link")</f>
        <v>link</v>
      </c>
      <c r="E484" t="s">
        <v>6</v>
      </c>
      <c r="F484" t="s">
        <v>12</v>
      </c>
    </row>
    <row r="485" spans="1:6" x14ac:dyDescent="0.25">
      <c r="A485">
        <v>5866</v>
      </c>
      <c r="B485">
        <v>50627</v>
      </c>
      <c r="C485" t="s">
        <v>6</v>
      </c>
      <c r="D485" t="str">
        <f>HYPERLINK("https://users.rcc.uchicago.edu/~cozzyd/monutau/#event&amp;run=5866&amp;entry=50627", "link")</f>
        <v>link</v>
      </c>
      <c r="E485" t="s">
        <v>6</v>
      </c>
      <c r="F485" t="s">
        <v>11</v>
      </c>
    </row>
    <row r="486" spans="1:6" x14ac:dyDescent="0.25">
      <c r="A486">
        <v>5866</v>
      </c>
      <c r="B486">
        <v>108020</v>
      </c>
      <c r="C486" t="s">
        <v>6</v>
      </c>
      <c r="D486" t="str">
        <f>HYPERLINK("https://users.rcc.uchicago.edu/~cozzyd/monutau/#event&amp;run=5866&amp;entry=108020", "link")</f>
        <v>link</v>
      </c>
      <c r="E486" t="s">
        <v>6</v>
      </c>
      <c r="F486" t="s">
        <v>7</v>
      </c>
    </row>
    <row r="487" spans="1:6" x14ac:dyDescent="0.25">
      <c r="A487">
        <v>5867</v>
      </c>
      <c r="B487">
        <v>99394</v>
      </c>
      <c r="C487" t="s">
        <v>6</v>
      </c>
      <c r="D487" t="str">
        <f>HYPERLINK("https://users.rcc.uchicago.edu/~cozzyd/monutau/#event&amp;run=5867&amp;entry=99394", "link")</f>
        <v>link</v>
      </c>
      <c r="E487" t="s">
        <v>6</v>
      </c>
      <c r="F487" t="s">
        <v>7</v>
      </c>
    </row>
    <row r="488" spans="1:6" x14ac:dyDescent="0.25">
      <c r="A488">
        <v>5867</v>
      </c>
      <c r="B488">
        <v>131571</v>
      </c>
      <c r="C488" t="s">
        <v>6</v>
      </c>
      <c r="D488" t="str">
        <f>HYPERLINK("https://users.rcc.uchicago.edu/~cozzyd/monutau/#event&amp;run=5867&amp;entry=131571", "link")</f>
        <v>link</v>
      </c>
      <c r="E488" t="s">
        <v>6</v>
      </c>
      <c r="F488" t="s">
        <v>12</v>
      </c>
    </row>
    <row r="489" spans="1:6" x14ac:dyDescent="0.25">
      <c r="A489">
        <v>5869</v>
      </c>
      <c r="B489">
        <v>16969</v>
      </c>
      <c r="C489" t="s">
        <v>6</v>
      </c>
      <c r="D489" t="str">
        <f>HYPERLINK("https://users.rcc.uchicago.edu/~cozzyd/monutau/#event&amp;run=5869&amp;entry=16969", "link")</f>
        <v>link</v>
      </c>
      <c r="E489" t="s">
        <v>6</v>
      </c>
      <c r="F489" t="s">
        <v>12</v>
      </c>
    </row>
    <row r="490" spans="1:6" x14ac:dyDescent="0.25">
      <c r="A490">
        <v>5869</v>
      </c>
      <c r="B490">
        <v>28346</v>
      </c>
      <c r="C490" t="s">
        <v>6</v>
      </c>
      <c r="D490" t="str">
        <f>HYPERLINK("https://users.rcc.uchicago.edu/~cozzyd/monutau/#event&amp;run=5869&amp;entry=28346", "link")</f>
        <v>link</v>
      </c>
      <c r="E490" t="s">
        <v>6</v>
      </c>
      <c r="F490" t="s">
        <v>7</v>
      </c>
    </row>
    <row r="491" spans="1:6" x14ac:dyDescent="0.25">
      <c r="A491">
        <v>5869</v>
      </c>
      <c r="B491">
        <v>47612</v>
      </c>
      <c r="C491" t="s">
        <v>6</v>
      </c>
      <c r="D491" t="str">
        <f>HYPERLINK("https://users.rcc.uchicago.edu/~cozzyd/monutau/#event&amp;run=5869&amp;entry=47612", "link")</f>
        <v>link</v>
      </c>
      <c r="E491" t="s">
        <v>6</v>
      </c>
      <c r="F491" t="s">
        <v>12</v>
      </c>
    </row>
    <row r="492" spans="1:6" x14ac:dyDescent="0.25">
      <c r="A492">
        <v>5869</v>
      </c>
      <c r="B492">
        <v>47848</v>
      </c>
      <c r="C492" t="s">
        <v>6</v>
      </c>
      <c r="D492" t="str">
        <f>HYPERLINK("https://users.rcc.uchicago.edu/~cozzyd/monutau/#event&amp;run=5869&amp;entry=47848", "link")</f>
        <v>link</v>
      </c>
      <c r="E492" t="s">
        <v>6</v>
      </c>
      <c r="F492" t="s">
        <v>7</v>
      </c>
    </row>
    <row r="493" spans="1:6" x14ac:dyDescent="0.25">
      <c r="A493">
        <v>5869</v>
      </c>
      <c r="B493">
        <v>49973</v>
      </c>
      <c r="C493" t="s">
        <v>6</v>
      </c>
      <c r="D493" t="str">
        <f>HYPERLINK("https://users.rcc.uchicago.edu/~cozzyd/monutau/#event&amp;run=5869&amp;entry=49973", "link")</f>
        <v>link</v>
      </c>
      <c r="E493" t="s">
        <v>6</v>
      </c>
      <c r="F493" t="s">
        <v>10</v>
      </c>
    </row>
    <row r="494" spans="1:6" x14ac:dyDescent="0.25">
      <c r="A494">
        <v>5869</v>
      </c>
      <c r="B494">
        <v>71882</v>
      </c>
      <c r="C494" t="s">
        <v>6</v>
      </c>
      <c r="D494" t="str">
        <f>HYPERLINK("https://users.rcc.uchicago.edu/~cozzyd/monutau/#event&amp;run=5869&amp;entry=71882", "link")</f>
        <v>link</v>
      </c>
      <c r="E494" t="s">
        <v>6</v>
      </c>
      <c r="F494" t="s">
        <v>12</v>
      </c>
    </row>
    <row r="495" spans="1:6" x14ac:dyDescent="0.25">
      <c r="A495">
        <v>5869</v>
      </c>
      <c r="B495">
        <v>79715</v>
      </c>
      <c r="C495" t="s">
        <v>6</v>
      </c>
      <c r="D495" t="str">
        <f>HYPERLINK("https://users.rcc.uchicago.edu/~cozzyd/monutau/#event&amp;run=5869&amp;entry=79715", "link")</f>
        <v>link</v>
      </c>
      <c r="E495" t="s">
        <v>6</v>
      </c>
      <c r="F495" t="s">
        <v>12</v>
      </c>
    </row>
    <row r="496" spans="1:6" x14ac:dyDescent="0.25">
      <c r="A496">
        <v>5869</v>
      </c>
      <c r="B496">
        <v>80666</v>
      </c>
      <c r="C496" t="s">
        <v>6</v>
      </c>
      <c r="D496" t="str">
        <f>HYPERLINK("https://users.rcc.uchicago.edu/~cozzyd/monutau/#event&amp;run=5869&amp;entry=80666", "link")</f>
        <v>link</v>
      </c>
      <c r="E496" t="s">
        <v>6</v>
      </c>
      <c r="F496" t="s">
        <v>12</v>
      </c>
    </row>
    <row r="497" spans="1:6" x14ac:dyDescent="0.25">
      <c r="A497">
        <v>5869</v>
      </c>
      <c r="B497">
        <v>82429</v>
      </c>
      <c r="C497" t="s">
        <v>6</v>
      </c>
      <c r="D497" t="str">
        <f>HYPERLINK("https://users.rcc.uchicago.edu/~cozzyd/monutau/#event&amp;run=5869&amp;entry=82429", "link")</f>
        <v>link</v>
      </c>
      <c r="E497" t="s">
        <v>6</v>
      </c>
      <c r="F497" t="s">
        <v>12</v>
      </c>
    </row>
    <row r="498" spans="1:6" x14ac:dyDescent="0.25">
      <c r="A498">
        <v>5869</v>
      </c>
      <c r="B498">
        <v>82658</v>
      </c>
      <c r="C498" t="s">
        <v>6</v>
      </c>
      <c r="D498" t="str">
        <f>HYPERLINK("https://users.rcc.uchicago.edu/~cozzyd/monutau/#event&amp;run=5869&amp;entry=82658", "link")</f>
        <v>link</v>
      </c>
      <c r="E498" t="s">
        <v>6</v>
      </c>
      <c r="F498" t="s">
        <v>12</v>
      </c>
    </row>
    <row r="499" spans="1:6" x14ac:dyDescent="0.25">
      <c r="A499">
        <v>5869</v>
      </c>
      <c r="B499">
        <v>84795</v>
      </c>
      <c r="C499" t="s">
        <v>6</v>
      </c>
      <c r="D499" t="str">
        <f>HYPERLINK("https://users.rcc.uchicago.edu/~cozzyd/monutau/#event&amp;run=5869&amp;entry=84795", "link")</f>
        <v>link</v>
      </c>
      <c r="E499" t="s">
        <v>6</v>
      </c>
      <c r="F499" t="s">
        <v>12</v>
      </c>
    </row>
    <row r="500" spans="1:6" x14ac:dyDescent="0.25">
      <c r="A500">
        <v>5869</v>
      </c>
      <c r="B500">
        <v>86413</v>
      </c>
      <c r="C500" t="s">
        <v>6</v>
      </c>
      <c r="D500" t="str">
        <f>HYPERLINK("https://users.rcc.uchicago.edu/~cozzyd/monutau/#event&amp;run=5869&amp;entry=86413", "link")</f>
        <v>link</v>
      </c>
      <c r="E500" t="s">
        <v>6</v>
      </c>
      <c r="F500" t="s">
        <v>12</v>
      </c>
    </row>
    <row r="501" spans="1:6" x14ac:dyDescent="0.25">
      <c r="A501">
        <v>5869</v>
      </c>
      <c r="B501">
        <v>86644</v>
      </c>
      <c r="C501" t="s">
        <v>6</v>
      </c>
      <c r="D501" t="str">
        <f>HYPERLINK("https://users.rcc.uchicago.edu/~cozzyd/monutau/#event&amp;run=5869&amp;entry=86644", "link")</f>
        <v>link</v>
      </c>
      <c r="E501" t="s">
        <v>6</v>
      </c>
      <c r="F501" t="s">
        <v>12</v>
      </c>
    </row>
    <row r="502" spans="1:6" x14ac:dyDescent="0.25">
      <c r="A502">
        <v>5869</v>
      </c>
      <c r="B502">
        <v>86835</v>
      </c>
      <c r="C502" t="s">
        <v>6</v>
      </c>
      <c r="D502" t="str">
        <f>HYPERLINK("https://users.rcc.uchicago.edu/~cozzyd/monutau/#event&amp;run=5869&amp;entry=86835", "link")</f>
        <v>link</v>
      </c>
      <c r="E502" t="s">
        <v>6</v>
      </c>
      <c r="F502" t="s">
        <v>12</v>
      </c>
    </row>
    <row r="503" spans="1:6" x14ac:dyDescent="0.25">
      <c r="A503">
        <v>5869</v>
      </c>
      <c r="B503">
        <v>88137</v>
      </c>
      <c r="C503" t="s">
        <v>6</v>
      </c>
      <c r="D503" t="str">
        <f>HYPERLINK("https://users.rcc.uchicago.edu/~cozzyd/monutau/#event&amp;run=5869&amp;entry=88137", "link")</f>
        <v>link</v>
      </c>
      <c r="E503" t="s">
        <v>6</v>
      </c>
      <c r="F503" t="s">
        <v>12</v>
      </c>
    </row>
    <row r="504" spans="1:6" x14ac:dyDescent="0.25">
      <c r="A504">
        <v>5869</v>
      </c>
      <c r="B504">
        <v>88246</v>
      </c>
      <c r="C504" t="s">
        <v>6</v>
      </c>
      <c r="D504" t="str">
        <f>HYPERLINK("https://users.rcc.uchicago.edu/~cozzyd/monutau/#event&amp;run=5869&amp;entry=88246", "link")</f>
        <v>link</v>
      </c>
      <c r="E504" t="s">
        <v>6</v>
      </c>
      <c r="F504" t="s">
        <v>12</v>
      </c>
    </row>
    <row r="505" spans="1:6" x14ac:dyDescent="0.25">
      <c r="A505">
        <v>5869</v>
      </c>
      <c r="B505">
        <v>88270</v>
      </c>
      <c r="C505" t="s">
        <v>6</v>
      </c>
      <c r="D505" t="str">
        <f>HYPERLINK("https://users.rcc.uchicago.edu/~cozzyd/monutau/#event&amp;run=5869&amp;entry=88270", "link")</f>
        <v>link</v>
      </c>
      <c r="E505" t="s">
        <v>6</v>
      </c>
      <c r="F505" t="s">
        <v>12</v>
      </c>
    </row>
    <row r="506" spans="1:6" x14ac:dyDescent="0.25">
      <c r="A506">
        <v>5869</v>
      </c>
      <c r="B506">
        <v>88501</v>
      </c>
      <c r="C506" t="s">
        <v>6</v>
      </c>
      <c r="D506" t="str">
        <f>HYPERLINK("https://users.rcc.uchicago.edu/~cozzyd/monutau/#event&amp;run=5869&amp;entry=88501", "link")</f>
        <v>link</v>
      </c>
      <c r="E506" t="s">
        <v>6</v>
      </c>
      <c r="F506" t="s">
        <v>12</v>
      </c>
    </row>
    <row r="507" spans="1:6" x14ac:dyDescent="0.25">
      <c r="A507">
        <v>5869</v>
      </c>
      <c r="B507">
        <v>90760</v>
      </c>
      <c r="C507" t="s">
        <v>6</v>
      </c>
      <c r="D507" t="str">
        <f>HYPERLINK("https://users.rcc.uchicago.edu/~cozzyd/monutau/#event&amp;run=5869&amp;entry=90760", "link")</f>
        <v>link</v>
      </c>
      <c r="E507" t="s">
        <v>6</v>
      </c>
      <c r="F507" t="s">
        <v>12</v>
      </c>
    </row>
    <row r="508" spans="1:6" x14ac:dyDescent="0.25">
      <c r="A508">
        <v>5869</v>
      </c>
      <c r="B508">
        <v>96077</v>
      </c>
      <c r="C508" t="s">
        <v>6</v>
      </c>
      <c r="D508" t="str">
        <f>HYPERLINK("https://users.rcc.uchicago.edu/~cozzyd/monutau/#event&amp;run=5869&amp;entry=96077", "link")</f>
        <v>link</v>
      </c>
      <c r="E508" t="s">
        <v>6</v>
      </c>
      <c r="F508" t="s">
        <v>12</v>
      </c>
    </row>
    <row r="509" spans="1:6" x14ac:dyDescent="0.25">
      <c r="A509">
        <v>5869</v>
      </c>
      <c r="B509">
        <v>97642</v>
      </c>
      <c r="C509" t="s">
        <v>6</v>
      </c>
      <c r="D509" t="str">
        <f>HYPERLINK("https://users.rcc.uchicago.edu/~cozzyd/monutau/#event&amp;run=5869&amp;entry=97642", "link")</f>
        <v>link</v>
      </c>
      <c r="E509" t="s">
        <v>6</v>
      </c>
      <c r="F509" t="s">
        <v>7</v>
      </c>
    </row>
    <row r="510" spans="1:6" x14ac:dyDescent="0.25">
      <c r="A510">
        <v>5870</v>
      </c>
      <c r="B510">
        <v>2522</v>
      </c>
      <c r="C510" t="s">
        <v>6</v>
      </c>
      <c r="D510" t="str">
        <f>HYPERLINK("https://users.rcc.uchicago.edu/~cozzyd/monutau/#event&amp;run=5870&amp;entry=2522", "link")</f>
        <v>link</v>
      </c>
      <c r="E510" t="s">
        <v>6</v>
      </c>
      <c r="F510" t="s">
        <v>7</v>
      </c>
    </row>
    <row r="511" spans="1:6" x14ac:dyDescent="0.25">
      <c r="A511">
        <v>5870</v>
      </c>
      <c r="B511">
        <v>2724</v>
      </c>
      <c r="C511" t="s">
        <v>6</v>
      </c>
      <c r="D511" t="str">
        <f>HYPERLINK("https://users.rcc.uchicago.edu/~cozzyd/monutau/#event&amp;run=5870&amp;entry=2724", "link")</f>
        <v>link</v>
      </c>
      <c r="E511" t="s">
        <v>6</v>
      </c>
      <c r="F511" t="s">
        <v>12</v>
      </c>
    </row>
    <row r="512" spans="1:6" x14ac:dyDescent="0.25">
      <c r="A512">
        <v>5870</v>
      </c>
      <c r="B512">
        <v>3702</v>
      </c>
      <c r="C512" t="s">
        <v>6</v>
      </c>
      <c r="D512" t="str">
        <f>HYPERLINK("https://users.rcc.uchicago.edu/~cozzyd/monutau/#event&amp;run=5870&amp;entry=3702", "link")</f>
        <v>link</v>
      </c>
      <c r="E512" t="s">
        <v>6</v>
      </c>
      <c r="F512" t="s">
        <v>7</v>
      </c>
    </row>
    <row r="513" spans="1:6" x14ac:dyDescent="0.25">
      <c r="A513">
        <v>5870</v>
      </c>
      <c r="B513">
        <v>3752</v>
      </c>
      <c r="C513" t="s">
        <v>6</v>
      </c>
      <c r="D513" t="str">
        <f>HYPERLINK("https://users.rcc.uchicago.edu/~cozzyd/monutau/#event&amp;run=5870&amp;entry=3752", "link")</f>
        <v>link</v>
      </c>
      <c r="E513" t="s">
        <v>6</v>
      </c>
      <c r="F513" t="s">
        <v>12</v>
      </c>
    </row>
    <row r="514" spans="1:6" x14ac:dyDescent="0.25">
      <c r="A514">
        <v>5870</v>
      </c>
      <c r="B514">
        <v>3806</v>
      </c>
      <c r="C514" t="s">
        <v>6</v>
      </c>
      <c r="D514" t="str">
        <f>HYPERLINK("https://users.rcc.uchicago.edu/~cozzyd/monutau/#event&amp;run=5870&amp;entry=3806", "link")</f>
        <v>link</v>
      </c>
      <c r="E514" t="s">
        <v>6</v>
      </c>
      <c r="F514" t="s">
        <v>12</v>
      </c>
    </row>
    <row r="515" spans="1:6" x14ac:dyDescent="0.25">
      <c r="A515">
        <v>5870</v>
      </c>
      <c r="B515">
        <v>4560</v>
      </c>
      <c r="C515" t="s">
        <v>6</v>
      </c>
      <c r="D515" t="str">
        <f>HYPERLINK("https://users.rcc.uchicago.edu/~cozzyd/monutau/#event&amp;run=5870&amp;entry=4560", "link")</f>
        <v>link</v>
      </c>
      <c r="E515" t="s">
        <v>6</v>
      </c>
      <c r="F515" t="s">
        <v>7</v>
      </c>
    </row>
    <row r="516" spans="1:6" x14ac:dyDescent="0.25">
      <c r="A516">
        <v>5870</v>
      </c>
      <c r="B516">
        <v>5444</v>
      </c>
      <c r="C516" t="s">
        <v>6</v>
      </c>
      <c r="D516" t="str">
        <f>HYPERLINK("https://users.rcc.uchicago.edu/~cozzyd/monutau/#event&amp;run=5870&amp;entry=5444", "link")</f>
        <v>link</v>
      </c>
      <c r="E516" t="s">
        <v>6</v>
      </c>
      <c r="F516" t="s">
        <v>12</v>
      </c>
    </row>
    <row r="517" spans="1:6" x14ac:dyDescent="0.25">
      <c r="A517">
        <v>5870</v>
      </c>
      <c r="B517">
        <v>6867</v>
      </c>
      <c r="C517" t="s">
        <v>6</v>
      </c>
      <c r="D517" t="str">
        <f>HYPERLINK("https://users.rcc.uchicago.edu/~cozzyd/monutau/#event&amp;run=5870&amp;entry=6867", "link")</f>
        <v>link</v>
      </c>
      <c r="E517" t="s">
        <v>6</v>
      </c>
      <c r="F517" t="s">
        <v>12</v>
      </c>
    </row>
    <row r="518" spans="1:6" x14ac:dyDescent="0.25">
      <c r="A518">
        <v>5872</v>
      </c>
      <c r="B518">
        <v>4402</v>
      </c>
      <c r="C518" t="s">
        <v>6</v>
      </c>
      <c r="D518" t="str">
        <f>HYPERLINK("https://users.rcc.uchicago.edu/~cozzyd/monutau/#event&amp;run=5872&amp;entry=4402", "link")</f>
        <v>link</v>
      </c>
      <c r="E518" t="s">
        <v>6</v>
      </c>
      <c r="F518" t="s">
        <v>7</v>
      </c>
    </row>
    <row r="519" spans="1:6" x14ac:dyDescent="0.25">
      <c r="A519">
        <v>5872</v>
      </c>
      <c r="B519">
        <v>49243</v>
      </c>
      <c r="C519" t="s">
        <v>6</v>
      </c>
      <c r="D519" t="str">
        <f>HYPERLINK("https://users.rcc.uchicago.edu/~cozzyd/monutau/#event&amp;run=5872&amp;entry=49243", "link")</f>
        <v>link</v>
      </c>
      <c r="E519" t="s">
        <v>6</v>
      </c>
      <c r="F519" t="s">
        <v>12</v>
      </c>
    </row>
    <row r="520" spans="1:6" x14ac:dyDescent="0.25">
      <c r="A520">
        <v>5872</v>
      </c>
      <c r="B520">
        <v>81296</v>
      </c>
      <c r="C520" t="s">
        <v>6</v>
      </c>
      <c r="D520" t="str">
        <f>HYPERLINK("https://users.rcc.uchicago.edu/~cozzyd/monutau/#event&amp;run=5872&amp;entry=81296", "link")</f>
        <v>link</v>
      </c>
      <c r="E520" t="s">
        <v>6</v>
      </c>
      <c r="F520" t="s">
        <v>11</v>
      </c>
    </row>
    <row r="521" spans="1:6" x14ac:dyDescent="0.25">
      <c r="A521">
        <v>5872</v>
      </c>
      <c r="B521">
        <v>82601</v>
      </c>
      <c r="C521" t="s">
        <v>6</v>
      </c>
      <c r="D521" t="str">
        <f>HYPERLINK("https://users.rcc.uchicago.edu/~cozzyd/monutau/#event&amp;run=5872&amp;entry=82601", "link")</f>
        <v>link</v>
      </c>
      <c r="E521" t="s">
        <v>6</v>
      </c>
      <c r="F521" t="s">
        <v>11</v>
      </c>
    </row>
    <row r="522" spans="1:6" x14ac:dyDescent="0.25">
      <c r="A522">
        <v>5872</v>
      </c>
      <c r="B522">
        <v>86190</v>
      </c>
      <c r="C522" t="s">
        <v>6</v>
      </c>
      <c r="D522" t="str">
        <f>HYPERLINK("https://users.rcc.uchicago.edu/~cozzyd/monutau/#event&amp;run=5872&amp;entry=86190", "link")</f>
        <v>link</v>
      </c>
      <c r="E522" t="s">
        <v>6</v>
      </c>
      <c r="F522" t="s">
        <v>7</v>
      </c>
    </row>
    <row r="523" spans="1:6" x14ac:dyDescent="0.25">
      <c r="A523">
        <v>5873</v>
      </c>
      <c r="B523">
        <v>12886</v>
      </c>
      <c r="C523" t="s">
        <v>6</v>
      </c>
      <c r="D523" t="str">
        <f>HYPERLINK("https://users.rcc.uchicago.edu/~cozzyd/monutau/#event&amp;run=5873&amp;entry=12886", "link")</f>
        <v>link</v>
      </c>
      <c r="E523" t="s">
        <v>6</v>
      </c>
      <c r="F523" t="s">
        <v>11</v>
      </c>
    </row>
    <row r="524" spans="1:6" x14ac:dyDescent="0.25">
      <c r="A524">
        <v>5876</v>
      </c>
      <c r="B524">
        <v>114107</v>
      </c>
      <c r="C524" t="s">
        <v>6</v>
      </c>
      <c r="D524" t="str">
        <f>HYPERLINK("https://users.rcc.uchicago.edu/~cozzyd/monutau/#event&amp;run=5876&amp;entry=114107", "link")</f>
        <v>link</v>
      </c>
      <c r="E524" t="s">
        <v>6</v>
      </c>
      <c r="F524" t="s">
        <v>12</v>
      </c>
    </row>
    <row r="525" spans="1:6" x14ac:dyDescent="0.25">
      <c r="A525">
        <v>5877</v>
      </c>
      <c r="B525">
        <v>90397</v>
      </c>
      <c r="C525" t="s">
        <v>6</v>
      </c>
      <c r="D525" t="str">
        <f>HYPERLINK("https://users.rcc.uchicago.edu/~cozzyd/monutau/#event&amp;run=5877&amp;entry=90397", "link")</f>
        <v>link</v>
      </c>
      <c r="E525" t="s">
        <v>6</v>
      </c>
      <c r="F525" t="s">
        <v>11</v>
      </c>
    </row>
    <row r="526" spans="1:6" x14ac:dyDescent="0.25">
      <c r="A526">
        <v>5877</v>
      </c>
      <c r="B526">
        <v>105128</v>
      </c>
      <c r="C526" t="s">
        <v>6</v>
      </c>
      <c r="D526" t="str">
        <f>HYPERLINK("https://users.rcc.uchicago.edu/~cozzyd/monutau/#event&amp;run=5877&amp;entry=105128", "link")</f>
        <v>link</v>
      </c>
      <c r="E526" t="s">
        <v>6</v>
      </c>
      <c r="F526" t="s">
        <v>11</v>
      </c>
    </row>
    <row r="527" spans="1:6" x14ac:dyDescent="0.25">
      <c r="A527">
        <v>5878</v>
      </c>
      <c r="B527">
        <v>79350</v>
      </c>
      <c r="C527" t="s">
        <v>13</v>
      </c>
      <c r="D527" t="str">
        <f>HYPERLINK("https://users.rcc.uchicago.edu/~cozzyd/monutau/#event&amp;run=5878&amp;entry=79350", "link")</f>
        <v>link</v>
      </c>
      <c r="E527" t="s">
        <v>21</v>
      </c>
      <c r="F527" t="s">
        <v>11</v>
      </c>
    </row>
    <row r="528" spans="1:6" x14ac:dyDescent="0.25">
      <c r="A528">
        <v>5879</v>
      </c>
      <c r="B528">
        <v>25632</v>
      </c>
      <c r="C528" t="s">
        <v>6</v>
      </c>
      <c r="D528" t="str">
        <f>HYPERLINK("https://users.rcc.uchicago.edu/~cozzyd/monutau/#event&amp;run=5879&amp;entry=25632", "link")</f>
        <v>link</v>
      </c>
      <c r="E528" t="s">
        <v>6</v>
      </c>
      <c r="F528" t="s">
        <v>11</v>
      </c>
    </row>
    <row r="529" spans="1:6" x14ac:dyDescent="0.25">
      <c r="A529">
        <v>5880</v>
      </c>
      <c r="B529">
        <v>139153</v>
      </c>
      <c r="C529" t="s">
        <v>13</v>
      </c>
      <c r="D529" t="str">
        <f>HYPERLINK("https://users.rcc.uchicago.edu/~cozzyd/monutau/#event&amp;run=5880&amp;entry=139153", "link")</f>
        <v>link</v>
      </c>
      <c r="E529" t="s">
        <v>15</v>
      </c>
      <c r="F529" t="s">
        <v>11</v>
      </c>
    </row>
    <row r="530" spans="1:6" x14ac:dyDescent="0.25">
      <c r="A530">
        <v>5881</v>
      </c>
      <c r="B530">
        <v>101891</v>
      </c>
      <c r="C530" t="s">
        <v>6</v>
      </c>
      <c r="D530" t="str">
        <f>HYPERLINK("https://users.rcc.uchicago.edu/~cozzyd/monutau/#event&amp;run=5881&amp;entry=101891", "link")</f>
        <v>link</v>
      </c>
      <c r="E530" t="s">
        <v>6</v>
      </c>
      <c r="F530" t="s">
        <v>12</v>
      </c>
    </row>
    <row r="531" spans="1:6" x14ac:dyDescent="0.25">
      <c r="A531">
        <v>5883</v>
      </c>
      <c r="B531">
        <v>7725</v>
      </c>
      <c r="C531" t="s">
        <v>6</v>
      </c>
      <c r="D531" t="str">
        <f>HYPERLINK("https://users.rcc.uchicago.edu/~cozzyd/monutau/#event&amp;run=5883&amp;entry=7725", "link")</f>
        <v>link</v>
      </c>
      <c r="E531" t="s">
        <v>6</v>
      </c>
      <c r="F531" t="s">
        <v>7</v>
      </c>
    </row>
    <row r="532" spans="1:6" x14ac:dyDescent="0.25">
      <c r="A532">
        <v>5885</v>
      </c>
      <c r="B532">
        <v>74498</v>
      </c>
      <c r="C532" t="s">
        <v>6</v>
      </c>
      <c r="D532" t="str">
        <f>HYPERLINK("https://users.rcc.uchicago.edu/~cozzyd/monutau/#event&amp;run=5885&amp;entry=74498", "link")</f>
        <v>link</v>
      </c>
      <c r="E532" t="s">
        <v>6</v>
      </c>
      <c r="F532" t="s">
        <v>12</v>
      </c>
    </row>
    <row r="533" spans="1:6" x14ac:dyDescent="0.25">
      <c r="A533">
        <v>5885</v>
      </c>
      <c r="B533">
        <v>90096</v>
      </c>
      <c r="C533" t="s">
        <v>6</v>
      </c>
      <c r="D533" t="str">
        <f>HYPERLINK("https://users.rcc.uchicago.edu/~cozzyd/monutau/#event&amp;run=5885&amp;entry=90096", "link")</f>
        <v>link</v>
      </c>
      <c r="E533" t="s">
        <v>6</v>
      </c>
      <c r="F533" t="s">
        <v>11</v>
      </c>
    </row>
    <row r="534" spans="1:6" x14ac:dyDescent="0.25">
      <c r="A534">
        <v>5885</v>
      </c>
      <c r="B534">
        <v>101364</v>
      </c>
      <c r="C534" t="s">
        <v>6</v>
      </c>
      <c r="D534" t="str">
        <f>HYPERLINK("https://users.rcc.uchicago.edu/~cozzyd/monutau/#event&amp;run=5885&amp;entry=101364", "link")</f>
        <v>link</v>
      </c>
      <c r="E534" t="s">
        <v>6</v>
      </c>
      <c r="F534" t="s">
        <v>10</v>
      </c>
    </row>
    <row r="535" spans="1:6" x14ac:dyDescent="0.25">
      <c r="A535">
        <v>5886</v>
      </c>
      <c r="B535">
        <v>77330</v>
      </c>
      <c r="C535" t="s">
        <v>6</v>
      </c>
      <c r="D535" t="str">
        <f>HYPERLINK("https://users.rcc.uchicago.edu/~cozzyd/monutau/#event&amp;run=5886&amp;entry=77330", "link")</f>
        <v>link</v>
      </c>
      <c r="E535" t="s">
        <v>6</v>
      </c>
      <c r="F535" t="s">
        <v>11</v>
      </c>
    </row>
    <row r="536" spans="1:6" x14ac:dyDescent="0.25">
      <c r="A536">
        <v>5886</v>
      </c>
      <c r="B536">
        <v>78413</v>
      </c>
      <c r="C536" t="s">
        <v>6</v>
      </c>
      <c r="D536" t="str">
        <f>HYPERLINK("https://users.rcc.uchicago.edu/~cozzyd/monutau/#event&amp;run=5886&amp;entry=78413", "link")</f>
        <v>link</v>
      </c>
      <c r="E536" t="s">
        <v>6</v>
      </c>
      <c r="F536" t="s">
        <v>11</v>
      </c>
    </row>
    <row r="537" spans="1:6" x14ac:dyDescent="0.25">
      <c r="A537">
        <v>5886</v>
      </c>
      <c r="B537">
        <v>89940</v>
      </c>
      <c r="C537" t="s">
        <v>6</v>
      </c>
      <c r="D537" t="str">
        <f>HYPERLINK("https://users.rcc.uchicago.edu/~cozzyd/monutau/#event&amp;run=5886&amp;entry=89940", "link")</f>
        <v>link</v>
      </c>
      <c r="E537" t="s">
        <v>6</v>
      </c>
      <c r="F537" t="s">
        <v>11</v>
      </c>
    </row>
    <row r="538" spans="1:6" x14ac:dyDescent="0.25">
      <c r="A538">
        <v>5886</v>
      </c>
      <c r="B538">
        <v>139903</v>
      </c>
      <c r="C538" t="s">
        <v>6</v>
      </c>
      <c r="D538" t="str">
        <f>HYPERLINK("https://users.rcc.uchicago.edu/~cozzyd/monutau/#event&amp;run=5886&amp;entry=139903", "link")</f>
        <v>link</v>
      </c>
      <c r="E538" t="s">
        <v>6</v>
      </c>
      <c r="F538" t="s">
        <v>11</v>
      </c>
    </row>
    <row r="539" spans="1:6" x14ac:dyDescent="0.25">
      <c r="A539">
        <v>5887</v>
      </c>
      <c r="B539">
        <v>7267</v>
      </c>
      <c r="C539" t="s">
        <v>6</v>
      </c>
      <c r="D539" t="str">
        <f>HYPERLINK("https://users.rcc.uchicago.edu/~cozzyd/monutau/#event&amp;run=5887&amp;entry=7267", "link")</f>
        <v>link</v>
      </c>
      <c r="E539" t="s">
        <v>6</v>
      </c>
      <c r="F539" t="s">
        <v>11</v>
      </c>
    </row>
    <row r="540" spans="1:6" x14ac:dyDescent="0.25">
      <c r="A540">
        <v>5887</v>
      </c>
      <c r="B540">
        <v>62025</v>
      </c>
      <c r="C540" t="s">
        <v>6</v>
      </c>
      <c r="D540" t="str">
        <f>HYPERLINK("https://users.rcc.uchicago.edu/~cozzyd/monutau/#event&amp;run=5887&amp;entry=62025", "link")</f>
        <v>link</v>
      </c>
      <c r="E540" t="s">
        <v>6</v>
      </c>
      <c r="F540" t="s">
        <v>12</v>
      </c>
    </row>
    <row r="541" spans="1:6" x14ac:dyDescent="0.25">
      <c r="A541">
        <v>5887</v>
      </c>
      <c r="B541">
        <v>102137</v>
      </c>
      <c r="C541" t="s">
        <v>6</v>
      </c>
      <c r="D541" t="str">
        <f>HYPERLINK("https://users.rcc.uchicago.edu/~cozzyd/monutau/#event&amp;run=5887&amp;entry=102137", "link")</f>
        <v>link</v>
      </c>
      <c r="E541" t="s">
        <v>6</v>
      </c>
      <c r="F541" t="s">
        <v>11</v>
      </c>
    </row>
    <row r="542" spans="1:6" x14ac:dyDescent="0.25">
      <c r="A542">
        <v>5888</v>
      </c>
      <c r="B542">
        <v>13348</v>
      </c>
      <c r="C542" t="s">
        <v>6</v>
      </c>
      <c r="D542" t="str">
        <f>HYPERLINK("https://users.rcc.uchicago.edu/~cozzyd/monutau/#event&amp;run=5888&amp;entry=13348", "link")</f>
        <v>link</v>
      </c>
      <c r="E542" t="s">
        <v>6</v>
      </c>
      <c r="F542" t="s">
        <v>12</v>
      </c>
    </row>
    <row r="543" spans="1:6" x14ac:dyDescent="0.25">
      <c r="A543">
        <v>5888</v>
      </c>
      <c r="B543">
        <v>31398</v>
      </c>
      <c r="C543" t="s">
        <v>6</v>
      </c>
      <c r="D543" t="str">
        <f>HYPERLINK("https://users.rcc.uchicago.edu/~cozzyd/monutau/#event&amp;run=5888&amp;entry=31398", "link")</f>
        <v>link</v>
      </c>
      <c r="E543" t="s">
        <v>6</v>
      </c>
      <c r="F543" t="s">
        <v>11</v>
      </c>
    </row>
    <row r="544" spans="1:6" x14ac:dyDescent="0.25">
      <c r="A544">
        <v>5888</v>
      </c>
      <c r="B544">
        <v>74697</v>
      </c>
      <c r="C544" t="s">
        <v>6</v>
      </c>
      <c r="D544" t="str">
        <f>HYPERLINK("https://users.rcc.uchicago.edu/~cozzyd/monutau/#event&amp;run=5888&amp;entry=74697", "link")</f>
        <v>link</v>
      </c>
      <c r="E544" t="s">
        <v>6</v>
      </c>
      <c r="F544" t="s">
        <v>12</v>
      </c>
    </row>
    <row r="545" spans="1:6" x14ac:dyDescent="0.25">
      <c r="A545">
        <v>5888</v>
      </c>
      <c r="B545">
        <v>84104</v>
      </c>
      <c r="C545" t="s">
        <v>6</v>
      </c>
      <c r="D545" t="str">
        <f>HYPERLINK("https://users.rcc.uchicago.edu/~cozzyd/monutau/#event&amp;run=5888&amp;entry=84104", "link")</f>
        <v>link</v>
      </c>
      <c r="E545" t="s">
        <v>6</v>
      </c>
      <c r="F545" t="s">
        <v>11</v>
      </c>
    </row>
    <row r="546" spans="1:6" x14ac:dyDescent="0.25">
      <c r="A546">
        <v>5889</v>
      </c>
      <c r="B546">
        <v>70102</v>
      </c>
      <c r="C546" t="s">
        <v>6</v>
      </c>
      <c r="D546" t="str">
        <f>HYPERLINK("https://users.rcc.uchicago.edu/~cozzyd/monutau/#event&amp;run=5889&amp;entry=70102", "link")</f>
        <v>link</v>
      </c>
      <c r="E546" t="s">
        <v>6</v>
      </c>
      <c r="F546" t="s">
        <v>11</v>
      </c>
    </row>
    <row r="547" spans="1:6" x14ac:dyDescent="0.25">
      <c r="A547">
        <v>5890</v>
      </c>
      <c r="B547">
        <v>95095</v>
      </c>
      <c r="C547" t="s">
        <v>6</v>
      </c>
      <c r="D547" t="str">
        <f>HYPERLINK("https://users.rcc.uchicago.edu/~cozzyd/monutau/#event&amp;run=5890&amp;entry=95095", "link")</f>
        <v>link</v>
      </c>
      <c r="E547" t="s">
        <v>6</v>
      </c>
      <c r="F547" t="s">
        <v>11</v>
      </c>
    </row>
    <row r="548" spans="1:6" x14ac:dyDescent="0.25">
      <c r="A548">
        <v>5891</v>
      </c>
      <c r="B548">
        <v>77759</v>
      </c>
      <c r="C548" t="s">
        <v>6</v>
      </c>
      <c r="D548" t="str">
        <f>HYPERLINK("https://users.rcc.uchicago.edu/~cozzyd/monutau/#event&amp;run=5891&amp;entry=77759", "link")</f>
        <v>link</v>
      </c>
      <c r="E548" t="s">
        <v>6</v>
      </c>
      <c r="F548" t="s">
        <v>7</v>
      </c>
    </row>
    <row r="549" spans="1:6" x14ac:dyDescent="0.25">
      <c r="A549">
        <v>5894</v>
      </c>
      <c r="B549">
        <v>74434</v>
      </c>
      <c r="C549" t="s">
        <v>6</v>
      </c>
      <c r="D549" t="str">
        <f>HYPERLINK("https://users.rcc.uchicago.edu/~cozzyd/monutau/#event&amp;run=5894&amp;entry=74434", "link")</f>
        <v>link</v>
      </c>
      <c r="E549" t="s">
        <v>6</v>
      </c>
      <c r="F549" t="s">
        <v>7</v>
      </c>
    </row>
    <row r="550" spans="1:6" x14ac:dyDescent="0.25">
      <c r="A550">
        <v>5895</v>
      </c>
      <c r="B550">
        <v>34727</v>
      </c>
      <c r="C550" t="s">
        <v>6</v>
      </c>
      <c r="D550" t="str">
        <f>HYPERLINK("https://users.rcc.uchicago.edu/~cozzyd/monutau/#event&amp;run=5895&amp;entry=34727", "link")</f>
        <v>link</v>
      </c>
      <c r="E550" t="s">
        <v>6</v>
      </c>
      <c r="F550" t="s">
        <v>7</v>
      </c>
    </row>
    <row r="551" spans="1:6" x14ac:dyDescent="0.25">
      <c r="A551">
        <v>5895</v>
      </c>
      <c r="B551">
        <v>82521</v>
      </c>
      <c r="C551" t="s">
        <v>6</v>
      </c>
      <c r="D551" t="str">
        <f>HYPERLINK("https://users.rcc.uchicago.edu/~cozzyd/monutau/#event&amp;run=5895&amp;entry=82521", "link")</f>
        <v>link</v>
      </c>
      <c r="E551" t="s">
        <v>6</v>
      </c>
      <c r="F551" t="s">
        <v>7</v>
      </c>
    </row>
    <row r="552" spans="1:6" x14ac:dyDescent="0.25">
      <c r="A552">
        <v>5896</v>
      </c>
      <c r="B552">
        <v>36863</v>
      </c>
      <c r="C552" t="s">
        <v>6</v>
      </c>
      <c r="D552" t="str">
        <f>HYPERLINK("https://users.rcc.uchicago.edu/~cozzyd/monutau/#event&amp;run=5896&amp;entry=36863", "link")</f>
        <v>link</v>
      </c>
      <c r="E552" t="s">
        <v>6</v>
      </c>
      <c r="F552" t="s">
        <v>7</v>
      </c>
    </row>
    <row r="553" spans="1:6" x14ac:dyDescent="0.25">
      <c r="A553">
        <v>5896</v>
      </c>
      <c r="B553">
        <v>46823</v>
      </c>
      <c r="C553" t="s">
        <v>6</v>
      </c>
      <c r="D553" t="str">
        <f>HYPERLINK("https://users.rcc.uchicago.edu/~cozzyd/monutau/#event&amp;run=5896&amp;entry=46823", "link")</f>
        <v>link</v>
      </c>
      <c r="E553" t="s">
        <v>6</v>
      </c>
      <c r="F553" t="s">
        <v>11</v>
      </c>
    </row>
    <row r="554" spans="1:6" x14ac:dyDescent="0.25">
      <c r="A554">
        <v>5896</v>
      </c>
      <c r="B554">
        <v>48075</v>
      </c>
      <c r="C554" t="s">
        <v>6</v>
      </c>
      <c r="D554" t="str">
        <f>HYPERLINK("https://users.rcc.uchicago.edu/~cozzyd/monutau/#event&amp;run=5896&amp;entry=48075", "link")</f>
        <v>link</v>
      </c>
      <c r="E554" t="s">
        <v>6</v>
      </c>
      <c r="F554" t="s">
        <v>7</v>
      </c>
    </row>
    <row r="555" spans="1:6" x14ac:dyDescent="0.25">
      <c r="A555">
        <v>5896</v>
      </c>
      <c r="B555">
        <v>62463</v>
      </c>
      <c r="C555" t="s">
        <v>6</v>
      </c>
      <c r="D555" t="str">
        <f>HYPERLINK("https://users.rcc.uchicago.edu/~cozzyd/monutau/#event&amp;run=5896&amp;entry=62463", "link")</f>
        <v>link</v>
      </c>
      <c r="E555" t="s">
        <v>6</v>
      </c>
      <c r="F555" t="s">
        <v>12</v>
      </c>
    </row>
    <row r="556" spans="1:6" x14ac:dyDescent="0.25">
      <c r="A556">
        <v>5896</v>
      </c>
      <c r="B556">
        <v>82742</v>
      </c>
      <c r="C556" t="s">
        <v>6</v>
      </c>
      <c r="D556" t="str">
        <f>HYPERLINK("https://users.rcc.uchicago.edu/~cozzyd/monutau/#event&amp;run=5896&amp;entry=82742", "link")</f>
        <v>link</v>
      </c>
      <c r="E556" t="s">
        <v>6</v>
      </c>
      <c r="F556" t="s">
        <v>7</v>
      </c>
    </row>
    <row r="557" spans="1:6" x14ac:dyDescent="0.25">
      <c r="A557">
        <v>5896</v>
      </c>
      <c r="B557">
        <v>84645</v>
      </c>
      <c r="C557" t="s">
        <v>6</v>
      </c>
      <c r="D557" t="str">
        <f>HYPERLINK("https://users.rcc.uchicago.edu/~cozzyd/monutau/#event&amp;run=5896&amp;entry=84645", "link")</f>
        <v>link</v>
      </c>
      <c r="E557" t="s">
        <v>6</v>
      </c>
      <c r="F557" t="s">
        <v>12</v>
      </c>
    </row>
    <row r="558" spans="1:6" x14ac:dyDescent="0.25">
      <c r="A558">
        <v>5896</v>
      </c>
      <c r="B558">
        <v>95365</v>
      </c>
      <c r="C558" t="s">
        <v>6</v>
      </c>
      <c r="D558" t="str">
        <f>HYPERLINK("https://users.rcc.uchicago.edu/~cozzyd/monutau/#event&amp;run=5896&amp;entry=95365", "link")</f>
        <v>link</v>
      </c>
      <c r="E558" t="s">
        <v>6</v>
      </c>
      <c r="F558" t="s">
        <v>7</v>
      </c>
    </row>
    <row r="559" spans="1:6" x14ac:dyDescent="0.25">
      <c r="A559">
        <v>5896</v>
      </c>
      <c r="B559">
        <v>117693</v>
      </c>
      <c r="C559" t="s">
        <v>6</v>
      </c>
      <c r="D559" t="str">
        <f>HYPERLINK("https://users.rcc.uchicago.edu/~cozzyd/monutau/#event&amp;run=5896&amp;entry=117693", "link")</f>
        <v>link</v>
      </c>
      <c r="E559" t="s">
        <v>6</v>
      </c>
      <c r="F559" t="s">
        <v>7</v>
      </c>
    </row>
    <row r="560" spans="1:6" x14ac:dyDescent="0.25">
      <c r="A560">
        <v>5897</v>
      </c>
      <c r="B560">
        <v>6481</v>
      </c>
      <c r="C560" t="s">
        <v>6</v>
      </c>
      <c r="D560" t="str">
        <f>HYPERLINK("https://users.rcc.uchicago.edu/~cozzyd/monutau/#event&amp;run=5897&amp;entry=6481", "link")</f>
        <v>link</v>
      </c>
      <c r="E560" t="s">
        <v>6</v>
      </c>
      <c r="F560" t="s">
        <v>12</v>
      </c>
    </row>
    <row r="561" spans="1:6" x14ac:dyDescent="0.25">
      <c r="A561">
        <v>5897</v>
      </c>
      <c r="B561">
        <v>17851</v>
      </c>
      <c r="C561" t="s">
        <v>6</v>
      </c>
      <c r="D561" t="str">
        <f>HYPERLINK("https://users.rcc.uchicago.edu/~cozzyd/monutau/#event&amp;run=5897&amp;entry=17851", "link")</f>
        <v>link</v>
      </c>
      <c r="E561" t="s">
        <v>6</v>
      </c>
      <c r="F561" t="s">
        <v>12</v>
      </c>
    </row>
    <row r="562" spans="1:6" x14ac:dyDescent="0.25">
      <c r="A562">
        <v>5897</v>
      </c>
      <c r="B562">
        <v>106298</v>
      </c>
      <c r="C562" t="s">
        <v>6</v>
      </c>
      <c r="D562" t="str">
        <f>HYPERLINK("https://users.rcc.uchicago.edu/~cozzyd/monutau/#event&amp;run=5897&amp;entry=106298", "link")</f>
        <v>link</v>
      </c>
      <c r="E562" t="s">
        <v>6</v>
      </c>
      <c r="F562" t="s">
        <v>12</v>
      </c>
    </row>
    <row r="563" spans="1:6" x14ac:dyDescent="0.25">
      <c r="A563">
        <v>5897</v>
      </c>
      <c r="B563">
        <v>130093</v>
      </c>
      <c r="C563" t="s">
        <v>6</v>
      </c>
      <c r="D563" t="str">
        <f>HYPERLINK("https://users.rcc.uchicago.edu/~cozzyd/monutau/#event&amp;run=5897&amp;entry=130093", "link")</f>
        <v>link</v>
      </c>
      <c r="E563" t="s">
        <v>6</v>
      </c>
      <c r="F563" t="s">
        <v>11</v>
      </c>
    </row>
    <row r="564" spans="1:6" x14ac:dyDescent="0.25">
      <c r="A564">
        <v>5899</v>
      </c>
      <c r="B564">
        <v>874</v>
      </c>
      <c r="C564" t="s">
        <v>6</v>
      </c>
      <c r="D564" t="str">
        <f>HYPERLINK("https://users.rcc.uchicago.edu/~cozzyd/monutau/#event&amp;run=5899&amp;entry=874", "link")</f>
        <v>link</v>
      </c>
      <c r="E564" t="s">
        <v>6</v>
      </c>
      <c r="F564" t="s">
        <v>12</v>
      </c>
    </row>
    <row r="565" spans="1:6" x14ac:dyDescent="0.25">
      <c r="A565">
        <v>5900</v>
      </c>
      <c r="B565">
        <v>97379</v>
      </c>
      <c r="C565" t="s">
        <v>6</v>
      </c>
      <c r="D565" t="str">
        <f>HYPERLINK("https://users.rcc.uchicago.edu/~cozzyd/monutau/#event&amp;run=5900&amp;entry=97379", "link")</f>
        <v>link</v>
      </c>
      <c r="E565" t="s">
        <v>6</v>
      </c>
      <c r="F565" t="s">
        <v>11</v>
      </c>
    </row>
    <row r="566" spans="1:6" x14ac:dyDescent="0.25">
      <c r="A566">
        <v>5900</v>
      </c>
      <c r="B566">
        <v>117427</v>
      </c>
      <c r="C566" t="s">
        <v>6</v>
      </c>
      <c r="D566" t="str">
        <f>HYPERLINK("https://users.rcc.uchicago.edu/~cozzyd/monutau/#event&amp;run=5900&amp;entry=117427", "link")</f>
        <v>link</v>
      </c>
      <c r="E566" t="s">
        <v>6</v>
      </c>
      <c r="F566" t="s">
        <v>12</v>
      </c>
    </row>
    <row r="567" spans="1:6" x14ac:dyDescent="0.25">
      <c r="A567">
        <v>5900</v>
      </c>
      <c r="B567">
        <v>121537</v>
      </c>
      <c r="C567" t="s">
        <v>6</v>
      </c>
      <c r="D567" t="str">
        <f>HYPERLINK("https://users.rcc.uchicago.edu/~cozzyd/monutau/#event&amp;run=5900&amp;entry=121537", "link")</f>
        <v>link</v>
      </c>
      <c r="E567" t="s">
        <v>6</v>
      </c>
      <c r="F567" t="s">
        <v>11</v>
      </c>
    </row>
    <row r="568" spans="1:6" x14ac:dyDescent="0.25">
      <c r="A568">
        <v>5901</v>
      </c>
      <c r="B568">
        <v>12962</v>
      </c>
      <c r="C568" t="s">
        <v>6</v>
      </c>
      <c r="D568" t="str">
        <f>HYPERLINK("https://users.rcc.uchicago.edu/~cozzyd/monutau/#event&amp;run=5901&amp;entry=12962", "link")</f>
        <v>link</v>
      </c>
      <c r="E568" t="s">
        <v>6</v>
      </c>
      <c r="F568" t="s">
        <v>11</v>
      </c>
    </row>
    <row r="569" spans="1:6" x14ac:dyDescent="0.25">
      <c r="A569">
        <v>5901</v>
      </c>
      <c r="B569">
        <v>22196</v>
      </c>
      <c r="C569" t="s">
        <v>6</v>
      </c>
      <c r="D569" t="str">
        <f>HYPERLINK("https://users.rcc.uchicago.edu/~cozzyd/monutau/#event&amp;run=5901&amp;entry=22196", "link")</f>
        <v>link</v>
      </c>
      <c r="E569" t="s">
        <v>6</v>
      </c>
      <c r="F569" t="s">
        <v>11</v>
      </c>
    </row>
    <row r="570" spans="1:6" x14ac:dyDescent="0.25">
      <c r="A570">
        <v>5901</v>
      </c>
      <c r="B570">
        <v>78759</v>
      </c>
      <c r="C570" t="s">
        <v>6</v>
      </c>
      <c r="D570" t="str">
        <f>HYPERLINK("https://users.rcc.uchicago.edu/~cozzyd/monutau/#event&amp;run=5901&amp;entry=78759", "link")</f>
        <v>link</v>
      </c>
      <c r="E570" t="s">
        <v>6</v>
      </c>
      <c r="F570" t="s">
        <v>11</v>
      </c>
    </row>
    <row r="571" spans="1:6" x14ac:dyDescent="0.25">
      <c r="A571">
        <v>5901</v>
      </c>
      <c r="B571">
        <v>99555</v>
      </c>
      <c r="C571" t="s">
        <v>6</v>
      </c>
      <c r="D571" t="str">
        <f>HYPERLINK("https://users.rcc.uchicago.edu/~cozzyd/monutau/#event&amp;run=5901&amp;entry=99555", "link")</f>
        <v>link</v>
      </c>
      <c r="E571" t="s">
        <v>6</v>
      </c>
      <c r="F571" t="s">
        <v>12</v>
      </c>
    </row>
    <row r="572" spans="1:6" x14ac:dyDescent="0.25">
      <c r="A572">
        <v>5901</v>
      </c>
      <c r="B572">
        <v>109922</v>
      </c>
      <c r="C572" t="s">
        <v>6</v>
      </c>
      <c r="D572" t="str">
        <f>HYPERLINK("https://users.rcc.uchicago.edu/~cozzyd/monutau/#event&amp;run=5901&amp;entry=109922", "link")</f>
        <v>link</v>
      </c>
      <c r="E572" t="s">
        <v>6</v>
      </c>
      <c r="F572" t="s">
        <v>11</v>
      </c>
    </row>
    <row r="573" spans="1:6" x14ac:dyDescent="0.25">
      <c r="A573">
        <v>5902</v>
      </c>
      <c r="B573">
        <v>49376</v>
      </c>
      <c r="C573" t="s">
        <v>6</v>
      </c>
      <c r="D573" t="str">
        <f>HYPERLINK("https://users.rcc.uchicago.edu/~cozzyd/monutau/#event&amp;run=5902&amp;entry=49376", "link")</f>
        <v>link</v>
      </c>
      <c r="E573" t="s">
        <v>6</v>
      </c>
      <c r="F573" t="s">
        <v>11</v>
      </c>
    </row>
    <row r="574" spans="1:6" x14ac:dyDescent="0.25">
      <c r="A574">
        <v>5902</v>
      </c>
      <c r="B574">
        <v>62654</v>
      </c>
      <c r="C574" t="s">
        <v>6</v>
      </c>
      <c r="D574" t="str">
        <f>HYPERLINK("https://users.rcc.uchicago.edu/~cozzyd/monutau/#event&amp;run=5902&amp;entry=62654", "link")</f>
        <v>link</v>
      </c>
      <c r="E574" t="s">
        <v>6</v>
      </c>
      <c r="F574" t="s">
        <v>11</v>
      </c>
    </row>
    <row r="575" spans="1:6" x14ac:dyDescent="0.25">
      <c r="A575">
        <v>5902</v>
      </c>
      <c r="B575">
        <v>73209</v>
      </c>
      <c r="C575" t="s">
        <v>6</v>
      </c>
      <c r="D575" t="str">
        <f>HYPERLINK("https://users.rcc.uchicago.edu/~cozzyd/monutau/#event&amp;run=5902&amp;entry=73209", "link")</f>
        <v>link</v>
      </c>
      <c r="E575" t="s">
        <v>6</v>
      </c>
      <c r="F575" t="s">
        <v>11</v>
      </c>
    </row>
    <row r="576" spans="1:6" x14ac:dyDescent="0.25">
      <c r="A576">
        <v>5902</v>
      </c>
      <c r="B576">
        <v>109249</v>
      </c>
      <c r="C576" t="s">
        <v>6</v>
      </c>
      <c r="D576" t="str">
        <f>HYPERLINK("https://users.rcc.uchicago.edu/~cozzyd/monutau/#event&amp;run=5902&amp;entry=109249", "link")</f>
        <v>link</v>
      </c>
      <c r="E576" t="s">
        <v>6</v>
      </c>
      <c r="F576" t="s">
        <v>11</v>
      </c>
    </row>
    <row r="577" spans="1:6" x14ac:dyDescent="0.25">
      <c r="A577">
        <v>5903</v>
      </c>
      <c r="B577">
        <v>36205</v>
      </c>
      <c r="C577" t="s">
        <v>6</v>
      </c>
      <c r="D577" t="str">
        <f>HYPERLINK("https://users.rcc.uchicago.edu/~cozzyd/monutau/#event&amp;run=5903&amp;entry=36205", "link")</f>
        <v>link</v>
      </c>
      <c r="E577" t="s">
        <v>6</v>
      </c>
      <c r="F577" t="s">
        <v>12</v>
      </c>
    </row>
    <row r="578" spans="1:6" x14ac:dyDescent="0.25">
      <c r="A578">
        <v>5903</v>
      </c>
      <c r="B578">
        <v>86227</v>
      </c>
      <c r="C578" t="s">
        <v>13</v>
      </c>
      <c r="D578" t="str">
        <f>HYPERLINK("https://users.rcc.uchicago.edu/~cozzyd/monutau/#event&amp;run=5903&amp;entry=86227", "link")</f>
        <v>link</v>
      </c>
      <c r="E578" t="s">
        <v>23</v>
      </c>
      <c r="F578" t="s">
        <v>11</v>
      </c>
    </row>
    <row r="579" spans="1:6" x14ac:dyDescent="0.25">
      <c r="A579">
        <v>5903</v>
      </c>
      <c r="B579">
        <v>96720</v>
      </c>
      <c r="C579" t="s">
        <v>6</v>
      </c>
      <c r="D579" t="str">
        <f>HYPERLINK("https://users.rcc.uchicago.edu/~cozzyd/monutau/#event&amp;run=5903&amp;entry=96720", "link")</f>
        <v>link</v>
      </c>
      <c r="E579" t="s">
        <v>6</v>
      </c>
      <c r="F579" t="s">
        <v>11</v>
      </c>
    </row>
    <row r="580" spans="1:6" x14ac:dyDescent="0.25">
      <c r="A580">
        <v>5903</v>
      </c>
      <c r="B580">
        <v>98781</v>
      </c>
      <c r="C580" t="s">
        <v>8</v>
      </c>
      <c r="D580" t="str">
        <f>HYPERLINK("https://users.rcc.uchicago.edu/~cozzyd/monutau/#event&amp;run=5903&amp;entry=98781", "link")</f>
        <v>link</v>
      </c>
      <c r="E580" t="s">
        <v>9</v>
      </c>
      <c r="F580" t="s">
        <v>11</v>
      </c>
    </row>
    <row r="581" spans="1:6" x14ac:dyDescent="0.25">
      <c r="A581">
        <v>5903</v>
      </c>
      <c r="B581">
        <v>120405</v>
      </c>
      <c r="C581" t="s">
        <v>13</v>
      </c>
      <c r="D581" t="str">
        <f>HYPERLINK("https://users.rcc.uchicago.edu/~cozzyd/monutau/#event&amp;run=5903&amp;entry=120405", "link")</f>
        <v>link</v>
      </c>
      <c r="E581" t="s">
        <v>15</v>
      </c>
      <c r="F581" t="s">
        <v>11</v>
      </c>
    </row>
    <row r="582" spans="1:6" x14ac:dyDescent="0.25">
      <c r="A582">
        <v>5904</v>
      </c>
      <c r="B582">
        <v>23719</v>
      </c>
      <c r="C582" t="s">
        <v>13</v>
      </c>
      <c r="D582" t="str">
        <f>HYPERLINK("https://users.rcc.uchicago.edu/~cozzyd/monutau/#event&amp;run=5904&amp;entry=23719", "link")</f>
        <v>link</v>
      </c>
      <c r="E582" t="s">
        <v>24</v>
      </c>
      <c r="F582" t="s">
        <v>11</v>
      </c>
    </row>
    <row r="583" spans="1:6" x14ac:dyDescent="0.25">
      <c r="A583">
        <v>5904</v>
      </c>
      <c r="B583">
        <v>52725</v>
      </c>
      <c r="C583" t="s">
        <v>6</v>
      </c>
      <c r="D583" t="str">
        <f>HYPERLINK("https://users.rcc.uchicago.edu/~cozzyd/monutau/#event&amp;run=5904&amp;entry=52725", "link")</f>
        <v>link</v>
      </c>
      <c r="E583" t="s">
        <v>6</v>
      </c>
      <c r="F583" t="s">
        <v>12</v>
      </c>
    </row>
    <row r="584" spans="1:6" x14ac:dyDescent="0.25">
      <c r="A584">
        <v>5904</v>
      </c>
      <c r="B584">
        <v>78164</v>
      </c>
      <c r="C584" t="s">
        <v>6</v>
      </c>
      <c r="D584" t="str">
        <f>HYPERLINK("https://users.rcc.uchicago.edu/~cozzyd/monutau/#event&amp;run=5904&amp;entry=78164", "link")</f>
        <v>link</v>
      </c>
      <c r="E584" t="s">
        <v>6</v>
      </c>
      <c r="F584" t="s">
        <v>12</v>
      </c>
    </row>
    <row r="585" spans="1:6" x14ac:dyDescent="0.25">
      <c r="A585">
        <v>5904</v>
      </c>
      <c r="B585">
        <v>86459</v>
      </c>
      <c r="C585" t="s">
        <v>6</v>
      </c>
      <c r="D585" t="str">
        <f>HYPERLINK("https://users.rcc.uchicago.edu/~cozzyd/monutau/#event&amp;run=5904&amp;entry=86459", "link")</f>
        <v>link</v>
      </c>
      <c r="E585" t="s">
        <v>6</v>
      </c>
      <c r="F585" t="s">
        <v>12</v>
      </c>
    </row>
    <row r="586" spans="1:6" x14ac:dyDescent="0.25">
      <c r="A586">
        <v>5904</v>
      </c>
      <c r="B586">
        <v>90994</v>
      </c>
      <c r="C586" t="s">
        <v>6</v>
      </c>
      <c r="D586" t="str">
        <f>HYPERLINK("https://users.rcc.uchicago.edu/~cozzyd/monutau/#event&amp;run=5904&amp;entry=90994", "link")</f>
        <v>link</v>
      </c>
      <c r="E586" t="s">
        <v>6</v>
      </c>
      <c r="F586" t="s">
        <v>10</v>
      </c>
    </row>
    <row r="587" spans="1:6" x14ac:dyDescent="0.25">
      <c r="A587">
        <v>5904</v>
      </c>
      <c r="B587">
        <v>94433</v>
      </c>
      <c r="C587" t="s">
        <v>6</v>
      </c>
      <c r="D587" t="str">
        <f>HYPERLINK("https://users.rcc.uchicago.edu/~cozzyd/monutau/#event&amp;run=5904&amp;entry=94433", "link")</f>
        <v>link</v>
      </c>
      <c r="E587" t="s">
        <v>6</v>
      </c>
      <c r="F587" t="s">
        <v>12</v>
      </c>
    </row>
    <row r="588" spans="1:6" x14ac:dyDescent="0.25">
      <c r="A588">
        <v>5904</v>
      </c>
      <c r="B588">
        <v>112194</v>
      </c>
      <c r="C588" t="s">
        <v>6</v>
      </c>
      <c r="D588" t="str">
        <f>HYPERLINK("https://users.rcc.uchicago.edu/~cozzyd/monutau/#event&amp;run=5904&amp;entry=112194", "link")</f>
        <v>link</v>
      </c>
      <c r="E588" t="s">
        <v>6</v>
      </c>
      <c r="F588" t="s">
        <v>11</v>
      </c>
    </row>
    <row r="589" spans="1:6" x14ac:dyDescent="0.25">
      <c r="A589">
        <v>5904</v>
      </c>
      <c r="B589">
        <v>126683</v>
      </c>
      <c r="C589" t="s">
        <v>6</v>
      </c>
      <c r="D589" t="str">
        <f>HYPERLINK("https://users.rcc.uchicago.edu/~cozzyd/monutau/#event&amp;run=5904&amp;entry=126683", "link")</f>
        <v>link</v>
      </c>
      <c r="E589" t="s">
        <v>6</v>
      </c>
      <c r="F589" t="s">
        <v>7</v>
      </c>
    </row>
    <row r="590" spans="1:6" x14ac:dyDescent="0.25">
      <c r="A590">
        <v>5905</v>
      </c>
      <c r="B590">
        <v>36818</v>
      </c>
      <c r="C590" t="s">
        <v>6</v>
      </c>
      <c r="D590" t="str">
        <f>HYPERLINK("https://users.rcc.uchicago.edu/~cozzyd/monutau/#event&amp;run=5905&amp;entry=36818", "link")</f>
        <v>link</v>
      </c>
      <c r="E590" t="s">
        <v>6</v>
      </c>
      <c r="F590" t="s">
        <v>7</v>
      </c>
    </row>
    <row r="591" spans="1:6" x14ac:dyDescent="0.25">
      <c r="A591">
        <v>5905</v>
      </c>
      <c r="B591">
        <v>119823</v>
      </c>
      <c r="C591" t="s">
        <v>6</v>
      </c>
      <c r="D591" t="str">
        <f>HYPERLINK("https://users.rcc.uchicago.edu/~cozzyd/monutau/#event&amp;run=5905&amp;entry=119823", "link")</f>
        <v>link</v>
      </c>
      <c r="E591" t="s">
        <v>6</v>
      </c>
      <c r="F591" t="s">
        <v>7</v>
      </c>
    </row>
    <row r="592" spans="1:6" x14ac:dyDescent="0.25">
      <c r="A592">
        <v>5907</v>
      </c>
      <c r="B592">
        <v>105490</v>
      </c>
      <c r="C592" t="s">
        <v>6</v>
      </c>
      <c r="D592" t="str">
        <f>HYPERLINK("https://users.rcc.uchicago.edu/~cozzyd/monutau/#event&amp;run=5907&amp;entry=105490", "link")</f>
        <v>link</v>
      </c>
      <c r="E592" t="s">
        <v>6</v>
      </c>
      <c r="F592" t="s">
        <v>7</v>
      </c>
    </row>
    <row r="593" spans="1:6" x14ac:dyDescent="0.25">
      <c r="A593">
        <v>5907</v>
      </c>
      <c r="B593">
        <v>138413</v>
      </c>
      <c r="C593" t="s">
        <v>6</v>
      </c>
      <c r="D593" t="str">
        <f>HYPERLINK("https://users.rcc.uchicago.edu/~cozzyd/monutau/#event&amp;run=5907&amp;entry=138413", "link")</f>
        <v>link</v>
      </c>
      <c r="E593" t="s">
        <v>6</v>
      </c>
      <c r="F593" t="s">
        <v>7</v>
      </c>
    </row>
    <row r="594" spans="1:6" x14ac:dyDescent="0.25">
      <c r="A594">
        <v>5908</v>
      </c>
      <c r="B594">
        <v>73954</v>
      </c>
      <c r="C594" t="s">
        <v>13</v>
      </c>
      <c r="D594" t="str">
        <f>HYPERLINK("https://users.rcc.uchicago.edu/~cozzyd/monutau/#event&amp;run=5908&amp;entry=73954", "link")</f>
        <v>link</v>
      </c>
      <c r="E594" t="s">
        <v>25</v>
      </c>
      <c r="F594" t="s">
        <v>11</v>
      </c>
    </row>
    <row r="595" spans="1:6" x14ac:dyDescent="0.25">
      <c r="A595">
        <v>5908</v>
      </c>
      <c r="B595">
        <v>74029</v>
      </c>
      <c r="C595" t="s">
        <v>13</v>
      </c>
      <c r="D595" t="str">
        <f>HYPERLINK("https://users.rcc.uchicago.edu/~cozzyd/monutau/#event&amp;run=5908&amp;entry=74029", "link")</f>
        <v>link</v>
      </c>
      <c r="E595" t="s">
        <v>25</v>
      </c>
      <c r="F595" t="s">
        <v>11</v>
      </c>
    </row>
    <row r="596" spans="1:6" x14ac:dyDescent="0.25">
      <c r="A596">
        <v>5908</v>
      </c>
      <c r="B596">
        <v>132973</v>
      </c>
      <c r="C596" t="s">
        <v>6</v>
      </c>
      <c r="D596" t="str">
        <f>HYPERLINK("https://users.rcc.uchicago.edu/~cozzyd/monutau/#event&amp;run=5908&amp;entry=132973", "link")</f>
        <v>link</v>
      </c>
      <c r="E596" t="s">
        <v>6</v>
      </c>
      <c r="F596" t="s">
        <v>7</v>
      </c>
    </row>
    <row r="597" spans="1:6" x14ac:dyDescent="0.25">
      <c r="A597">
        <v>5908</v>
      </c>
      <c r="B597">
        <v>142521</v>
      </c>
      <c r="C597" t="s">
        <v>6</v>
      </c>
      <c r="D597" t="str">
        <f>HYPERLINK("https://users.rcc.uchicago.edu/~cozzyd/monutau/#event&amp;run=5908&amp;entry=142521", "link")</f>
        <v>link</v>
      </c>
      <c r="E597" t="s">
        <v>6</v>
      </c>
      <c r="F597" t="s">
        <v>12</v>
      </c>
    </row>
    <row r="598" spans="1:6" x14ac:dyDescent="0.25">
      <c r="A598">
        <v>5909</v>
      </c>
      <c r="B598">
        <v>38474</v>
      </c>
      <c r="C598" t="s">
        <v>6</v>
      </c>
      <c r="D598" t="str">
        <f>HYPERLINK("https://users.rcc.uchicago.edu/~cozzyd/monutau/#event&amp;run=5909&amp;entry=38474", "link")</f>
        <v>link</v>
      </c>
      <c r="E598" t="s">
        <v>6</v>
      </c>
      <c r="F598" t="s">
        <v>11</v>
      </c>
    </row>
    <row r="599" spans="1:6" x14ac:dyDescent="0.25">
      <c r="A599">
        <v>5910</v>
      </c>
      <c r="B599">
        <v>101855</v>
      </c>
      <c r="C599" t="s">
        <v>13</v>
      </c>
      <c r="D599" t="str">
        <f>HYPERLINK("https://users.rcc.uchicago.edu/~cozzyd/monutau/#event&amp;run=5910&amp;entry=101855", "link")</f>
        <v>link</v>
      </c>
      <c r="E599" t="s">
        <v>26</v>
      </c>
      <c r="F599" t="s">
        <v>11</v>
      </c>
    </row>
    <row r="600" spans="1:6" x14ac:dyDescent="0.25">
      <c r="A600">
        <v>5911</v>
      </c>
      <c r="B600">
        <v>21529</v>
      </c>
      <c r="C600" t="s">
        <v>13</v>
      </c>
      <c r="D600" t="str">
        <f>HYPERLINK("https://users.rcc.uchicago.edu/~cozzyd/monutau/#event&amp;run=5911&amp;entry=21529", "link")</f>
        <v>link</v>
      </c>
      <c r="E600" t="s">
        <v>27</v>
      </c>
      <c r="F600" t="s">
        <v>11</v>
      </c>
    </row>
    <row r="601" spans="1:6" x14ac:dyDescent="0.25">
      <c r="A601">
        <v>5911</v>
      </c>
      <c r="B601">
        <v>21724</v>
      </c>
      <c r="C601" t="s">
        <v>13</v>
      </c>
      <c r="D601" t="str">
        <f>HYPERLINK("https://users.rcc.uchicago.edu/~cozzyd/monutau/#event&amp;run=5911&amp;entry=21724", "link")</f>
        <v>link</v>
      </c>
      <c r="E601" t="s">
        <v>27</v>
      </c>
      <c r="F601" t="s">
        <v>11</v>
      </c>
    </row>
    <row r="602" spans="1:6" x14ac:dyDescent="0.25">
      <c r="A602">
        <v>5911</v>
      </c>
      <c r="B602">
        <v>21958</v>
      </c>
      <c r="C602" t="s">
        <v>13</v>
      </c>
      <c r="D602" t="str">
        <f>HYPERLINK("https://users.rcc.uchicago.edu/~cozzyd/monutau/#event&amp;run=5911&amp;entry=21958", "link")</f>
        <v>link</v>
      </c>
      <c r="E602" t="s">
        <v>27</v>
      </c>
      <c r="F602" t="s">
        <v>11</v>
      </c>
    </row>
    <row r="603" spans="1:6" x14ac:dyDescent="0.25">
      <c r="A603">
        <v>5911</v>
      </c>
      <c r="B603">
        <v>21988</v>
      </c>
      <c r="C603" t="s">
        <v>13</v>
      </c>
      <c r="D603" t="str">
        <f>HYPERLINK("https://users.rcc.uchicago.edu/~cozzyd/monutau/#event&amp;run=5911&amp;entry=21988", "link")</f>
        <v>link</v>
      </c>
      <c r="E603" t="s">
        <v>27</v>
      </c>
      <c r="F603" t="s">
        <v>11</v>
      </c>
    </row>
    <row r="604" spans="1:6" x14ac:dyDescent="0.25">
      <c r="A604">
        <v>5911</v>
      </c>
      <c r="B604">
        <v>22156</v>
      </c>
      <c r="C604" t="s">
        <v>13</v>
      </c>
      <c r="D604" t="str">
        <f>HYPERLINK("https://users.rcc.uchicago.edu/~cozzyd/monutau/#event&amp;run=5911&amp;entry=22156", "link")</f>
        <v>link</v>
      </c>
      <c r="E604" t="s">
        <v>27</v>
      </c>
      <c r="F604" t="s">
        <v>11</v>
      </c>
    </row>
    <row r="605" spans="1:6" x14ac:dyDescent="0.25">
      <c r="A605">
        <v>5911</v>
      </c>
      <c r="B605">
        <v>22171</v>
      </c>
      <c r="C605" t="s">
        <v>13</v>
      </c>
      <c r="D605" t="str">
        <f>HYPERLINK("https://users.rcc.uchicago.edu/~cozzyd/monutau/#event&amp;run=5911&amp;entry=22171", "link")</f>
        <v>link</v>
      </c>
      <c r="E605" t="s">
        <v>27</v>
      </c>
      <c r="F605" t="s">
        <v>11</v>
      </c>
    </row>
    <row r="606" spans="1:6" x14ac:dyDescent="0.25">
      <c r="A606">
        <v>5911</v>
      </c>
      <c r="B606">
        <v>22205</v>
      </c>
      <c r="C606" t="s">
        <v>13</v>
      </c>
      <c r="D606" t="str">
        <f>HYPERLINK("https://users.rcc.uchicago.edu/~cozzyd/monutau/#event&amp;run=5911&amp;entry=22205", "link")</f>
        <v>link</v>
      </c>
      <c r="E606" t="s">
        <v>27</v>
      </c>
      <c r="F606" t="s">
        <v>11</v>
      </c>
    </row>
    <row r="607" spans="1:6" x14ac:dyDescent="0.25">
      <c r="A607">
        <v>5911</v>
      </c>
      <c r="B607">
        <v>22226</v>
      </c>
      <c r="C607" t="s">
        <v>13</v>
      </c>
      <c r="D607" t="str">
        <f>HYPERLINK("https://users.rcc.uchicago.edu/~cozzyd/monutau/#event&amp;run=5911&amp;entry=22226", "link")</f>
        <v>link</v>
      </c>
      <c r="E607" t="s">
        <v>27</v>
      </c>
      <c r="F607" t="s">
        <v>11</v>
      </c>
    </row>
    <row r="608" spans="1:6" x14ac:dyDescent="0.25">
      <c r="A608">
        <v>5911</v>
      </c>
      <c r="B608">
        <v>22346</v>
      </c>
      <c r="C608" t="s">
        <v>13</v>
      </c>
      <c r="D608" t="str">
        <f>HYPERLINK("https://users.rcc.uchicago.edu/~cozzyd/monutau/#event&amp;run=5911&amp;entry=22346", "link")</f>
        <v>link</v>
      </c>
      <c r="E608" t="s">
        <v>27</v>
      </c>
      <c r="F608" t="s">
        <v>11</v>
      </c>
    </row>
    <row r="609" spans="1:6" x14ac:dyDescent="0.25">
      <c r="A609">
        <v>5911</v>
      </c>
      <c r="B609">
        <v>22556</v>
      </c>
      <c r="C609" t="s">
        <v>13</v>
      </c>
      <c r="D609" t="str">
        <f>HYPERLINK("https://users.rcc.uchicago.edu/~cozzyd/monutau/#event&amp;run=5911&amp;entry=22556", "link")</f>
        <v>link</v>
      </c>
      <c r="E609" t="s">
        <v>27</v>
      </c>
      <c r="F609" t="s">
        <v>11</v>
      </c>
    </row>
    <row r="610" spans="1:6" x14ac:dyDescent="0.25">
      <c r="A610">
        <v>5911</v>
      </c>
      <c r="B610">
        <v>22588</v>
      </c>
      <c r="C610" t="s">
        <v>13</v>
      </c>
      <c r="D610" t="str">
        <f>HYPERLINK("https://users.rcc.uchicago.edu/~cozzyd/monutau/#event&amp;run=5911&amp;entry=22588", "link")</f>
        <v>link</v>
      </c>
      <c r="E610" t="s">
        <v>27</v>
      </c>
      <c r="F610" t="s">
        <v>11</v>
      </c>
    </row>
    <row r="611" spans="1:6" x14ac:dyDescent="0.25">
      <c r="A611">
        <v>5911</v>
      </c>
      <c r="B611">
        <v>22592</v>
      </c>
      <c r="C611" t="s">
        <v>13</v>
      </c>
      <c r="D611" t="str">
        <f>HYPERLINK("https://users.rcc.uchicago.edu/~cozzyd/monutau/#event&amp;run=5911&amp;entry=22592", "link")</f>
        <v>link</v>
      </c>
      <c r="E611" t="s">
        <v>27</v>
      </c>
      <c r="F611" t="s">
        <v>11</v>
      </c>
    </row>
    <row r="612" spans="1:6" x14ac:dyDescent="0.25">
      <c r="A612">
        <v>5911</v>
      </c>
      <c r="B612">
        <v>22600</v>
      </c>
      <c r="C612" t="s">
        <v>13</v>
      </c>
      <c r="D612" t="str">
        <f>HYPERLINK("https://users.rcc.uchicago.edu/~cozzyd/monutau/#event&amp;run=5911&amp;entry=22600", "link")</f>
        <v>link</v>
      </c>
      <c r="E612" t="s">
        <v>27</v>
      </c>
      <c r="F612" t="s">
        <v>11</v>
      </c>
    </row>
    <row r="613" spans="1:6" x14ac:dyDescent="0.25">
      <c r="A613">
        <v>5911</v>
      </c>
      <c r="B613">
        <v>22609</v>
      </c>
      <c r="C613" t="s">
        <v>13</v>
      </c>
      <c r="D613" t="str">
        <f>HYPERLINK("https://users.rcc.uchicago.edu/~cozzyd/monutau/#event&amp;run=5911&amp;entry=22609", "link")</f>
        <v>link</v>
      </c>
      <c r="E613" t="s">
        <v>27</v>
      </c>
      <c r="F613" t="s">
        <v>11</v>
      </c>
    </row>
    <row r="614" spans="1:6" x14ac:dyDescent="0.25">
      <c r="A614">
        <v>5911</v>
      </c>
      <c r="B614">
        <v>22630</v>
      </c>
      <c r="C614" t="s">
        <v>13</v>
      </c>
      <c r="D614" t="str">
        <f>HYPERLINK("https://users.rcc.uchicago.edu/~cozzyd/monutau/#event&amp;run=5911&amp;entry=22630", "link")</f>
        <v>link</v>
      </c>
      <c r="E614" t="s">
        <v>27</v>
      </c>
      <c r="F614" t="s">
        <v>11</v>
      </c>
    </row>
    <row r="615" spans="1:6" x14ac:dyDescent="0.25">
      <c r="A615">
        <v>5911</v>
      </c>
      <c r="B615">
        <v>22636</v>
      </c>
      <c r="C615" t="s">
        <v>13</v>
      </c>
      <c r="D615" t="str">
        <f>HYPERLINK("https://users.rcc.uchicago.edu/~cozzyd/monutau/#event&amp;run=5911&amp;entry=22636", "link")</f>
        <v>link</v>
      </c>
      <c r="E615" t="s">
        <v>27</v>
      </c>
      <c r="F615" t="s">
        <v>11</v>
      </c>
    </row>
    <row r="616" spans="1:6" x14ac:dyDescent="0.25">
      <c r="A616">
        <v>5911</v>
      </c>
      <c r="B616">
        <v>22637</v>
      </c>
      <c r="C616" t="s">
        <v>13</v>
      </c>
      <c r="D616" t="str">
        <f>HYPERLINK("https://users.rcc.uchicago.edu/~cozzyd/monutau/#event&amp;run=5911&amp;entry=22637", "link")</f>
        <v>link</v>
      </c>
      <c r="E616" t="s">
        <v>27</v>
      </c>
      <c r="F616" t="s">
        <v>11</v>
      </c>
    </row>
    <row r="617" spans="1:6" x14ac:dyDescent="0.25">
      <c r="A617">
        <v>5911</v>
      </c>
      <c r="B617">
        <v>22689</v>
      </c>
      <c r="C617" t="s">
        <v>13</v>
      </c>
      <c r="D617" t="str">
        <f>HYPERLINK("https://users.rcc.uchicago.edu/~cozzyd/monutau/#event&amp;run=5911&amp;entry=22689", "link")</f>
        <v>link</v>
      </c>
      <c r="E617" t="s">
        <v>27</v>
      </c>
      <c r="F617" t="s">
        <v>11</v>
      </c>
    </row>
    <row r="618" spans="1:6" x14ac:dyDescent="0.25">
      <c r="A618">
        <v>5911</v>
      </c>
      <c r="B618">
        <v>22723</v>
      </c>
      <c r="C618" t="s">
        <v>13</v>
      </c>
      <c r="D618" t="str">
        <f>HYPERLINK("https://users.rcc.uchicago.edu/~cozzyd/monutau/#event&amp;run=5911&amp;entry=22723", "link")</f>
        <v>link</v>
      </c>
      <c r="E618" t="s">
        <v>27</v>
      </c>
      <c r="F618" t="s">
        <v>11</v>
      </c>
    </row>
    <row r="619" spans="1:6" x14ac:dyDescent="0.25">
      <c r="A619">
        <v>5911</v>
      </c>
      <c r="B619">
        <v>22736</v>
      </c>
      <c r="C619" t="s">
        <v>13</v>
      </c>
      <c r="D619" t="str">
        <f>HYPERLINK("https://users.rcc.uchicago.edu/~cozzyd/monutau/#event&amp;run=5911&amp;entry=22736", "link")</f>
        <v>link</v>
      </c>
      <c r="E619" t="s">
        <v>27</v>
      </c>
      <c r="F619" t="s">
        <v>11</v>
      </c>
    </row>
    <row r="620" spans="1:6" x14ac:dyDescent="0.25">
      <c r="A620">
        <v>5911</v>
      </c>
      <c r="B620">
        <v>22741</v>
      </c>
      <c r="C620" t="s">
        <v>13</v>
      </c>
      <c r="D620" t="str">
        <f>HYPERLINK("https://users.rcc.uchicago.edu/~cozzyd/monutau/#event&amp;run=5911&amp;entry=22741", "link")</f>
        <v>link</v>
      </c>
      <c r="E620" t="s">
        <v>27</v>
      </c>
      <c r="F620" t="s">
        <v>11</v>
      </c>
    </row>
    <row r="621" spans="1:6" x14ac:dyDescent="0.25">
      <c r="A621">
        <v>5911</v>
      </c>
      <c r="B621">
        <v>22744</v>
      </c>
      <c r="C621" t="s">
        <v>13</v>
      </c>
      <c r="D621" t="str">
        <f>HYPERLINK("https://users.rcc.uchicago.edu/~cozzyd/monutau/#event&amp;run=5911&amp;entry=22744", "link")</f>
        <v>link</v>
      </c>
      <c r="E621" t="s">
        <v>27</v>
      </c>
      <c r="F621" t="s">
        <v>11</v>
      </c>
    </row>
    <row r="622" spans="1:6" x14ac:dyDescent="0.25">
      <c r="A622">
        <v>5911</v>
      </c>
      <c r="B622">
        <v>22784</v>
      </c>
      <c r="C622" t="s">
        <v>13</v>
      </c>
      <c r="D622" t="str">
        <f>HYPERLINK("https://users.rcc.uchicago.edu/~cozzyd/monutau/#event&amp;run=5911&amp;entry=22784", "link")</f>
        <v>link</v>
      </c>
      <c r="E622" t="s">
        <v>27</v>
      </c>
      <c r="F622" t="s">
        <v>11</v>
      </c>
    </row>
    <row r="623" spans="1:6" x14ac:dyDescent="0.25">
      <c r="A623">
        <v>5911</v>
      </c>
      <c r="B623">
        <v>22791</v>
      </c>
      <c r="C623" t="s">
        <v>13</v>
      </c>
      <c r="D623" t="str">
        <f>HYPERLINK("https://users.rcc.uchicago.edu/~cozzyd/monutau/#event&amp;run=5911&amp;entry=22791", "link")</f>
        <v>link</v>
      </c>
      <c r="E623" t="s">
        <v>27</v>
      </c>
      <c r="F623" t="s">
        <v>11</v>
      </c>
    </row>
    <row r="624" spans="1:6" x14ac:dyDescent="0.25">
      <c r="A624">
        <v>5911</v>
      </c>
      <c r="B624">
        <v>22795</v>
      </c>
      <c r="C624" t="s">
        <v>13</v>
      </c>
      <c r="D624" t="str">
        <f>HYPERLINK("https://users.rcc.uchicago.edu/~cozzyd/monutau/#event&amp;run=5911&amp;entry=22795", "link")</f>
        <v>link</v>
      </c>
      <c r="E624" t="s">
        <v>27</v>
      </c>
      <c r="F624" t="s">
        <v>11</v>
      </c>
    </row>
    <row r="625" spans="1:6" x14ac:dyDescent="0.25">
      <c r="A625">
        <v>5911</v>
      </c>
      <c r="B625">
        <v>22885</v>
      </c>
      <c r="C625" t="s">
        <v>13</v>
      </c>
      <c r="D625" t="str">
        <f>HYPERLINK("https://users.rcc.uchicago.edu/~cozzyd/monutau/#event&amp;run=5911&amp;entry=22885", "link")</f>
        <v>link</v>
      </c>
      <c r="E625" t="s">
        <v>27</v>
      </c>
      <c r="F625" t="s">
        <v>11</v>
      </c>
    </row>
    <row r="626" spans="1:6" x14ac:dyDescent="0.25">
      <c r="A626">
        <v>5911</v>
      </c>
      <c r="B626">
        <v>22898</v>
      </c>
      <c r="C626" t="s">
        <v>13</v>
      </c>
      <c r="D626" t="str">
        <f>HYPERLINK("https://users.rcc.uchicago.edu/~cozzyd/monutau/#event&amp;run=5911&amp;entry=22898", "link")</f>
        <v>link</v>
      </c>
      <c r="E626" t="s">
        <v>27</v>
      </c>
      <c r="F626" t="s">
        <v>11</v>
      </c>
    </row>
    <row r="627" spans="1:6" x14ac:dyDescent="0.25">
      <c r="A627">
        <v>5911</v>
      </c>
      <c r="B627">
        <v>22944</v>
      </c>
      <c r="C627" t="s">
        <v>13</v>
      </c>
      <c r="D627" t="str">
        <f>HYPERLINK("https://users.rcc.uchicago.edu/~cozzyd/monutau/#event&amp;run=5911&amp;entry=22944", "link")</f>
        <v>link</v>
      </c>
      <c r="E627" t="s">
        <v>27</v>
      </c>
      <c r="F627" t="s">
        <v>11</v>
      </c>
    </row>
    <row r="628" spans="1:6" x14ac:dyDescent="0.25">
      <c r="A628">
        <v>5911</v>
      </c>
      <c r="B628">
        <v>22967</v>
      </c>
      <c r="C628" t="s">
        <v>13</v>
      </c>
      <c r="D628" t="str">
        <f>HYPERLINK("https://users.rcc.uchicago.edu/~cozzyd/monutau/#event&amp;run=5911&amp;entry=22967", "link")</f>
        <v>link</v>
      </c>
      <c r="E628" t="s">
        <v>27</v>
      </c>
      <c r="F628" t="s">
        <v>11</v>
      </c>
    </row>
    <row r="629" spans="1:6" x14ac:dyDescent="0.25">
      <c r="A629">
        <v>5911</v>
      </c>
      <c r="B629">
        <v>22978</v>
      </c>
      <c r="C629" t="s">
        <v>13</v>
      </c>
      <c r="D629" t="str">
        <f>HYPERLINK("https://users.rcc.uchicago.edu/~cozzyd/monutau/#event&amp;run=5911&amp;entry=22978", "link")</f>
        <v>link</v>
      </c>
      <c r="E629" t="s">
        <v>27</v>
      </c>
      <c r="F629" t="s">
        <v>11</v>
      </c>
    </row>
    <row r="630" spans="1:6" x14ac:dyDescent="0.25">
      <c r="A630">
        <v>5911</v>
      </c>
      <c r="B630">
        <v>23026</v>
      </c>
      <c r="C630" t="s">
        <v>13</v>
      </c>
      <c r="D630" t="str">
        <f>HYPERLINK("https://users.rcc.uchicago.edu/~cozzyd/monutau/#event&amp;run=5911&amp;entry=23026", "link")</f>
        <v>link</v>
      </c>
      <c r="E630" t="s">
        <v>27</v>
      </c>
      <c r="F630" t="s">
        <v>11</v>
      </c>
    </row>
    <row r="631" spans="1:6" x14ac:dyDescent="0.25">
      <c r="A631">
        <v>5911</v>
      </c>
      <c r="B631">
        <v>23039</v>
      </c>
      <c r="C631" t="s">
        <v>13</v>
      </c>
      <c r="D631" t="str">
        <f>HYPERLINK("https://users.rcc.uchicago.edu/~cozzyd/monutau/#event&amp;run=5911&amp;entry=23039", "link")</f>
        <v>link</v>
      </c>
      <c r="E631" t="s">
        <v>27</v>
      </c>
      <c r="F631" t="s">
        <v>11</v>
      </c>
    </row>
    <row r="632" spans="1:6" x14ac:dyDescent="0.25">
      <c r="A632">
        <v>5911</v>
      </c>
      <c r="B632">
        <v>23042</v>
      </c>
      <c r="C632" t="s">
        <v>13</v>
      </c>
      <c r="D632" t="str">
        <f>HYPERLINK("https://users.rcc.uchicago.edu/~cozzyd/monutau/#event&amp;run=5911&amp;entry=23042", "link")</f>
        <v>link</v>
      </c>
      <c r="E632" t="s">
        <v>27</v>
      </c>
      <c r="F632" t="s">
        <v>11</v>
      </c>
    </row>
    <row r="633" spans="1:6" x14ac:dyDescent="0.25">
      <c r="A633">
        <v>5911</v>
      </c>
      <c r="B633">
        <v>23054</v>
      </c>
      <c r="C633" t="s">
        <v>13</v>
      </c>
      <c r="D633" t="str">
        <f>HYPERLINK("https://users.rcc.uchicago.edu/~cozzyd/monutau/#event&amp;run=5911&amp;entry=23054", "link")</f>
        <v>link</v>
      </c>
      <c r="E633" t="s">
        <v>27</v>
      </c>
      <c r="F633" t="s">
        <v>11</v>
      </c>
    </row>
    <row r="634" spans="1:6" x14ac:dyDescent="0.25">
      <c r="A634">
        <v>5911</v>
      </c>
      <c r="B634">
        <v>23059</v>
      </c>
      <c r="C634" t="s">
        <v>13</v>
      </c>
      <c r="D634" t="str">
        <f>HYPERLINK("https://users.rcc.uchicago.edu/~cozzyd/monutau/#event&amp;run=5911&amp;entry=23059", "link")</f>
        <v>link</v>
      </c>
      <c r="E634" t="s">
        <v>27</v>
      </c>
      <c r="F634" t="s">
        <v>11</v>
      </c>
    </row>
    <row r="635" spans="1:6" x14ac:dyDescent="0.25">
      <c r="A635">
        <v>5911</v>
      </c>
      <c r="B635">
        <v>23086</v>
      </c>
      <c r="C635" t="s">
        <v>13</v>
      </c>
      <c r="D635" t="str">
        <f>HYPERLINK("https://users.rcc.uchicago.edu/~cozzyd/monutau/#event&amp;run=5911&amp;entry=23086", "link")</f>
        <v>link</v>
      </c>
      <c r="E635" t="s">
        <v>27</v>
      </c>
      <c r="F635" t="s">
        <v>11</v>
      </c>
    </row>
    <row r="636" spans="1:6" x14ac:dyDescent="0.25">
      <c r="A636">
        <v>5911</v>
      </c>
      <c r="B636">
        <v>23116</v>
      </c>
      <c r="C636" t="s">
        <v>13</v>
      </c>
      <c r="D636" t="str">
        <f>HYPERLINK("https://users.rcc.uchicago.edu/~cozzyd/monutau/#event&amp;run=5911&amp;entry=23116", "link")</f>
        <v>link</v>
      </c>
      <c r="E636" t="s">
        <v>27</v>
      </c>
      <c r="F636" t="s">
        <v>11</v>
      </c>
    </row>
    <row r="637" spans="1:6" x14ac:dyDescent="0.25">
      <c r="A637">
        <v>5911</v>
      </c>
      <c r="B637">
        <v>23124</v>
      </c>
      <c r="C637" t="s">
        <v>13</v>
      </c>
      <c r="D637" t="str">
        <f>HYPERLINK("https://users.rcc.uchicago.edu/~cozzyd/monutau/#event&amp;run=5911&amp;entry=23124", "link")</f>
        <v>link</v>
      </c>
      <c r="E637" t="s">
        <v>27</v>
      </c>
      <c r="F637" t="s">
        <v>11</v>
      </c>
    </row>
    <row r="638" spans="1:6" x14ac:dyDescent="0.25">
      <c r="A638">
        <v>5911</v>
      </c>
      <c r="B638">
        <v>36349</v>
      </c>
      <c r="C638" t="s">
        <v>13</v>
      </c>
      <c r="D638" t="str">
        <f>HYPERLINK("https://users.rcc.uchicago.edu/~cozzyd/monutau/#event&amp;run=5911&amp;entry=36349", "link")</f>
        <v>link</v>
      </c>
      <c r="E638" t="s">
        <v>28</v>
      </c>
      <c r="F638" t="s">
        <v>11</v>
      </c>
    </row>
    <row r="639" spans="1:6" x14ac:dyDescent="0.25">
      <c r="A639">
        <v>5911</v>
      </c>
      <c r="B639">
        <v>36725</v>
      </c>
      <c r="C639" t="s">
        <v>13</v>
      </c>
      <c r="D639" t="str">
        <f>HYPERLINK("https://users.rcc.uchicago.edu/~cozzyd/monutau/#event&amp;run=5911&amp;entry=36725", "link")</f>
        <v>link</v>
      </c>
      <c r="E639" t="s">
        <v>28</v>
      </c>
      <c r="F639" t="s">
        <v>11</v>
      </c>
    </row>
    <row r="640" spans="1:6" x14ac:dyDescent="0.25">
      <c r="A640">
        <v>5911</v>
      </c>
      <c r="B640">
        <v>36745</v>
      </c>
      <c r="C640" t="s">
        <v>13</v>
      </c>
      <c r="D640" t="str">
        <f>HYPERLINK("https://users.rcc.uchicago.edu/~cozzyd/monutau/#event&amp;run=5911&amp;entry=36745", "link")</f>
        <v>link</v>
      </c>
      <c r="E640" t="s">
        <v>28</v>
      </c>
      <c r="F640" t="s">
        <v>11</v>
      </c>
    </row>
    <row r="641" spans="1:6" x14ac:dyDescent="0.25">
      <c r="A641">
        <v>5911</v>
      </c>
      <c r="B641">
        <v>36785</v>
      </c>
      <c r="C641" t="s">
        <v>13</v>
      </c>
      <c r="D641" t="str">
        <f>HYPERLINK("https://users.rcc.uchicago.edu/~cozzyd/monutau/#event&amp;run=5911&amp;entry=36785", "link")</f>
        <v>link</v>
      </c>
      <c r="E641" t="s">
        <v>28</v>
      </c>
      <c r="F641" t="s">
        <v>11</v>
      </c>
    </row>
    <row r="642" spans="1:6" x14ac:dyDescent="0.25">
      <c r="A642">
        <v>5911</v>
      </c>
      <c r="B642">
        <v>36843</v>
      </c>
      <c r="C642" t="s">
        <v>13</v>
      </c>
      <c r="D642" t="str">
        <f>HYPERLINK("https://users.rcc.uchicago.edu/~cozzyd/monutau/#event&amp;run=5911&amp;entry=36843", "link")</f>
        <v>link</v>
      </c>
      <c r="E642" t="s">
        <v>28</v>
      </c>
      <c r="F642" t="s">
        <v>11</v>
      </c>
    </row>
    <row r="643" spans="1:6" x14ac:dyDescent="0.25">
      <c r="A643">
        <v>5911</v>
      </c>
      <c r="B643">
        <v>36934</v>
      </c>
      <c r="C643" t="s">
        <v>13</v>
      </c>
      <c r="D643" t="str">
        <f>HYPERLINK("https://users.rcc.uchicago.edu/~cozzyd/monutau/#event&amp;run=5911&amp;entry=36934", "link")</f>
        <v>link</v>
      </c>
      <c r="E643" t="s">
        <v>28</v>
      </c>
      <c r="F643" t="s">
        <v>11</v>
      </c>
    </row>
    <row r="644" spans="1:6" x14ac:dyDescent="0.25">
      <c r="A644">
        <v>5911</v>
      </c>
      <c r="B644">
        <v>37357</v>
      </c>
      <c r="C644" t="s">
        <v>13</v>
      </c>
      <c r="D644" t="str">
        <f>HYPERLINK("https://users.rcc.uchicago.edu/~cozzyd/monutau/#event&amp;run=5911&amp;entry=37357", "link")</f>
        <v>link</v>
      </c>
      <c r="E644" t="s">
        <v>28</v>
      </c>
      <c r="F644" t="s">
        <v>11</v>
      </c>
    </row>
    <row r="645" spans="1:6" x14ac:dyDescent="0.25">
      <c r="A645">
        <v>5911</v>
      </c>
      <c r="B645">
        <v>73399</v>
      </c>
      <c r="C645" t="s">
        <v>13</v>
      </c>
      <c r="D645" t="str">
        <f>HYPERLINK("https://users.rcc.uchicago.edu/~cozzyd/monutau/#event&amp;run=5911&amp;entry=73399", "link")</f>
        <v>link</v>
      </c>
      <c r="E645" t="s">
        <v>15</v>
      </c>
      <c r="F645" t="s">
        <v>11</v>
      </c>
    </row>
    <row r="646" spans="1:6" x14ac:dyDescent="0.25">
      <c r="A646">
        <v>5912</v>
      </c>
      <c r="B646">
        <v>80203</v>
      </c>
      <c r="C646" t="s">
        <v>6</v>
      </c>
      <c r="D646" t="str">
        <f>HYPERLINK("https://users.rcc.uchicago.edu/~cozzyd/monutau/#event&amp;run=5912&amp;entry=80203", "link")</f>
        <v>link</v>
      </c>
      <c r="E646" t="s">
        <v>6</v>
      </c>
      <c r="F646" t="s">
        <v>12</v>
      </c>
    </row>
    <row r="647" spans="1:6" x14ac:dyDescent="0.25">
      <c r="A647">
        <v>5912</v>
      </c>
      <c r="B647">
        <v>80588</v>
      </c>
      <c r="C647" t="s">
        <v>6</v>
      </c>
      <c r="D647" t="str">
        <f>HYPERLINK("https://users.rcc.uchicago.edu/~cozzyd/monutau/#event&amp;run=5912&amp;entry=80588", "link")</f>
        <v>link</v>
      </c>
      <c r="E647" t="s">
        <v>6</v>
      </c>
      <c r="F647" t="s">
        <v>12</v>
      </c>
    </row>
    <row r="648" spans="1:6" x14ac:dyDescent="0.25">
      <c r="A648">
        <v>5912</v>
      </c>
      <c r="B648">
        <v>89051</v>
      </c>
      <c r="C648" t="s">
        <v>6</v>
      </c>
      <c r="D648" t="str">
        <f>HYPERLINK("https://users.rcc.uchicago.edu/~cozzyd/monutau/#event&amp;run=5912&amp;entry=89051", "link")</f>
        <v>link</v>
      </c>
      <c r="E648" t="s">
        <v>6</v>
      </c>
      <c r="F648" t="s">
        <v>12</v>
      </c>
    </row>
    <row r="649" spans="1:6" x14ac:dyDescent="0.25">
      <c r="A649">
        <v>5913</v>
      </c>
      <c r="B649">
        <v>45044</v>
      </c>
      <c r="C649" t="s">
        <v>6</v>
      </c>
      <c r="D649" t="str">
        <f>HYPERLINK("https://users.rcc.uchicago.edu/~cozzyd/monutau/#event&amp;run=5913&amp;entry=45044", "link")</f>
        <v>link</v>
      </c>
      <c r="E649" t="s">
        <v>6</v>
      </c>
      <c r="F649" t="s">
        <v>11</v>
      </c>
    </row>
    <row r="650" spans="1:6" x14ac:dyDescent="0.25">
      <c r="A650">
        <v>5914</v>
      </c>
      <c r="B650">
        <v>65128</v>
      </c>
      <c r="C650" t="s">
        <v>6</v>
      </c>
      <c r="D650" t="str">
        <f>HYPERLINK("https://users.rcc.uchicago.edu/~cozzyd/monutau/#event&amp;run=5914&amp;entry=65128", "link")</f>
        <v>link</v>
      </c>
      <c r="E650" t="s">
        <v>6</v>
      </c>
      <c r="F650" t="s">
        <v>12</v>
      </c>
    </row>
    <row r="651" spans="1:6" x14ac:dyDescent="0.25">
      <c r="A651">
        <v>5914</v>
      </c>
      <c r="B651">
        <v>127429</v>
      </c>
      <c r="C651" t="s">
        <v>6</v>
      </c>
      <c r="D651" t="str">
        <f>HYPERLINK("https://users.rcc.uchicago.edu/~cozzyd/monutau/#event&amp;run=5914&amp;entry=127429", "link")</f>
        <v>link</v>
      </c>
      <c r="E651" t="s">
        <v>6</v>
      </c>
      <c r="F651" t="s">
        <v>11</v>
      </c>
    </row>
    <row r="652" spans="1:6" x14ac:dyDescent="0.25">
      <c r="A652">
        <v>5914</v>
      </c>
      <c r="B652">
        <v>127647</v>
      </c>
      <c r="C652" t="s">
        <v>6</v>
      </c>
      <c r="D652" t="str">
        <f>HYPERLINK("https://users.rcc.uchicago.edu/~cozzyd/monutau/#event&amp;run=5914&amp;entry=127647", "link")</f>
        <v>link</v>
      </c>
      <c r="E652" t="s">
        <v>6</v>
      </c>
      <c r="F652" t="s">
        <v>11</v>
      </c>
    </row>
    <row r="653" spans="1:6" x14ac:dyDescent="0.25">
      <c r="A653">
        <v>5914</v>
      </c>
      <c r="B653">
        <v>128269</v>
      </c>
      <c r="C653" t="s">
        <v>6</v>
      </c>
      <c r="D653" t="str">
        <f>HYPERLINK("https://users.rcc.uchicago.edu/~cozzyd/monutau/#event&amp;run=5914&amp;entry=128269", "link")</f>
        <v>link</v>
      </c>
      <c r="E653" t="s">
        <v>6</v>
      </c>
      <c r="F653" t="s">
        <v>7</v>
      </c>
    </row>
    <row r="654" spans="1:6" x14ac:dyDescent="0.25">
      <c r="A654">
        <v>5915</v>
      </c>
      <c r="B654">
        <v>55083</v>
      </c>
      <c r="C654" t="s">
        <v>6</v>
      </c>
      <c r="D654" t="str">
        <f>HYPERLINK("https://users.rcc.uchicago.edu/~cozzyd/monutau/#event&amp;run=5915&amp;entry=55083", "link")</f>
        <v>link</v>
      </c>
      <c r="E654" t="s">
        <v>6</v>
      </c>
      <c r="F654" t="s">
        <v>11</v>
      </c>
    </row>
    <row r="655" spans="1:6" x14ac:dyDescent="0.25">
      <c r="A655">
        <v>5918</v>
      </c>
      <c r="B655">
        <v>91821</v>
      </c>
      <c r="C655" t="s">
        <v>6</v>
      </c>
      <c r="D655" t="str">
        <f>HYPERLINK("https://users.rcc.uchicago.edu/~cozzyd/monutau/#event&amp;run=5918&amp;entry=91821", "link")</f>
        <v>link</v>
      </c>
      <c r="E655" t="s">
        <v>6</v>
      </c>
      <c r="F655" t="s">
        <v>7</v>
      </c>
    </row>
    <row r="656" spans="1:6" x14ac:dyDescent="0.25">
      <c r="A656">
        <v>5918</v>
      </c>
      <c r="B656">
        <v>123581</v>
      </c>
      <c r="C656" t="s">
        <v>6</v>
      </c>
      <c r="D656" t="str">
        <f>HYPERLINK("https://users.rcc.uchicago.edu/~cozzyd/monutau/#event&amp;run=5918&amp;entry=123581", "link")</f>
        <v>link</v>
      </c>
      <c r="E656" t="s">
        <v>6</v>
      </c>
      <c r="F656" t="s">
        <v>11</v>
      </c>
    </row>
    <row r="657" spans="1:6" x14ac:dyDescent="0.25">
      <c r="A657">
        <v>5919</v>
      </c>
      <c r="B657">
        <v>82352</v>
      </c>
      <c r="C657" t="s">
        <v>6</v>
      </c>
      <c r="D657" t="str">
        <f>HYPERLINK("https://users.rcc.uchicago.edu/~cozzyd/monutau/#event&amp;run=5919&amp;entry=82352", "link")</f>
        <v>link</v>
      </c>
      <c r="E657" t="s">
        <v>6</v>
      </c>
      <c r="F657" t="s">
        <v>12</v>
      </c>
    </row>
    <row r="658" spans="1:6" x14ac:dyDescent="0.25">
      <c r="A658">
        <v>5919</v>
      </c>
      <c r="B658">
        <v>99566</v>
      </c>
      <c r="C658" t="s">
        <v>6</v>
      </c>
      <c r="D658" t="str">
        <f>HYPERLINK("https://users.rcc.uchicago.edu/~cozzyd/monutau/#event&amp;run=5919&amp;entry=99566", "link")</f>
        <v>link</v>
      </c>
      <c r="E658" t="s">
        <v>6</v>
      </c>
      <c r="F658" t="s">
        <v>11</v>
      </c>
    </row>
    <row r="659" spans="1:6" x14ac:dyDescent="0.25">
      <c r="A659">
        <v>5920</v>
      </c>
      <c r="B659">
        <v>47062</v>
      </c>
      <c r="C659" t="s">
        <v>6</v>
      </c>
      <c r="D659" t="str">
        <f>HYPERLINK("https://users.rcc.uchicago.edu/~cozzyd/monutau/#event&amp;run=5920&amp;entry=47062", "link")</f>
        <v>link</v>
      </c>
      <c r="E659" t="s">
        <v>6</v>
      </c>
      <c r="F659" t="s">
        <v>11</v>
      </c>
    </row>
    <row r="660" spans="1:6" x14ac:dyDescent="0.25">
      <c r="A660">
        <v>5920</v>
      </c>
      <c r="B660">
        <v>57917</v>
      </c>
      <c r="C660" t="s">
        <v>6</v>
      </c>
      <c r="D660" t="str">
        <f>HYPERLINK("https://users.rcc.uchicago.edu/~cozzyd/monutau/#event&amp;run=5920&amp;entry=57917", "link")</f>
        <v>link</v>
      </c>
      <c r="E660" t="s">
        <v>6</v>
      </c>
      <c r="F660" t="s">
        <v>7</v>
      </c>
    </row>
    <row r="661" spans="1:6" x14ac:dyDescent="0.25">
      <c r="A661">
        <v>5920</v>
      </c>
      <c r="B661">
        <v>74113</v>
      </c>
      <c r="C661" t="s">
        <v>6</v>
      </c>
      <c r="D661" t="str">
        <f>HYPERLINK("https://users.rcc.uchicago.edu/~cozzyd/monutau/#event&amp;run=5920&amp;entry=74113", "link")</f>
        <v>link</v>
      </c>
      <c r="E661" t="s">
        <v>6</v>
      </c>
      <c r="F661" t="s">
        <v>11</v>
      </c>
    </row>
    <row r="662" spans="1:6" x14ac:dyDescent="0.25">
      <c r="A662">
        <v>5920</v>
      </c>
      <c r="B662">
        <v>110362</v>
      </c>
      <c r="C662" t="s">
        <v>6</v>
      </c>
      <c r="D662" t="str">
        <f>HYPERLINK("https://users.rcc.uchicago.edu/~cozzyd/monutau/#event&amp;run=5920&amp;entry=110362", "link")</f>
        <v>link</v>
      </c>
      <c r="E662" t="s">
        <v>6</v>
      </c>
      <c r="F662" t="s">
        <v>7</v>
      </c>
    </row>
    <row r="663" spans="1:6" x14ac:dyDescent="0.25">
      <c r="A663">
        <v>5921</v>
      </c>
      <c r="B663">
        <v>3965</v>
      </c>
      <c r="C663" t="s">
        <v>6</v>
      </c>
      <c r="D663" t="str">
        <f>HYPERLINK("https://users.rcc.uchicago.edu/~cozzyd/monutau/#event&amp;run=5921&amp;entry=3965", "link")</f>
        <v>link</v>
      </c>
      <c r="E663" t="s">
        <v>6</v>
      </c>
      <c r="F663" t="s">
        <v>7</v>
      </c>
    </row>
    <row r="664" spans="1:6" x14ac:dyDescent="0.25">
      <c r="A664">
        <v>5921</v>
      </c>
      <c r="B664">
        <v>9489</v>
      </c>
      <c r="C664" t="s">
        <v>6</v>
      </c>
      <c r="D664" t="str">
        <f>HYPERLINK("https://users.rcc.uchicago.edu/~cozzyd/monutau/#event&amp;run=5921&amp;entry=9489", "link")</f>
        <v>link</v>
      </c>
      <c r="E664" t="s">
        <v>6</v>
      </c>
      <c r="F664" t="s">
        <v>7</v>
      </c>
    </row>
    <row r="665" spans="1:6" x14ac:dyDescent="0.25">
      <c r="A665">
        <v>5921</v>
      </c>
      <c r="B665">
        <v>118692</v>
      </c>
      <c r="C665" t="s">
        <v>6</v>
      </c>
      <c r="D665" t="str">
        <f>HYPERLINK("https://users.rcc.uchicago.edu/~cozzyd/monutau/#event&amp;run=5921&amp;entry=118692", "link")</f>
        <v>link</v>
      </c>
      <c r="E665" t="s">
        <v>6</v>
      </c>
      <c r="F665" t="s">
        <v>12</v>
      </c>
    </row>
    <row r="666" spans="1:6" x14ac:dyDescent="0.25">
      <c r="A666">
        <v>5922</v>
      </c>
      <c r="B666">
        <v>57447</v>
      </c>
      <c r="C666" t="s">
        <v>6</v>
      </c>
      <c r="D666" t="str">
        <f>HYPERLINK("https://users.rcc.uchicago.edu/~cozzyd/monutau/#event&amp;run=5922&amp;entry=57447", "link")</f>
        <v>link</v>
      </c>
      <c r="E666" t="s">
        <v>6</v>
      </c>
      <c r="F666" t="s">
        <v>11</v>
      </c>
    </row>
    <row r="667" spans="1:6" x14ac:dyDescent="0.25">
      <c r="A667">
        <v>5924</v>
      </c>
      <c r="B667">
        <v>28436</v>
      </c>
      <c r="C667" t="s">
        <v>6</v>
      </c>
      <c r="D667" t="str">
        <f>HYPERLINK("https://users.rcc.uchicago.edu/~cozzyd/monutau/#event&amp;run=5924&amp;entry=28436", "link")</f>
        <v>link</v>
      </c>
      <c r="E667" t="s">
        <v>6</v>
      </c>
      <c r="F667" t="s">
        <v>11</v>
      </c>
    </row>
    <row r="668" spans="1:6" x14ac:dyDescent="0.25">
      <c r="A668">
        <v>5924</v>
      </c>
      <c r="B668">
        <v>49896</v>
      </c>
      <c r="C668" t="s">
        <v>6</v>
      </c>
      <c r="D668" t="str">
        <f>HYPERLINK("https://users.rcc.uchicago.edu/~cozzyd/monutau/#event&amp;run=5924&amp;entry=49896", "link")</f>
        <v>link</v>
      </c>
      <c r="E668" t="s">
        <v>6</v>
      </c>
      <c r="F668" t="s">
        <v>12</v>
      </c>
    </row>
    <row r="669" spans="1:6" x14ac:dyDescent="0.25">
      <c r="A669">
        <v>5925</v>
      </c>
      <c r="B669">
        <v>86283</v>
      </c>
      <c r="C669" t="s">
        <v>6</v>
      </c>
      <c r="D669" t="str">
        <f>HYPERLINK("https://users.rcc.uchicago.edu/~cozzyd/monutau/#event&amp;run=5925&amp;entry=86283", "link")</f>
        <v>link</v>
      </c>
      <c r="E669" t="s">
        <v>6</v>
      </c>
      <c r="F669" t="s">
        <v>12</v>
      </c>
    </row>
    <row r="670" spans="1:6" x14ac:dyDescent="0.25">
      <c r="A670">
        <v>5925</v>
      </c>
      <c r="B670">
        <v>100202</v>
      </c>
      <c r="C670" t="s">
        <v>6</v>
      </c>
      <c r="D670" t="str">
        <f>HYPERLINK("https://users.rcc.uchicago.edu/~cozzyd/monutau/#event&amp;run=5925&amp;entry=100202", "link")</f>
        <v>link</v>
      </c>
      <c r="E670" t="s">
        <v>6</v>
      </c>
      <c r="F670" t="s">
        <v>12</v>
      </c>
    </row>
    <row r="671" spans="1:6" x14ac:dyDescent="0.25">
      <c r="A671">
        <v>5926</v>
      </c>
      <c r="B671">
        <v>2705</v>
      </c>
      <c r="C671" t="s">
        <v>6</v>
      </c>
      <c r="D671" t="str">
        <f>HYPERLINK("https://users.rcc.uchicago.edu/~cozzyd/monutau/#event&amp;run=5926&amp;entry=2705", "link")</f>
        <v>link</v>
      </c>
      <c r="E671" t="s">
        <v>6</v>
      </c>
      <c r="F671" t="s">
        <v>12</v>
      </c>
    </row>
    <row r="672" spans="1:6" x14ac:dyDescent="0.25">
      <c r="A672">
        <v>5926</v>
      </c>
      <c r="B672">
        <v>110141</v>
      </c>
      <c r="C672" t="s">
        <v>6</v>
      </c>
      <c r="D672" t="str">
        <f>HYPERLINK("https://users.rcc.uchicago.edu/~cozzyd/monutau/#event&amp;run=5926&amp;entry=110141", "link")</f>
        <v>link</v>
      </c>
      <c r="E672" t="s">
        <v>6</v>
      </c>
      <c r="F672" t="s">
        <v>12</v>
      </c>
    </row>
    <row r="673" spans="1:6" x14ac:dyDescent="0.25">
      <c r="A673">
        <v>5927</v>
      </c>
      <c r="B673">
        <v>89449</v>
      </c>
      <c r="C673" t="s">
        <v>6</v>
      </c>
      <c r="D673" t="str">
        <f>HYPERLINK("https://users.rcc.uchicago.edu/~cozzyd/monutau/#event&amp;run=5927&amp;entry=89449", "link")</f>
        <v>link</v>
      </c>
      <c r="E673" t="s">
        <v>6</v>
      </c>
      <c r="F673" t="s">
        <v>11</v>
      </c>
    </row>
    <row r="674" spans="1:6" x14ac:dyDescent="0.25">
      <c r="A674">
        <v>5927</v>
      </c>
      <c r="B674">
        <v>105291</v>
      </c>
      <c r="C674" t="s">
        <v>8</v>
      </c>
      <c r="D674" t="str">
        <f>HYPERLINK("https://users.rcc.uchicago.edu/~cozzyd/monutau/#event&amp;run=5927&amp;entry=105291", "link")</f>
        <v>link</v>
      </c>
      <c r="E674" t="s">
        <v>9</v>
      </c>
      <c r="F674" t="s">
        <v>7</v>
      </c>
    </row>
    <row r="675" spans="1:6" x14ac:dyDescent="0.25">
      <c r="A675">
        <v>5927</v>
      </c>
      <c r="B675">
        <v>105307</v>
      </c>
      <c r="C675" t="s">
        <v>6</v>
      </c>
      <c r="D675" t="str">
        <f>HYPERLINK("https://users.rcc.uchicago.edu/~cozzyd/monutau/#event&amp;run=5927&amp;entry=105307", "link")</f>
        <v>link</v>
      </c>
      <c r="E675" t="s">
        <v>6</v>
      </c>
      <c r="F675" t="s">
        <v>7</v>
      </c>
    </row>
    <row r="676" spans="1:6" x14ac:dyDescent="0.25">
      <c r="A676">
        <v>5927</v>
      </c>
      <c r="B676">
        <v>121216</v>
      </c>
      <c r="C676" t="s">
        <v>6</v>
      </c>
      <c r="D676" t="str">
        <f>HYPERLINK("https://users.rcc.uchicago.edu/~cozzyd/monutau/#event&amp;run=5927&amp;entry=121216", "link")</f>
        <v>link</v>
      </c>
      <c r="E676" t="s">
        <v>6</v>
      </c>
      <c r="F676" t="s">
        <v>12</v>
      </c>
    </row>
    <row r="677" spans="1:6" x14ac:dyDescent="0.25">
      <c r="A677">
        <v>5928</v>
      </c>
      <c r="B677">
        <v>16730</v>
      </c>
      <c r="C677" t="s">
        <v>6</v>
      </c>
      <c r="D677" t="str">
        <f>HYPERLINK("https://users.rcc.uchicago.edu/~cozzyd/monutau/#event&amp;run=5928&amp;entry=16730", "link")</f>
        <v>link</v>
      </c>
      <c r="E677" t="s">
        <v>6</v>
      </c>
      <c r="F677" t="s">
        <v>7</v>
      </c>
    </row>
    <row r="678" spans="1:6" x14ac:dyDescent="0.25">
      <c r="A678">
        <v>5929</v>
      </c>
      <c r="B678">
        <v>2178</v>
      </c>
      <c r="C678" t="s">
        <v>6</v>
      </c>
      <c r="D678" t="str">
        <f>HYPERLINK("https://users.rcc.uchicago.edu/~cozzyd/monutau/#event&amp;run=5929&amp;entry=2178", "link")</f>
        <v>link</v>
      </c>
      <c r="E678" t="s">
        <v>6</v>
      </c>
      <c r="F678" t="s">
        <v>12</v>
      </c>
    </row>
    <row r="679" spans="1:6" x14ac:dyDescent="0.25">
      <c r="A679">
        <v>5931</v>
      </c>
      <c r="B679">
        <v>90253</v>
      </c>
      <c r="C679" t="s">
        <v>13</v>
      </c>
      <c r="D679" t="str">
        <f>HYPERLINK("https://users.rcc.uchicago.edu/~cozzyd/monutau/#event&amp;run=5931&amp;entry=90253", "link")</f>
        <v>link</v>
      </c>
      <c r="E679" t="s">
        <v>29</v>
      </c>
      <c r="F679" t="s">
        <v>11</v>
      </c>
    </row>
    <row r="680" spans="1:6" x14ac:dyDescent="0.25">
      <c r="A680">
        <v>5933</v>
      </c>
      <c r="B680">
        <v>43188</v>
      </c>
      <c r="C680" t="s">
        <v>6</v>
      </c>
      <c r="D680" t="str">
        <f>HYPERLINK("https://users.rcc.uchicago.edu/~cozzyd/monutau/#event&amp;run=5933&amp;entry=43188", "link")</f>
        <v>link</v>
      </c>
      <c r="E680" t="s">
        <v>6</v>
      </c>
      <c r="F680" t="s">
        <v>12</v>
      </c>
    </row>
    <row r="681" spans="1:6" x14ac:dyDescent="0.25">
      <c r="A681">
        <v>5933</v>
      </c>
      <c r="B681">
        <v>54923</v>
      </c>
      <c r="C681" t="s">
        <v>6</v>
      </c>
      <c r="D681" t="str">
        <f>HYPERLINK("https://users.rcc.uchicago.edu/~cozzyd/monutau/#event&amp;run=5933&amp;entry=54923", "link")</f>
        <v>link</v>
      </c>
      <c r="E681" t="s">
        <v>6</v>
      </c>
      <c r="F681" t="s">
        <v>12</v>
      </c>
    </row>
    <row r="682" spans="1:6" x14ac:dyDescent="0.25">
      <c r="A682">
        <v>5933</v>
      </c>
      <c r="B682">
        <v>81710</v>
      </c>
      <c r="C682" t="s">
        <v>6</v>
      </c>
      <c r="D682" t="str">
        <f>HYPERLINK("https://users.rcc.uchicago.edu/~cozzyd/monutau/#event&amp;run=5933&amp;entry=81710", "link")</f>
        <v>link</v>
      </c>
      <c r="E682" t="s">
        <v>6</v>
      </c>
      <c r="F682" t="s">
        <v>11</v>
      </c>
    </row>
    <row r="683" spans="1:6" x14ac:dyDescent="0.25">
      <c r="A683">
        <v>5934</v>
      </c>
      <c r="B683">
        <v>54932</v>
      </c>
      <c r="C683" t="s">
        <v>6</v>
      </c>
      <c r="D683" t="str">
        <f>HYPERLINK("https://users.rcc.uchicago.edu/~cozzyd/monutau/#event&amp;run=5934&amp;entry=54932", "link")</f>
        <v>link</v>
      </c>
      <c r="E683" t="s">
        <v>6</v>
      </c>
      <c r="F683" t="s">
        <v>11</v>
      </c>
    </row>
    <row r="684" spans="1:6" x14ac:dyDescent="0.25">
      <c r="A684">
        <v>5937</v>
      </c>
      <c r="B684">
        <v>23890</v>
      </c>
      <c r="C684" t="s">
        <v>6</v>
      </c>
      <c r="D684" t="str">
        <f>HYPERLINK("https://users.rcc.uchicago.edu/~cozzyd/monutau/#event&amp;run=5937&amp;entry=23890", "link")</f>
        <v>link</v>
      </c>
      <c r="E684" t="s">
        <v>6</v>
      </c>
      <c r="F684" t="s">
        <v>12</v>
      </c>
    </row>
    <row r="685" spans="1:6" x14ac:dyDescent="0.25">
      <c r="A685">
        <v>5941</v>
      </c>
      <c r="B685">
        <v>76272</v>
      </c>
      <c r="C685" t="s">
        <v>6</v>
      </c>
      <c r="D685" t="str">
        <f>HYPERLINK("https://users.rcc.uchicago.edu/~cozzyd/monutau/#event&amp;run=5941&amp;entry=76272", "link")</f>
        <v>link</v>
      </c>
      <c r="E685" t="s">
        <v>6</v>
      </c>
      <c r="F685" t="s">
        <v>12</v>
      </c>
    </row>
    <row r="686" spans="1:6" x14ac:dyDescent="0.25">
      <c r="A686">
        <v>5942</v>
      </c>
      <c r="B686">
        <v>47971</v>
      </c>
      <c r="C686" t="s">
        <v>8</v>
      </c>
      <c r="D686" t="str">
        <f>HYPERLINK("https://users.rcc.uchicago.edu/~cozzyd/monutau/#event&amp;run=5942&amp;entry=47971", "link")</f>
        <v>link</v>
      </c>
      <c r="E686" t="s">
        <v>9</v>
      </c>
      <c r="F686" t="s">
        <v>11</v>
      </c>
    </row>
    <row r="687" spans="1:6" x14ac:dyDescent="0.25">
      <c r="A687">
        <v>5943</v>
      </c>
      <c r="B687">
        <v>78152</v>
      </c>
      <c r="C687" t="s">
        <v>6</v>
      </c>
      <c r="D687" t="str">
        <f>HYPERLINK("https://users.rcc.uchicago.edu/~cozzyd/monutau/#event&amp;run=5943&amp;entry=78152", "link")</f>
        <v>link</v>
      </c>
      <c r="E687" t="s">
        <v>6</v>
      </c>
      <c r="F687" t="s">
        <v>12</v>
      </c>
    </row>
    <row r="688" spans="1:6" x14ac:dyDescent="0.25">
      <c r="A688">
        <v>5943</v>
      </c>
      <c r="B688">
        <v>81030</v>
      </c>
      <c r="C688" t="s">
        <v>6</v>
      </c>
      <c r="D688" t="str">
        <f>HYPERLINK("https://users.rcc.uchicago.edu/~cozzyd/monutau/#event&amp;run=5943&amp;entry=81030", "link")</f>
        <v>link</v>
      </c>
      <c r="E688" t="s">
        <v>6</v>
      </c>
      <c r="F688" t="s">
        <v>10</v>
      </c>
    </row>
    <row r="689" spans="1:6" x14ac:dyDescent="0.25">
      <c r="A689">
        <v>5946</v>
      </c>
      <c r="B689">
        <v>123519</v>
      </c>
      <c r="C689" t="s">
        <v>6</v>
      </c>
      <c r="D689" t="str">
        <f>HYPERLINK("https://users.rcc.uchicago.edu/~cozzyd/monutau/#event&amp;run=5946&amp;entry=123519", "link")</f>
        <v>link</v>
      </c>
      <c r="E689" t="s">
        <v>6</v>
      </c>
      <c r="F689" t="s">
        <v>12</v>
      </c>
    </row>
    <row r="690" spans="1:6" x14ac:dyDescent="0.25">
      <c r="A690">
        <v>5951</v>
      </c>
      <c r="B690">
        <v>3886</v>
      </c>
      <c r="C690" t="s">
        <v>6</v>
      </c>
      <c r="D690" t="str">
        <f>HYPERLINK("https://users.rcc.uchicago.edu/~cozzyd/monutau/#event&amp;run=5951&amp;entry=3886", "link")</f>
        <v>link</v>
      </c>
      <c r="E690" t="s">
        <v>6</v>
      </c>
      <c r="F690" t="s">
        <v>12</v>
      </c>
    </row>
    <row r="691" spans="1:6" x14ac:dyDescent="0.25">
      <c r="A691">
        <v>5952</v>
      </c>
      <c r="B691">
        <v>5542</v>
      </c>
      <c r="C691" t="s">
        <v>6</v>
      </c>
      <c r="D691" t="str">
        <f>HYPERLINK("https://users.rcc.uchicago.edu/~cozzyd/monutau/#event&amp;run=5952&amp;entry=5542", "link")</f>
        <v>link</v>
      </c>
      <c r="E691" t="s">
        <v>6</v>
      </c>
      <c r="F691" t="s">
        <v>12</v>
      </c>
    </row>
    <row r="692" spans="1:6" x14ac:dyDescent="0.25">
      <c r="A692">
        <v>5953</v>
      </c>
      <c r="B692">
        <v>117735</v>
      </c>
      <c r="C692" t="s">
        <v>8</v>
      </c>
      <c r="D692" t="str">
        <f>HYPERLINK("https://users.rcc.uchicago.edu/~cozzyd/monutau/#event&amp;run=5953&amp;entry=117735", "link")</f>
        <v>link</v>
      </c>
      <c r="E692" t="s">
        <v>9</v>
      </c>
      <c r="F692" t="s">
        <v>11</v>
      </c>
    </row>
    <row r="693" spans="1:6" x14ac:dyDescent="0.25">
      <c r="A693">
        <v>5954</v>
      </c>
      <c r="B693">
        <v>101373</v>
      </c>
      <c r="C693" t="s">
        <v>13</v>
      </c>
      <c r="D693" t="str">
        <f>HYPERLINK("https://users.rcc.uchicago.edu/~cozzyd/monutau/#event&amp;run=5954&amp;entry=101373", "link")</f>
        <v>link</v>
      </c>
      <c r="E693" t="s">
        <v>30</v>
      </c>
      <c r="F693" t="s">
        <v>11</v>
      </c>
    </row>
    <row r="694" spans="1:6" x14ac:dyDescent="0.25">
      <c r="A694">
        <v>5954</v>
      </c>
      <c r="B694">
        <v>101603</v>
      </c>
      <c r="C694" t="s">
        <v>13</v>
      </c>
      <c r="D694" t="str">
        <f>HYPERLINK("https://users.rcc.uchicago.edu/~cozzyd/monutau/#event&amp;run=5954&amp;entry=101603", "link")</f>
        <v>link</v>
      </c>
      <c r="E694" t="s">
        <v>30</v>
      </c>
      <c r="F694" t="s">
        <v>11</v>
      </c>
    </row>
    <row r="695" spans="1:6" x14ac:dyDescent="0.25">
      <c r="A695">
        <v>5954</v>
      </c>
      <c r="B695">
        <v>101611</v>
      </c>
      <c r="C695" t="s">
        <v>13</v>
      </c>
      <c r="D695" t="str">
        <f>HYPERLINK("https://users.rcc.uchicago.edu/~cozzyd/monutau/#event&amp;run=5954&amp;entry=101611", "link")</f>
        <v>link</v>
      </c>
      <c r="E695" t="s">
        <v>30</v>
      </c>
      <c r="F695" t="s">
        <v>11</v>
      </c>
    </row>
    <row r="696" spans="1:6" x14ac:dyDescent="0.25">
      <c r="A696">
        <v>5954</v>
      </c>
      <c r="B696">
        <v>101729</v>
      </c>
      <c r="C696" t="s">
        <v>13</v>
      </c>
      <c r="D696" t="str">
        <f>HYPERLINK("https://users.rcc.uchicago.edu/~cozzyd/monutau/#event&amp;run=5954&amp;entry=101729", "link")</f>
        <v>link</v>
      </c>
      <c r="E696" t="s">
        <v>30</v>
      </c>
      <c r="F696" t="s">
        <v>11</v>
      </c>
    </row>
    <row r="697" spans="1:6" x14ac:dyDescent="0.25">
      <c r="A697">
        <v>5954</v>
      </c>
      <c r="B697">
        <v>101790</v>
      </c>
      <c r="C697" t="s">
        <v>13</v>
      </c>
      <c r="D697" t="str">
        <f>HYPERLINK("https://users.rcc.uchicago.edu/~cozzyd/monutau/#event&amp;run=5954&amp;entry=101790", "link")</f>
        <v>link</v>
      </c>
      <c r="E697" t="s">
        <v>30</v>
      </c>
      <c r="F697" t="s">
        <v>11</v>
      </c>
    </row>
    <row r="698" spans="1:6" x14ac:dyDescent="0.25">
      <c r="A698">
        <v>5954</v>
      </c>
      <c r="B698">
        <v>101868</v>
      </c>
      <c r="C698" t="s">
        <v>13</v>
      </c>
      <c r="D698" t="str">
        <f>HYPERLINK("https://users.rcc.uchicago.edu/~cozzyd/monutau/#event&amp;run=5954&amp;entry=101868", "link")</f>
        <v>link</v>
      </c>
      <c r="E698" t="s">
        <v>30</v>
      </c>
      <c r="F698" t="s">
        <v>11</v>
      </c>
    </row>
    <row r="699" spans="1:6" x14ac:dyDescent="0.25">
      <c r="A699">
        <v>5954</v>
      </c>
      <c r="B699">
        <v>101978</v>
      </c>
      <c r="C699" t="s">
        <v>13</v>
      </c>
      <c r="D699" t="str">
        <f>HYPERLINK("https://users.rcc.uchicago.edu/~cozzyd/monutau/#event&amp;run=5954&amp;entry=101978", "link")</f>
        <v>link</v>
      </c>
      <c r="E699" t="s">
        <v>30</v>
      </c>
      <c r="F699" t="s">
        <v>11</v>
      </c>
    </row>
    <row r="700" spans="1:6" x14ac:dyDescent="0.25">
      <c r="A700">
        <v>5954</v>
      </c>
      <c r="B700">
        <v>102046</v>
      </c>
      <c r="C700" t="s">
        <v>13</v>
      </c>
      <c r="D700" t="str">
        <f>HYPERLINK("https://users.rcc.uchicago.edu/~cozzyd/monutau/#event&amp;run=5954&amp;entry=102046", "link")</f>
        <v>link</v>
      </c>
      <c r="E700" t="s">
        <v>30</v>
      </c>
      <c r="F700" t="s">
        <v>11</v>
      </c>
    </row>
    <row r="701" spans="1:6" x14ac:dyDescent="0.25">
      <c r="A701">
        <v>5954</v>
      </c>
      <c r="B701">
        <v>102122</v>
      </c>
      <c r="C701" t="s">
        <v>13</v>
      </c>
      <c r="D701" t="str">
        <f>HYPERLINK("https://users.rcc.uchicago.edu/~cozzyd/monutau/#event&amp;run=5954&amp;entry=102122", "link")</f>
        <v>link</v>
      </c>
      <c r="E701" t="s">
        <v>30</v>
      </c>
      <c r="F701" t="s">
        <v>11</v>
      </c>
    </row>
    <row r="702" spans="1:6" x14ac:dyDescent="0.25">
      <c r="A702">
        <v>5954</v>
      </c>
      <c r="B702">
        <v>102142</v>
      </c>
      <c r="C702" t="s">
        <v>13</v>
      </c>
      <c r="D702" t="str">
        <f>HYPERLINK("https://users.rcc.uchicago.edu/~cozzyd/monutau/#event&amp;run=5954&amp;entry=102142", "link")</f>
        <v>link</v>
      </c>
      <c r="E702" t="s">
        <v>30</v>
      </c>
      <c r="F702" t="s">
        <v>11</v>
      </c>
    </row>
    <row r="703" spans="1:6" x14ac:dyDescent="0.25">
      <c r="A703">
        <v>5954</v>
      </c>
      <c r="B703">
        <v>102164</v>
      </c>
      <c r="C703" t="s">
        <v>13</v>
      </c>
      <c r="D703" t="str">
        <f>HYPERLINK("https://users.rcc.uchicago.edu/~cozzyd/monutau/#event&amp;run=5954&amp;entry=102164", "link")</f>
        <v>link</v>
      </c>
      <c r="E703" t="s">
        <v>30</v>
      </c>
      <c r="F703" t="s">
        <v>11</v>
      </c>
    </row>
    <row r="704" spans="1:6" x14ac:dyDescent="0.25">
      <c r="A704">
        <v>5954</v>
      </c>
      <c r="B704">
        <v>102169</v>
      </c>
      <c r="C704" t="s">
        <v>13</v>
      </c>
      <c r="D704" t="str">
        <f>HYPERLINK("https://users.rcc.uchicago.edu/~cozzyd/monutau/#event&amp;run=5954&amp;entry=102169", "link")</f>
        <v>link</v>
      </c>
      <c r="E704" t="s">
        <v>30</v>
      </c>
      <c r="F704" t="s">
        <v>11</v>
      </c>
    </row>
    <row r="705" spans="1:6" x14ac:dyDescent="0.25">
      <c r="A705">
        <v>5954</v>
      </c>
      <c r="B705">
        <v>103002</v>
      </c>
      <c r="C705" t="s">
        <v>13</v>
      </c>
      <c r="D705" t="str">
        <f>HYPERLINK("https://users.rcc.uchicago.edu/~cozzyd/monutau/#event&amp;run=5954&amp;entry=103002", "link")</f>
        <v>link</v>
      </c>
      <c r="E705" t="s">
        <v>30</v>
      </c>
      <c r="F705" t="s">
        <v>11</v>
      </c>
    </row>
    <row r="706" spans="1:6" x14ac:dyDescent="0.25">
      <c r="A706">
        <v>5956</v>
      </c>
      <c r="B706">
        <v>17497</v>
      </c>
      <c r="C706" t="s">
        <v>6</v>
      </c>
      <c r="D706" t="str">
        <f>HYPERLINK("https://users.rcc.uchicago.edu/~cozzyd/monutau/#event&amp;run=5956&amp;entry=17497", "link")</f>
        <v>link</v>
      </c>
      <c r="E706" t="s">
        <v>6</v>
      </c>
      <c r="F706" t="s">
        <v>11</v>
      </c>
    </row>
    <row r="707" spans="1:6" x14ac:dyDescent="0.25">
      <c r="A707">
        <v>5957</v>
      </c>
      <c r="B707">
        <v>11696</v>
      </c>
      <c r="C707" t="s">
        <v>6</v>
      </c>
      <c r="D707" t="str">
        <f>HYPERLINK("https://users.rcc.uchicago.edu/~cozzyd/monutau/#event&amp;run=5957&amp;entry=11696", "link")</f>
        <v>link</v>
      </c>
      <c r="E707" t="s">
        <v>6</v>
      </c>
      <c r="F707" t="s">
        <v>7</v>
      </c>
    </row>
    <row r="708" spans="1:6" x14ac:dyDescent="0.25">
      <c r="A708">
        <v>5957</v>
      </c>
      <c r="B708">
        <v>66012</v>
      </c>
      <c r="C708" t="s">
        <v>6</v>
      </c>
      <c r="D708" t="str">
        <f>HYPERLINK("https://users.rcc.uchicago.edu/~cozzyd/monutau/#event&amp;run=5957&amp;entry=66012", "link")</f>
        <v>link</v>
      </c>
      <c r="E708" t="s">
        <v>6</v>
      </c>
      <c r="F708" t="s">
        <v>12</v>
      </c>
    </row>
    <row r="709" spans="1:6" x14ac:dyDescent="0.25">
      <c r="A709">
        <v>5957</v>
      </c>
      <c r="B709">
        <v>71399</v>
      </c>
      <c r="C709" t="s">
        <v>13</v>
      </c>
      <c r="D709" t="str">
        <f>HYPERLINK("https://users.rcc.uchicago.edu/~cozzyd/monutau/#event&amp;run=5957&amp;entry=71399", "link")</f>
        <v>link</v>
      </c>
      <c r="E709" t="s">
        <v>15</v>
      </c>
      <c r="F709" t="s">
        <v>10</v>
      </c>
    </row>
    <row r="710" spans="1:6" x14ac:dyDescent="0.25">
      <c r="A710">
        <v>5957</v>
      </c>
      <c r="B710">
        <v>72993</v>
      </c>
      <c r="C710" t="s">
        <v>6</v>
      </c>
      <c r="D710" t="str">
        <f>HYPERLINK("https://users.rcc.uchicago.edu/~cozzyd/monutau/#event&amp;run=5957&amp;entry=72993", "link")</f>
        <v>link</v>
      </c>
      <c r="E710" t="s">
        <v>6</v>
      </c>
      <c r="F710" t="s">
        <v>12</v>
      </c>
    </row>
    <row r="711" spans="1:6" x14ac:dyDescent="0.25">
      <c r="A711">
        <v>5958</v>
      </c>
      <c r="B711">
        <v>2834</v>
      </c>
      <c r="C711" t="s">
        <v>6</v>
      </c>
      <c r="D711" t="str">
        <f>HYPERLINK("https://users.rcc.uchicago.edu/~cozzyd/monutau/#event&amp;run=5958&amp;entry=2834", "link")</f>
        <v>link</v>
      </c>
      <c r="E711" t="s">
        <v>6</v>
      </c>
      <c r="F711" t="s">
        <v>10</v>
      </c>
    </row>
    <row r="712" spans="1:6" x14ac:dyDescent="0.25">
      <c r="A712">
        <v>5958</v>
      </c>
      <c r="B712">
        <v>23494</v>
      </c>
      <c r="C712" t="s">
        <v>13</v>
      </c>
      <c r="D712" t="str">
        <f>HYPERLINK("https://users.rcc.uchicago.edu/~cozzyd/monutau/#event&amp;run=5958&amp;entry=23494", "link")</f>
        <v>link</v>
      </c>
      <c r="E712" t="s">
        <v>31</v>
      </c>
      <c r="F712" t="s">
        <v>11</v>
      </c>
    </row>
    <row r="713" spans="1:6" x14ac:dyDescent="0.25">
      <c r="A713">
        <v>5958</v>
      </c>
      <c r="B713">
        <v>100877</v>
      </c>
      <c r="C713" t="s">
        <v>6</v>
      </c>
      <c r="D713" t="str">
        <f>HYPERLINK("https://users.rcc.uchicago.edu/~cozzyd/monutau/#event&amp;run=5958&amp;entry=100877", "link")</f>
        <v>link</v>
      </c>
      <c r="E713" t="s">
        <v>6</v>
      </c>
      <c r="F713" t="s">
        <v>12</v>
      </c>
    </row>
    <row r="714" spans="1:6" x14ac:dyDescent="0.25">
      <c r="A714">
        <v>5959</v>
      </c>
      <c r="B714">
        <v>16496</v>
      </c>
      <c r="C714" t="s">
        <v>6</v>
      </c>
      <c r="D714" t="str">
        <f>HYPERLINK("https://users.rcc.uchicago.edu/~cozzyd/monutau/#event&amp;run=5959&amp;entry=16496", "link")</f>
        <v>link</v>
      </c>
      <c r="E714" t="s">
        <v>6</v>
      </c>
      <c r="F714" t="s">
        <v>7</v>
      </c>
    </row>
    <row r="715" spans="1:6" x14ac:dyDescent="0.25">
      <c r="A715">
        <v>5959</v>
      </c>
      <c r="B715">
        <v>34918</v>
      </c>
      <c r="C715" t="s">
        <v>6</v>
      </c>
      <c r="D715" t="str">
        <f>HYPERLINK("https://users.rcc.uchicago.edu/~cozzyd/monutau/#event&amp;run=5959&amp;entry=34918", "link")</f>
        <v>link</v>
      </c>
      <c r="E715" t="s">
        <v>6</v>
      </c>
      <c r="F715" t="s">
        <v>12</v>
      </c>
    </row>
    <row r="716" spans="1:6" x14ac:dyDescent="0.25">
      <c r="A716">
        <v>5959</v>
      </c>
      <c r="B716">
        <v>44087</v>
      </c>
      <c r="C716" t="s">
        <v>6</v>
      </c>
      <c r="D716" t="str">
        <f>HYPERLINK("https://users.rcc.uchicago.edu/~cozzyd/monutau/#event&amp;run=5959&amp;entry=44087", "link")</f>
        <v>link</v>
      </c>
      <c r="E716" t="s">
        <v>6</v>
      </c>
      <c r="F716" t="s">
        <v>11</v>
      </c>
    </row>
    <row r="717" spans="1:6" x14ac:dyDescent="0.25">
      <c r="A717">
        <v>5959</v>
      </c>
      <c r="B717">
        <v>49041</v>
      </c>
      <c r="C717" t="s">
        <v>6</v>
      </c>
      <c r="D717" t="str">
        <f>HYPERLINK("https://users.rcc.uchicago.edu/~cozzyd/monutau/#event&amp;run=5959&amp;entry=49041", "link")</f>
        <v>link</v>
      </c>
      <c r="E717" t="s">
        <v>6</v>
      </c>
      <c r="F717" t="s">
        <v>7</v>
      </c>
    </row>
    <row r="718" spans="1:6" x14ac:dyDescent="0.25">
      <c r="A718">
        <v>5960</v>
      </c>
      <c r="B718">
        <v>11128</v>
      </c>
      <c r="C718" t="s">
        <v>6</v>
      </c>
      <c r="D718" t="str">
        <f>HYPERLINK("https://users.rcc.uchicago.edu/~cozzyd/monutau/#event&amp;run=5960&amp;entry=11128", "link")</f>
        <v>link</v>
      </c>
      <c r="E718" t="s">
        <v>6</v>
      </c>
      <c r="F718" t="s">
        <v>7</v>
      </c>
    </row>
    <row r="719" spans="1:6" x14ac:dyDescent="0.25">
      <c r="A719">
        <v>5960</v>
      </c>
      <c r="B719">
        <v>14815</v>
      </c>
      <c r="C719" t="s">
        <v>6</v>
      </c>
      <c r="D719" t="str">
        <f>HYPERLINK("https://users.rcc.uchicago.edu/~cozzyd/monutau/#event&amp;run=5960&amp;entry=14815", "link")</f>
        <v>link</v>
      </c>
      <c r="E719" t="s">
        <v>6</v>
      </c>
      <c r="F719" t="s">
        <v>7</v>
      </c>
    </row>
    <row r="720" spans="1:6" x14ac:dyDescent="0.25">
      <c r="A720">
        <v>5960</v>
      </c>
      <c r="B720">
        <v>19413</v>
      </c>
      <c r="C720" t="s">
        <v>6</v>
      </c>
      <c r="D720" t="str">
        <f>HYPERLINK("https://users.rcc.uchicago.edu/~cozzyd/monutau/#event&amp;run=5960&amp;entry=19413", "link")</f>
        <v>link</v>
      </c>
      <c r="E720" t="s">
        <v>6</v>
      </c>
      <c r="F720" t="s">
        <v>7</v>
      </c>
    </row>
    <row r="721" spans="1:6" x14ac:dyDescent="0.25">
      <c r="A721">
        <v>5960</v>
      </c>
      <c r="B721">
        <v>59868</v>
      </c>
      <c r="C721" t="s">
        <v>6</v>
      </c>
      <c r="D721" t="str">
        <f>HYPERLINK("https://users.rcc.uchicago.edu/~cozzyd/monutau/#event&amp;run=5960&amp;entry=59868", "link")</f>
        <v>link</v>
      </c>
      <c r="E721" t="s">
        <v>6</v>
      </c>
      <c r="F721" t="s">
        <v>7</v>
      </c>
    </row>
    <row r="722" spans="1:6" x14ac:dyDescent="0.25">
      <c r="A722">
        <v>5960</v>
      </c>
      <c r="B722">
        <v>90467</v>
      </c>
      <c r="C722" t="s">
        <v>6</v>
      </c>
      <c r="D722" t="str">
        <f>HYPERLINK("https://users.rcc.uchicago.edu/~cozzyd/monutau/#event&amp;run=5960&amp;entry=90467", "link")</f>
        <v>link</v>
      </c>
      <c r="E722" t="s">
        <v>6</v>
      </c>
      <c r="F722" t="s">
        <v>12</v>
      </c>
    </row>
    <row r="723" spans="1:6" x14ac:dyDescent="0.25">
      <c r="A723">
        <v>5960</v>
      </c>
      <c r="B723">
        <v>103005</v>
      </c>
      <c r="C723" t="s">
        <v>6</v>
      </c>
      <c r="D723" t="str">
        <f>HYPERLINK("https://users.rcc.uchicago.edu/~cozzyd/monutau/#event&amp;run=5960&amp;entry=103005", "link")</f>
        <v>link</v>
      </c>
      <c r="E723" t="s">
        <v>6</v>
      </c>
      <c r="F723" t="s">
        <v>12</v>
      </c>
    </row>
    <row r="724" spans="1:6" x14ac:dyDescent="0.25">
      <c r="A724">
        <v>5961</v>
      </c>
      <c r="B724">
        <v>37726</v>
      </c>
      <c r="C724" t="s">
        <v>6</v>
      </c>
      <c r="D724" t="str">
        <f>HYPERLINK("https://users.rcc.uchicago.edu/~cozzyd/monutau/#event&amp;run=5961&amp;entry=37726", "link")</f>
        <v>link</v>
      </c>
      <c r="E724" t="s">
        <v>6</v>
      </c>
      <c r="F724" t="s">
        <v>11</v>
      </c>
    </row>
    <row r="725" spans="1:6" x14ac:dyDescent="0.25">
      <c r="A725">
        <v>5961</v>
      </c>
      <c r="B725">
        <v>75850</v>
      </c>
      <c r="C725" t="s">
        <v>6</v>
      </c>
      <c r="D725" t="str">
        <f>HYPERLINK("https://users.rcc.uchicago.edu/~cozzyd/monutau/#event&amp;run=5961&amp;entry=75850", "link")</f>
        <v>link</v>
      </c>
      <c r="E725" t="s">
        <v>6</v>
      </c>
      <c r="F725" t="s">
        <v>11</v>
      </c>
    </row>
    <row r="726" spans="1:6" x14ac:dyDescent="0.25">
      <c r="A726">
        <v>5961</v>
      </c>
      <c r="B726">
        <v>82734</v>
      </c>
      <c r="C726" t="s">
        <v>13</v>
      </c>
      <c r="D726" t="str">
        <f>HYPERLINK("https://users.rcc.uchicago.edu/~cozzyd/monutau/#event&amp;run=5961&amp;entry=82734", "link")</f>
        <v>link</v>
      </c>
      <c r="E726" t="s">
        <v>32</v>
      </c>
      <c r="F726" t="s">
        <v>11</v>
      </c>
    </row>
    <row r="727" spans="1:6" x14ac:dyDescent="0.25">
      <c r="A727">
        <v>5961</v>
      </c>
      <c r="B727">
        <v>82787</v>
      </c>
      <c r="C727" t="s">
        <v>13</v>
      </c>
      <c r="D727" t="str">
        <f>HYPERLINK("https://users.rcc.uchicago.edu/~cozzyd/monutau/#event&amp;run=5961&amp;entry=82787", "link")</f>
        <v>link</v>
      </c>
      <c r="E727" t="s">
        <v>32</v>
      </c>
      <c r="F727" t="s">
        <v>11</v>
      </c>
    </row>
    <row r="728" spans="1:6" x14ac:dyDescent="0.25">
      <c r="A728">
        <v>5961</v>
      </c>
      <c r="B728">
        <v>82848</v>
      </c>
      <c r="C728" t="s">
        <v>13</v>
      </c>
      <c r="D728" t="str">
        <f>HYPERLINK("https://users.rcc.uchicago.edu/~cozzyd/monutau/#event&amp;run=5961&amp;entry=82848", "link")</f>
        <v>link</v>
      </c>
      <c r="E728" t="s">
        <v>32</v>
      </c>
      <c r="F728" t="s">
        <v>11</v>
      </c>
    </row>
    <row r="729" spans="1:6" x14ac:dyDescent="0.25">
      <c r="A729">
        <v>5961</v>
      </c>
      <c r="B729">
        <v>82861</v>
      </c>
      <c r="C729" t="s">
        <v>13</v>
      </c>
      <c r="D729" t="str">
        <f>HYPERLINK("https://users.rcc.uchicago.edu/~cozzyd/monutau/#event&amp;run=5961&amp;entry=82861", "link")</f>
        <v>link</v>
      </c>
      <c r="E729" t="s">
        <v>32</v>
      </c>
      <c r="F729" t="s">
        <v>11</v>
      </c>
    </row>
    <row r="730" spans="1:6" x14ac:dyDescent="0.25">
      <c r="A730">
        <v>5962</v>
      </c>
      <c r="B730">
        <v>94810</v>
      </c>
      <c r="C730" t="s">
        <v>6</v>
      </c>
      <c r="D730" t="str">
        <f>HYPERLINK("https://users.rcc.uchicago.edu/~cozzyd/monutau/#event&amp;run=5962&amp;entry=94810", "link")</f>
        <v>link</v>
      </c>
      <c r="E730" t="s">
        <v>6</v>
      </c>
      <c r="F730" t="s">
        <v>12</v>
      </c>
    </row>
    <row r="731" spans="1:6" x14ac:dyDescent="0.25">
      <c r="A731">
        <v>5963</v>
      </c>
      <c r="B731">
        <v>35995</v>
      </c>
      <c r="C731" t="s">
        <v>6</v>
      </c>
      <c r="D731" t="str">
        <f>HYPERLINK("https://users.rcc.uchicago.edu/~cozzyd/monutau/#event&amp;run=5963&amp;entry=35995", "link")</f>
        <v>link</v>
      </c>
      <c r="E731" t="s">
        <v>6</v>
      </c>
      <c r="F731" t="s">
        <v>7</v>
      </c>
    </row>
    <row r="732" spans="1:6" x14ac:dyDescent="0.25">
      <c r="A732">
        <v>5963</v>
      </c>
      <c r="B732">
        <v>44129</v>
      </c>
      <c r="C732" t="s">
        <v>6</v>
      </c>
      <c r="D732" t="str">
        <f>HYPERLINK("https://users.rcc.uchicago.edu/~cozzyd/monutau/#event&amp;run=5963&amp;entry=44129", "link")</f>
        <v>link</v>
      </c>
      <c r="E732" t="s">
        <v>6</v>
      </c>
      <c r="F732" t="s">
        <v>11</v>
      </c>
    </row>
    <row r="733" spans="1:6" x14ac:dyDescent="0.25">
      <c r="A733">
        <v>5963</v>
      </c>
      <c r="B733">
        <v>50519</v>
      </c>
      <c r="C733" t="s">
        <v>6</v>
      </c>
      <c r="D733" t="str">
        <f>HYPERLINK("https://users.rcc.uchicago.edu/~cozzyd/monutau/#event&amp;run=5963&amp;entry=50519", "link")</f>
        <v>link</v>
      </c>
      <c r="E733" t="s">
        <v>6</v>
      </c>
      <c r="F733" t="s">
        <v>12</v>
      </c>
    </row>
    <row r="734" spans="1:6" x14ac:dyDescent="0.25">
      <c r="A734">
        <v>5963</v>
      </c>
      <c r="B734">
        <v>68402</v>
      </c>
      <c r="C734" t="s">
        <v>6</v>
      </c>
      <c r="D734" t="str">
        <f>HYPERLINK("https://users.rcc.uchicago.edu/~cozzyd/monutau/#event&amp;run=5963&amp;entry=68402", "link")</f>
        <v>link</v>
      </c>
      <c r="E734" t="s">
        <v>6</v>
      </c>
      <c r="F734" t="s">
        <v>12</v>
      </c>
    </row>
    <row r="735" spans="1:6" x14ac:dyDescent="0.25">
      <c r="A735">
        <v>5963</v>
      </c>
      <c r="B735">
        <v>88827</v>
      </c>
      <c r="C735" t="s">
        <v>6</v>
      </c>
      <c r="D735" t="str">
        <f>HYPERLINK("https://users.rcc.uchicago.edu/~cozzyd/monutau/#event&amp;run=5963&amp;entry=88827", "link")</f>
        <v>link</v>
      </c>
      <c r="E735" t="s">
        <v>6</v>
      </c>
      <c r="F735" t="s">
        <v>12</v>
      </c>
    </row>
    <row r="736" spans="1:6" x14ac:dyDescent="0.25">
      <c r="A736">
        <v>5964</v>
      </c>
      <c r="B736">
        <v>6978</v>
      </c>
      <c r="C736" t="s">
        <v>6</v>
      </c>
      <c r="D736" t="str">
        <f>HYPERLINK("https://users.rcc.uchicago.edu/~cozzyd/monutau/#event&amp;run=5964&amp;entry=6978", "link")</f>
        <v>link</v>
      </c>
      <c r="E736" t="s">
        <v>6</v>
      </c>
      <c r="F736" t="s">
        <v>11</v>
      </c>
    </row>
    <row r="737" spans="1:6" x14ac:dyDescent="0.25">
      <c r="A737">
        <v>5964</v>
      </c>
      <c r="B737">
        <v>55378</v>
      </c>
      <c r="C737" t="s">
        <v>6</v>
      </c>
      <c r="D737" t="str">
        <f>HYPERLINK("https://users.rcc.uchicago.edu/~cozzyd/monutau/#event&amp;run=5964&amp;entry=55378", "link")</f>
        <v>link</v>
      </c>
      <c r="E737" t="s">
        <v>6</v>
      </c>
      <c r="F737" t="s">
        <v>7</v>
      </c>
    </row>
    <row r="738" spans="1:6" x14ac:dyDescent="0.25">
      <c r="A738">
        <v>5964</v>
      </c>
      <c r="B738">
        <v>137627</v>
      </c>
      <c r="C738" t="s">
        <v>6</v>
      </c>
      <c r="D738" t="str">
        <f>HYPERLINK("https://users.rcc.uchicago.edu/~cozzyd/monutau/#event&amp;run=5964&amp;entry=137627", "link")</f>
        <v>link</v>
      </c>
      <c r="E738" t="s">
        <v>6</v>
      </c>
      <c r="F738" t="s">
        <v>7</v>
      </c>
    </row>
    <row r="739" spans="1:6" x14ac:dyDescent="0.25">
      <c r="A739">
        <v>5964</v>
      </c>
      <c r="B739">
        <v>137764</v>
      </c>
      <c r="C739" t="s">
        <v>6</v>
      </c>
      <c r="D739" t="str">
        <f>HYPERLINK("https://users.rcc.uchicago.edu/~cozzyd/monutau/#event&amp;run=5964&amp;entry=137764", "link")</f>
        <v>link</v>
      </c>
      <c r="E739" t="s">
        <v>6</v>
      </c>
      <c r="F739" t="s">
        <v>12</v>
      </c>
    </row>
    <row r="740" spans="1:6" x14ac:dyDescent="0.25">
      <c r="A740">
        <v>5965</v>
      </c>
      <c r="B740">
        <v>22358</v>
      </c>
      <c r="C740" t="s">
        <v>13</v>
      </c>
      <c r="D740" t="str">
        <f>HYPERLINK("https://users.rcc.uchicago.edu/~cozzyd/monutau/#event&amp;run=5965&amp;entry=22358", "link")</f>
        <v>link</v>
      </c>
      <c r="E740" t="s">
        <v>15</v>
      </c>
      <c r="F740" t="s">
        <v>11</v>
      </c>
    </row>
    <row r="741" spans="1:6" x14ac:dyDescent="0.25">
      <c r="A741">
        <v>5966</v>
      </c>
      <c r="B741">
        <v>5416</v>
      </c>
      <c r="C741" t="s">
        <v>6</v>
      </c>
      <c r="D741" t="str">
        <f>HYPERLINK("https://users.rcc.uchicago.edu/~cozzyd/monutau/#event&amp;run=5966&amp;entry=5416", "link")</f>
        <v>link</v>
      </c>
      <c r="E741" t="s">
        <v>6</v>
      </c>
      <c r="F741" t="s">
        <v>12</v>
      </c>
    </row>
    <row r="742" spans="1:6" x14ac:dyDescent="0.25">
      <c r="A742">
        <v>5966</v>
      </c>
      <c r="B742">
        <v>5964</v>
      </c>
      <c r="C742" t="s">
        <v>6</v>
      </c>
      <c r="D742" t="str">
        <f>HYPERLINK("https://users.rcc.uchicago.edu/~cozzyd/monutau/#event&amp;run=5966&amp;entry=5964", "link")</f>
        <v>link</v>
      </c>
      <c r="E742" t="s">
        <v>6</v>
      </c>
      <c r="F742" t="s">
        <v>12</v>
      </c>
    </row>
    <row r="743" spans="1:6" x14ac:dyDescent="0.25">
      <c r="A743">
        <v>5966</v>
      </c>
      <c r="B743">
        <v>45159</v>
      </c>
      <c r="C743" t="s">
        <v>6</v>
      </c>
      <c r="D743" t="str">
        <f>HYPERLINK("https://users.rcc.uchicago.edu/~cozzyd/monutau/#event&amp;run=5966&amp;entry=45159", "link")</f>
        <v>link</v>
      </c>
      <c r="E743" t="s">
        <v>6</v>
      </c>
      <c r="F743" t="s">
        <v>11</v>
      </c>
    </row>
    <row r="744" spans="1:6" x14ac:dyDescent="0.25">
      <c r="A744">
        <v>5966</v>
      </c>
      <c r="B744">
        <v>102058</v>
      </c>
      <c r="C744" t="s">
        <v>6</v>
      </c>
      <c r="D744" t="str">
        <f>HYPERLINK("https://users.rcc.uchicago.edu/~cozzyd/monutau/#event&amp;run=5966&amp;entry=102058", "link")</f>
        <v>link</v>
      </c>
      <c r="E744" t="s">
        <v>6</v>
      </c>
      <c r="F744" t="s">
        <v>12</v>
      </c>
    </row>
    <row r="745" spans="1:6" x14ac:dyDescent="0.25">
      <c r="A745">
        <v>5967</v>
      </c>
      <c r="B745">
        <v>2790</v>
      </c>
      <c r="C745" t="s">
        <v>6</v>
      </c>
      <c r="D745" t="str">
        <f>HYPERLINK("https://users.rcc.uchicago.edu/~cozzyd/monutau/#event&amp;run=5967&amp;entry=2790", "link")</f>
        <v>link</v>
      </c>
      <c r="E745" t="s">
        <v>6</v>
      </c>
      <c r="F745" t="s">
        <v>7</v>
      </c>
    </row>
    <row r="746" spans="1:6" x14ac:dyDescent="0.25">
      <c r="A746">
        <v>5967</v>
      </c>
      <c r="B746">
        <v>57531</v>
      </c>
      <c r="C746" t="s">
        <v>6</v>
      </c>
      <c r="D746" t="str">
        <f>HYPERLINK("https://users.rcc.uchicago.edu/~cozzyd/monutau/#event&amp;run=5967&amp;entry=57531", "link")</f>
        <v>link</v>
      </c>
      <c r="E746" t="s">
        <v>6</v>
      </c>
      <c r="F746" t="s">
        <v>12</v>
      </c>
    </row>
    <row r="747" spans="1:6" x14ac:dyDescent="0.25">
      <c r="A747">
        <v>5967</v>
      </c>
      <c r="B747">
        <v>73853</v>
      </c>
      <c r="C747" t="s">
        <v>6</v>
      </c>
      <c r="D747" t="str">
        <f>HYPERLINK("https://users.rcc.uchicago.edu/~cozzyd/monutau/#event&amp;run=5967&amp;entry=73853", "link")</f>
        <v>link</v>
      </c>
      <c r="E747" t="s">
        <v>6</v>
      </c>
      <c r="F747" t="s">
        <v>7</v>
      </c>
    </row>
    <row r="748" spans="1:6" x14ac:dyDescent="0.25">
      <c r="A748">
        <v>5967</v>
      </c>
      <c r="B748">
        <v>83127</v>
      </c>
      <c r="C748" t="s">
        <v>6</v>
      </c>
      <c r="D748" t="str">
        <f>HYPERLINK("https://users.rcc.uchicago.edu/~cozzyd/monutau/#event&amp;run=5967&amp;entry=83127", "link")</f>
        <v>link</v>
      </c>
      <c r="E748" t="s">
        <v>6</v>
      </c>
      <c r="F748" t="s">
        <v>11</v>
      </c>
    </row>
    <row r="749" spans="1:6" x14ac:dyDescent="0.25">
      <c r="A749">
        <v>5967</v>
      </c>
      <c r="B749">
        <v>107844</v>
      </c>
      <c r="C749" t="s">
        <v>6</v>
      </c>
      <c r="D749" t="str">
        <f>HYPERLINK("https://users.rcc.uchicago.edu/~cozzyd/monutau/#event&amp;run=5967&amp;entry=107844", "link")</f>
        <v>link</v>
      </c>
      <c r="E749" t="s">
        <v>6</v>
      </c>
      <c r="F749" t="s">
        <v>12</v>
      </c>
    </row>
    <row r="750" spans="1:6" x14ac:dyDescent="0.25">
      <c r="A750">
        <v>5967</v>
      </c>
      <c r="B750">
        <v>124615</v>
      </c>
      <c r="C750" t="s">
        <v>6</v>
      </c>
      <c r="D750" t="str">
        <f>HYPERLINK("https://users.rcc.uchicago.edu/~cozzyd/monutau/#event&amp;run=5967&amp;entry=124615", "link")</f>
        <v>link</v>
      </c>
      <c r="E750" t="s">
        <v>6</v>
      </c>
      <c r="F750" t="s">
        <v>11</v>
      </c>
    </row>
    <row r="751" spans="1:6" x14ac:dyDescent="0.25">
      <c r="A751">
        <v>5968</v>
      </c>
      <c r="B751">
        <v>29895</v>
      </c>
      <c r="C751" t="s">
        <v>6</v>
      </c>
      <c r="D751" t="str">
        <f>HYPERLINK("https://users.rcc.uchicago.edu/~cozzyd/monutau/#event&amp;run=5968&amp;entry=29895", "link")</f>
        <v>link</v>
      </c>
      <c r="E751" t="s">
        <v>6</v>
      </c>
      <c r="F751" t="s">
        <v>11</v>
      </c>
    </row>
    <row r="752" spans="1:6" x14ac:dyDescent="0.25">
      <c r="A752">
        <v>5968</v>
      </c>
      <c r="B752">
        <v>42436</v>
      </c>
      <c r="C752" t="s">
        <v>6</v>
      </c>
      <c r="D752" t="str">
        <f>HYPERLINK("https://users.rcc.uchicago.edu/~cozzyd/monutau/#event&amp;run=5968&amp;entry=42436", "link")</f>
        <v>link</v>
      </c>
      <c r="E752" t="s">
        <v>6</v>
      </c>
      <c r="F752" t="s">
        <v>7</v>
      </c>
    </row>
    <row r="753" spans="1:6" x14ac:dyDescent="0.25">
      <c r="A753">
        <v>5968</v>
      </c>
      <c r="B753">
        <v>75549</v>
      </c>
      <c r="C753" t="s">
        <v>6</v>
      </c>
      <c r="D753" t="str">
        <f>HYPERLINK("https://users.rcc.uchicago.edu/~cozzyd/monutau/#event&amp;run=5968&amp;entry=75549", "link")</f>
        <v>link</v>
      </c>
      <c r="E753" t="s">
        <v>6</v>
      </c>
      <c r="F753" t="s">
        <v>7</v>
      </c>
    </row>
    <row r="754" spans="1:6" x14ac:dyDescent="0.25">
      <c r="A754">
        <v>5968</v>
      </c>
      <c r="B754">
        <v>98895</v>
      </c>
      <c r="C754" t="s">
        <v>6</v>
      </c>
      <c r="D754" t="str">
        <f>HYPERLINK("https://users.rcc.uchicago.edu/~cozzyd/monutau/#event&amp;run=5968&amp;entry=98895", "link")</f>
        <v>link</v>
      </c>
      <c r="E754" t="s">
        <v>6</v>
      </c>
      <c r="F754" t="s">
        <v>7</v>
      </c>
    </row>
    <row r="755" spans="1:6" x14ac:dyDescent="0.25">
      <c r="A755">
        <v>5968</v>
      </c>
      <c r="B755">
        <v>118791</v>
      </c>
      <c r="C755" t="s">
        <v>6</v>
      </c>
      <c r="D755" t="str">
        <f>HYPERLINK("https://users.rcc.uchicago.edu/~cozzyd/monutau/#event&amp;run=5968&amp;entry=118791", "link")</f>
        <v>link</v>
      </c>
      <c r="E755" t="s">
        <v>6</v>
      </c>
      <c r="F755" t="s">
        <v>11</v>
      </c>
    </row>
    <row r="756" spans="1:6" x14ac:dyDescent="0.25">
      <c r="A756">
        <v>5968</v>
      </c>
      <c r="B756">
        <v>122043</v>
      </c>
      <c r="C756" t="s">
        <v>6</v>
      </c>
      <c r="D756" t="str">
        <f>HYPERLINK("https://users.rcc.uchicago.edu/~cozzyd/monutau/#event&amp;run=5968&amp;entry=122043", "link")</f>
        <v>link</v>
      </c>
      <c r="E756" t="s">
        <v>6</v>
      </c>
      <c r="F756" t="s">
        <v>12</v>
      </c>
    </row>
    <row r="757" spans="1:6" x14ac:dyDescent="0.25">
      <c r="A757">
        <v>5969</v>
      </c>
      <c r="B757">
        <v>28317</v>
      </c>
      <c r="C757" t="s">
        <v>6</v>
      </c>
      <c r="D757" t="str">
        <f>HYPERLINK("https://users.rcc.uchicago.edu/~cozzyd/monutau/#event&amp;run=5969&amp;entry=28317", "link")</f>
        <v>link</v>
      </c>
      <c r="E757" t="s">
        <v>6</v>
      </c>
      <c r="F757" t="s">
        <v>7</v>
      </c>
    </row>
    <row r="758" spans="1:6" x14ac:dyDescent="0.25">
      <c r="A758">
        <v>5969</v>
      </c>
      <c r="B758">
        <v>34894</v>
      </c>
      <c r="C758" t="s">
        <v>6</v>
      </c>
      <c r="D758" t="str">
        <f>HYPERLINK("https://users.rcc.uchicago.edu/~cozzyd/monutau/#event&amp;run=5969&amp;entry=34894", "link")</f>
        <v>link</v>
      </c>
      <c r="E758" t="s">
        <v>6</v>
      </c>
      <c r="F758" t="s">
        <v>12</v>
      </c>
    </row>
    <row r="759" spans="1:6" x14ac:dyDescent="0.25">
      <c r="A759">
        <v>5969</v>
      </c>
      <c r="B759">
        <v>35433</v>
      </c>
      <c r="C759" t="s">
        <v>6</v>
      </c>
      <c r="D759" t="str">
        <f>HYPERLINK("https://users.rcc.uchicago.edu/~cozzyd/monutau/#event&amp;run=5969&amp;entry=35433", "link")</f>
        <v>link</v>
      </c>
      <c r="E759" t="s">
        <v>6</v>
      </c>
      <c r="F759" t="s">
        <v>12</v>
      </c>
    </row>
    <row r="760" spans="1:6" x14ac:dyDescent="0.25">
      <c r="A760">
        <v>5969</v>
      </c>
      <c r="B760">
        <v>65810</v>
      </c>
      <c r="C760" t="s">
        <v>6</v>
      </c>
      <c r="D760" t="str">
        <f>HYPERLINK("https://users.rcc.uchicago.edu/~cozzyd/monutau/#event&amp;run=5969&amp;entry=65810", "link")</f>
        <v>link</v>
      </c>
      <c r="E760" t="s">
        <v>6</v>
      </c>
      <c r="F760" t="s">
        <v>11</v>
      </c>
    </row>
    <row r="761" spans="1:6" x14ac:dyDescent="0.25">
      <c r="A761">
        <v>5970</v>
      </c>
      <c r="B761">
        <v>38419</v>
      </c>
      <c r="C761" t="s">
        <v>6</v>
      </c>
      <c r="D761" t="str">
        <f>HYPERLINK("https://users.rcc.uchicago.edu/~cozzyd/monutau/#event&amp;run=5970&amp;entry=38419", "link")</f>
        <v>link</v>
      </c>
      <c r="E761" t="s">
        <v>6</v>
      </c>
      <c r="F761" t="s">
        <v>7</v>
      </c>
    </row>
    <row r="762" spans="1:6" x14ac:dyDescent="0.25">
      <c r="A762">
        <v>5970</v>
      </c>
      <c r="B762">
        <v>50359</v>
      </c>
      <c r="C762" t="s">
        <v>6</v>
      </c>
      <c r="D762" t="str">
        <f>HYPERLINK("https://users.rcc.uchicago.edu/~cozzyd/monutau/#event&amp;run=5970&amp;entry=50359", "link")</f>
        <v>link</v>
      </c>
      <c r="E762" t="s">
        <v>6</v>
      </c>
      <c r="F762" t="s">
        <v>12</v>
      </c>
    </row>
    <row r="763" spans="1:6" x14ac:dyDescent="0.25">
      <c r="A763">
        <v>5970</v>
      </c>
      <c r="B763">
        <v>86181</v>
      </c>
      <c r="C763" t="s">
        <v>6</v>
      </c>
      <c r="D763" t="str">
        <f>HYPERLINK("https://users.rcc.uchicago.edu/~cozzyd/monutau/#event&amp;run=5970&amp;entry=86181", "link")</f>
        <v>link</v>
      </c>
      <c r="E763" t="s">
        <v>6</v>
      </c>
      <c r="F763" t="s">
        <v>12</v>
      </c>
    </row>
    <row r="764" spans="1:6" x14ac:dyDescent="0.25">
      <c r="A764">
        <v>5971</v>
      </c>
      <c r="B764">
        <v>14455</v>
      </c>
      <c r="C764" t="s">
        <v>6</v>
      </c>
      <c r="D764" t="str">
        <f>HYPERLINK("https://users.rcc.uchicago.edu/~cozzyd/monutau/#event&amp;run=5971&amp;entry=14455", "link")</f>
        <v>link</v>
      </c>
      <c r="E764" t="s">
        <v>6</v>
      </c>
      <c r="F764" t="s">
        <v>7</v>
      </c>
    </row>
    <row r="765" spans="1:6" x14ac:dyDescent="0.25">
      <c r="A765">
        <v>5971</v>
      </c>
      <c r="B765">
        <v>21343</v>
      </c>
      <c r="C765" t="s">
        <v>6</v>
      </c>
      <c r="D765" t="str">
        <f>HYPERLINK("https://users.rcc.uchicago.edu/~cozzyd/monutau/#event&amp;run=5971&amp;entry=21343", "link")</f>
        <v>link</v>
      </c>
      <c r="E765" t="s">
        <v>6</v>
      </c>
      <c r="F765" t="s">
        <v>12</v>
      </c>
    </row>
    <row r="766" spans="1:6" x14ac:dyDescent="0.25">
      <c r="A766">
        <v>5972</v>
      </c>
      <c r="B766">
        <v>52404</v>
      </c>
      <c r="C766" t="s">
        <v>6</v>
      </c>
      <c r="D766" t="str">
        <f>HYPERLINK("https://users.rcc.uchicago.edu/~cozzyd/monutau/#event&amp;run=5972&amp;entry=52404", "link")</f>
        <v>link</v>
      </c>
      <c r="E766" t="s">
        <v>6</v>
      </c>
      <c r="F766" t="s">
        <v>12</v>
      </c>
    </row>
    <row r="767" spans="1:6" x14ac:dyDescent="0.25">
      <c r="A767">
        <v>5972</v>
      </c>
      <c r="B767">
        <v>86667</v>
      </c>
      <c r="C767" t="s">
        <v>6</v>
      </c>
      <c r="D767" t="str">
        <f>HYPERLINK("https://users.rcc.uchicago.edu/~cozzyd/monutau/#event&amp;run=5972&amp;entry=86667", "link")</f>
        <v>link</v>
      </c>
      <c r="E767" t="s">
        <v>6</v>
      </c>
      <c r="F767" t="s">
        <v>11</v>
      </c>
    </row>
    <row r="768" spans="1:6" x14ac:dyDescent="0.25">
      <c r="A768">
        <v>5972</v>
      </c>
      <c r="B768">
        <v>109726</v>
      </c>
      <c r="C768" t="s">
        <v>6</v>
      </c>
      <c r="D768" t="str">
        <f>HYPERLINK("https://users.rcc.uchicago.edu/~cozzyd/monutau/#event&amp;run=5972&amp;entry=109726", "link")</f>
        <v>link</v>
      </c>
      <c r="E768" t="s">
        <v>6</v>
      </c>
      <c r="F768" t="s">
        <v>12</v>
      </c>
    </row>
    <row r="769" spans="1:6" x14ac:dyDescent="0.25">
      <c r="A769">
        <v>5972</v>
      </c>
      <c r="B769">
        <v>110234</v>
      </c>
      <c r="C769" t="s">
        <v>6</v>
      </c>
      <c r="D769" t="str">
        <f>HYPERLINK("https://users.rcc.uchicago.edu/~cozzyd/monutau/#event&amp;run=5972&amp;entry=110234", "link")</f>
        <v>link</v>
      </c>
      <c r="E769" t="s">
        <v>6</v>
      </c>
      <c r="F769" t="s">
        <v>12</v>
      </c>
    </row>
    <row r="770" spans="1:6" x14ac:dyDescent="0.25">
      <c r="A770">
        <v>5972</v>
      </c>
      <c r="B770">
        <v>113066</v>
      </c>
      <c r="C770" t="s">
        <v>6</v>
      </c>
      <c r="D770" t="str">
        <f>HYPERLINK("https://users.rcc.uchicago.edu/~cozzyd/monutau/#event&amp;run=5972&amp;entry=113066", "link")</f>
        <v>link</v>
      </c>
      <c r="E770" t="s">
        <v>6</v>
      </c>
      <c r="F770" t="s">
        <v>12</v>
      </c>
    </row>
    <row r="771" spans="1:6" x14ac:dyDescent="0.25">
      <c r="A771">
        <v>5972</v>
      </c>
      <c r="B771">
        <v>113415</v>
      </c>
      <c r="C771" t="s">
        <v>6</v>
      </c>
      <c r="D771" t="str">
        <f>HYPERLINK("https://users.rcc.uchicago.edu/~cozzyd/monutau/#event&amp;run=5972&amp;entry=113415", "link")</f>
        <v>link</v>
      </c>
      <c r="E771" t="s">
        <v>6</v>
      </c>
      <c r="F771" t="s">
        <v>12</v>
      </c>
    </row>
    <row r="772" spans="1:6" x14ac:dyDescent="0.25">
      <c r="A772">
        <v>5972</v>
      </c>
      <c r="B772">
        <v>115554</v>
      </c>
      <c r="C772" t="s">
        <v>6</v>
      </c>
      <c r="D772" t="str">
        <f>HYPERLINK("https://users.rcc.uchicago.edu/~cozzyd/monutau/#event&amp;run=5972&amp;entry=115554", "link")</f>
        <v>link</v>
      </c>
      <c r="E772" t="s">
        <v>6</v>
      </c>
      <c r="F772" t="s">
        <v>7</v>
      </c>
    </row>
    <row r="773" spans="1:6" x14ac:dyDescent="0.25">
      <c r="A773">
        <v>5972</v>
      </c>
      <c r="B773">
        <v>115729</v>
      </c>
      <c r="C773" t="s">
        <v>6</v>
      </c>
      <c r="D773" t="str">
        <f>HYPERLINK("https://users.rcc.uchicago.edu/~cozzyd/monutau/#event&amp;run=5972&amp;entry=115729", "link")</f>
        <v>link</v>
      </c>
      <c r="E773" t="s">
        <v>6</v>
      </c>
      <c r="F773" t="s">
        <v>12</v>
      </c>
    </row>
    <row r="774" spans="1:6" x14ac:dyDescent="0.25">
      <c r="A774">
        <v>5973</v>
      </c>
      <c r="B774">
        <v>1122</v>
      </c>
      <c r="C774" t="s">
        <v>6</v>
      </c>
      <c r="D774" t="str">
        <f>HYPERLINK("https://users.rcc.uchicago.edu/~cozzyd/monutau/#event&amp;run=5973&amp;entry=1122", "link")</f>
        <v>link</v>
      </c>
      <c r="E774" t="s">
        <v>6</v>
      </c>
      <c r="F774" t="s">
        <v>7</v>
      </c>
    </row>
    <row r="775" spans="1:6" x14ac:dyDescent="0.25">
      <c r="A775">
        <v>5973</v>
      </c>
      <c r="B775">
        <v>3505</v>
      </c>
      <c r="C775" t="s">
        <v>6</v>
      </c>
      <c r="D775" t="str">
        <f>HYPERLINK("https://users.rcc.uchicago.edu/~cozzyd/monutau/#event&amp;run=5973&amp;entry=3505", "link")</f>
        <v>link</v>
      </c>
      <c r="E775" t="s">
        <v>6</v>
      </c>
      <c r="F775" t="s">
        <v>12</v>
      </c>
    </row>
    <row r="776" spans="1:6" x14ac:dyDescent="0.25">
      <c r="A776">
        <v>5973</v>
      </c>
      <c r="B776">
        <v>3516</v>
      </c>
      <c r="C776" t="s">
        <v>6</v>
      </c>
      <c r="D776" t="str">
        <f>HYPERLINK("https://users.rcc.uchicago.edu/~cozzyd/monutau/#event&amp;run=5973&amp;entry=3516", "link")</f>
        <v>link</v>
      </c>
      <c r="E776" t="s">
        <v>6</v>
      </c>
      <c r="F776" t="s">
        <v>12</v>
      </c>
    </row>
    <row r="777" spans="1:6" x14ac:dyDescent="0.25">
      <c r="A777">
        <v>5973</v>
      </c>
      <c r="B777">
        <v>3650</v>
      </c>
      <c r="C777" t="s">
        <v>6</v>
      </c>
      <c r="D777" t="str">
        <f>HYPERLINK("https://users.rcc.uchicago.edu/~cozzyd/monutau/#event&amp;run=5973&amp;entry=3650", "link")</f>
        <v>link</v>
      </c>
      <c r="E777" t="s">
        <v>6</v>
      </c>
      <c r="F777" t="s">
        <v>7</v>
      </c>
    </row>
    <row r="778" spans="1:6" x14ac:dyDescent="0.25">
      <c r="A778">
        <v>5973</v>
      </c>
      <c r="B778">
        <v>3700</v>
      </c>
      <c r="C778" t="s">
        <v>6</v>
      </c>
      <c r="D778" t="str">
        <f>HYPERLINK("https://users.rcc.uchicago.edu/~cozzyd/monutau/#event&amp;run=5973&amp;entry=3700", "link")</f>
        <v>link</v>
      </c>
      <c r="E778" t="s">
        <v>6</v>
      </c>
      <c r="F778" t="s">
        <v>12</v>
      </c>
    </row>
    <row r="779" spans="1:6" x14ac:dyDescent="0.25">
      <c r="A779">
        <v>5973</v>
      </c>
      <c r="B779">
        <v>4355</v>
      </c>
      <c r="C779" t="s">
        <v>6</v>
      </c>
      <c r="D779" t="str">
        <f>HYPERLINK("https://users.rcc.uchicago.edu/~cozzyd/monutau/#event&amp;run=5973&amp;entry=4355", "link")</f>
        <v>link</v>
      </c>
      <c r="E779" t="s">
        <v>6</v>
      </c>
      <c r="F779" t="s">
        <v>12</v>
      </c>
    </row>
    <row r="780" spans="1:6" x14ac:dyDescent="0.25">
      <c r="A780">
        <v>5973</v>
      </c>
      <c r="B780">
        <v>8152</v>
      </c>
      <c r="C780" t="s">
        <v>6</v>
      </c>
      <c r="D780" t="str">
        <f>HYPERLINK("https://users.rcc.uchicago.edu/~cozzyd/monutau/#event&amp;run=5973&amp;entry=8152", "link")</f>
        <v>link</v>
      </c>
      <c r="E780" t="s">
        <v>6</v>
      </c>
      <c r="F780" t="s">
        <v>7</v>
      </c>
    </row>
    <row r="781" spans="1:6" x14ac:dyDescent="0.25">
      <c r="A781">
        <v>5973</v>
      </c>
      <c r="B781">
        <v>13295</v>
      </c>
      <c r="C781" t="s">
        <v>6</v>
      </c>
      <c r="D781" t="str">
        <f>HYPERLINK("https://users.rcc.uchicago.edu/~cozzyd/monutau/#event&amp;run=5973&amp;entry=13295", "link")</f>
        <v>link</v>
      </c>
      <c r="E781" t="s">
        <v>6</v>
      </c>
      <c r="F781" t="s">
        <v>12</v>
      </c>
    </row>
    <row r="782" spans="1:6" x14ac:dyDescent="0.25">
      <c r="A782">
        <v>5973</v>
      </c>
      <c r="B782">
        <v>13723</v>
      </c>
      <c r="C782" t="s">
        <v>6</v>
      </c>
      <c r="D782" t="str">
        <f>HYPERLINK("https://users.rcc.uchicago.edu/~cozzyd/monutau/#event&amp;run=5973&amp;entry=13723", "link")</f>
        <v>link</v>
      </c>
      <c r="E782" t="s">
        <v>6</v>
      </c>
      <c r="F782" t="s">
        <v>11</v>
      </c>
    </row>
    <row r="783" spans="1:6" x14ac:dyDescent="0.25">
      <c r="A783">
        <v>5973</v>
      </c>
      <c r="B783">
        <v>15554</v>
      </c>
      <c r="C783" t="s">
        <v>6</v>
      </c>
      <c r="D783" t="str">
        <f>HYPERLINK("https://users.rcc.uchicago.edu/~cozzyd/monutau/#event&amp;run=5973&amp;entry=15554", "link")</f>
        <v>link</v>
      </c>
      <c r="E783" t="s">
        <v>6</v>
      </c>
      <c r="F783" t="s">
        <v>12</v>
      </c>
    </row>
    <row r="784" spans="1:6" x14ac:dyDescent="0.25">
      <c r="A784">
        <v>5973</v>
      </c>
      <c r="B784">
        <v>19318</v>
      </c>
      <c r="C784" t="s">
        <v>6</v>
      </c>
      <c r="D784" t="str">
        <f>HYPERLINK("https://users.rcc.uchicago.edu/~cozzyd/monutau/#event&amp;run=5973&amp;entry=19318", "link")</f>
        <v>link</v>
      </c>
      <c r="E784" t="s">
        <v>6</v>
      </c>
      <c r="F784" t="s">
        <v>12</v>
      </c>
    </row>
    <row r="785" spans="1:6" x14ac:dyDescent="0.25">
      <c r="A785">
        <v>5973</v>
      </c>
      <c r="B785">
        <v>21970</v>
      </c>
      <c r="C785" t="s">
        <v>6</v>
      </c>
      <c r="D785" t="str">
        <f>HYPERLINK("https://users.rcc.uchicago.edu/~cozzyd/monutau/#event&amp;run=5973&amp;entry=21970", "link")</f>
        <v>link</v>
      </c>
      <c r="E785" t="s">
        <v>6</v>
      </c>
      <c r="F785" t="s">
        <v>12</v>
      </c>
    </row>
    <row r="786" spans="1:6" x14ac:dyDescent="0.25">
      <c r="A786">
        <v>5973</v>
      </c>
      <c r="B786">
        <v>22186</v>
      </c>
      <c r="C786" t="s">
        <v>6</v>
      </c>
      <c r="D786" t="str">
        <f>HYPERLINK("https://users.rcc.uchicago.edu/~cozzyd/monutau/#event&amp;run=5973&amp;entry=22186", "link")</f>
        <v>link</v>
      </c>
      <c r="E786" t="s">
        <v>6</v>
      </c>
      <c r="F786" t="s">
        <v>7</v>
      </c>
    </row>
    <row r="787" spans="1:6" x14ac:dyDescent="0.25">
      <c r="A787">
        <v>5973</v>
      </c>
      <c r="B787">
        <v>23603</v>
      </c>
      <c r="C787" t="s">
        <v>6</v>
      </c>
      <c r="D787" t="str">
        <f>HYPERLINK("https://users.rcc.uchicago.edu/~cozzyd/monutau/#event&amp;run=5973&amp;entry=23603", "link")</f>
        <v>link</v>
      </c>
      <c r="E787" t="s">
        <v>6</v>
      </c>
      <c r="F787" t="s">
        <v>7</v>
      </c>
    </row>
    <row r="788" spans="1:6" x14ac:dyDescent="0.25">
      <c r="A788">
        <v>5973</v>
      </c>
      <c r="B788">
        <v>25154</v>
      </c>
      <c r="C788" t="s">
        <v>6</v>
      </c>
      <c r="D788" t="str">
        <f>HYPERLINK("https://users.rcc.uchicago.edu/~cozzyd/monutau/#event&amp;run=5973&amp;entry=25154", "link")</f>
        <v>link</v>
      </c>
      <c r="E788" t="s">
        <v>6</v>
      </c>
      <c r="F788" t="s">
        <v>12</v>
      </c>
    </row>
    <row r="789" spans="1:6" x14ac:dyDescent="0.25">
      <c r="A789">
        <v>5973</v>
      </c>
      <c r="B789">
        <v>27791</v>
      </c>
      <c r="C789" t="s">
        <v>6</v>
      </c>
      <c r="D789" t="str">
        <f>HYPERLINK("https://users.rcc.uchicago.edu/~cozzyd/monutau/#event&amp;run=5973&amp;entry=27791", "link")</f>
        <v>link</v>
      </c>
      <c r="E789" t="s">
        <v>6</v>
      </c>
      <c r="F789" t="s">
        <v>12</v>
      </c>
    </row>
    <row r="790" spans="1:6" x14ac:dyDescent="0.25">
      <c r="A790">
        <v>5973</v>
      </c>
      <c r="B790">
        <v>34160</v>
      </c>
      <c r="C790" t="s">
        <v>6</v>
      </c>
      <c r="D790" t="str">
        <f>HYPERLINK("https://users.rcc.uchicago.edu/~cozzyd/monutau/#event&amp;run=5973&amp;entry=34160", "link")</f>
        <v>link</v>
      </c>
      <c r="E790" t="s">
        <v>6</v>
      </c>
      <c r="F790" t="s">
        <v>7</v>
      </c>
    </row>
    <row r="791" spans="1:6" x14ac:dyDescent="0.25">
      <c r="A791">
        <v>5973</v>
      </c>
      <c r="B791">
        <v>44016</v>
      </c>
      <c r="C791" t="s">
        <v>6</v>
      </c>
      <c r="D791" t="str">
        <f>HYPERLINK("https://users.rcc.uchicago.edu/~cozzyd/monutau/#event&amp;run=5973&amp;entry=44016", "link")</f>
        <v>link</v>
      </c>
      <c r="E791" t="s">
        <v>6</v>
      </c>
      <c r="F791" t="s">
        <v>12</v>
      </c>
    </row>
  </sheetData>
  <autoFilter ref="A1:F79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Southall</cp:lastModifiedBy>
  <dcterms:created xsi:type="dcterms:W3CDTF">2022-03-10T17:57:52Z</dcterms:created>
  <dcterms:modified xsi:type="dcterms:W3CDTF">2022-03-10T18:32:01Z</dcterms:modified>
</cp:coreProperties>
</file>