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w56/Dropbox (Personal)/My Mac (ens-help’s MacBook Pro)/Documents/GitHub/7LA-Colby-WQI/Historical-R/Cross Lake/"/>
    </mc:Choice>
  </mc:AlternateContent>
  <xr:revisionPtr revIDLastSave="0" documentId="13_ncr:1_{580210E1-7177-9B4C-8ECD-4F465416AFA9}" xr6:coauthVersionLast="46" xr6:coauthVersionMax="46" xr10:uidLastSave="{00000000-0000-0000-0000-000000000000}"/>
  <bookViews>
    <workbookView xWindow="12320" yWindow="460" windowWidth="23260" windowHeight="12580" activeTab="6" xr2:uid="{00000000-000D-0000-FFFF-FFFF00000000}"/>
  </bookViews>
  <sheets>
    <sheet name="MAP" sheetId="7" r:id="rId1"/>
    <sheet name="SUMMARY" sheetId="6" r:id="rId2"/>
    <sheet name="SDT-Station1 " sheetId="1" r:id="rId3"/>
    <sheet name="DO-TEMP" sheetId="2" r:id="rId4"/>
    <sheet name="TP-Station 1 " sheetId="5" r:id="rId5"/>
    <sheet name="CHL-A" sheetId="4" r:id="rId6"/>
    <sheet name="BasicChem" sheetId="3" r:id="rId7"/>
    <sheet name="SDT-Stations2&amp;3" sheetId="8" r:id="rId8"/>
    <sheet name="TP -Stations 2&amp;3" sheetId="9" r:id="rId9"/>
  </sheets>
  <definedNames>
    <definedName name="ExGen" localSheetId="7">'SDT-Stations2&amp;3'!$A$1:$V$25</definedName>
    <definedName name="ExGen">'SDT-Station1 '!$A$1:$V$362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01" i="1" l="1"/>
  <c r="R25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4" i="1"/>
  <c r="E305" i="1"/>
  <c r="E306" i="1"/>
  <c r="E307" i="1"/>
  <c r="E308" i="1"/>
  <c r="E309" i="1"/>
  <c r="Z42" i="1"/>
  <c r="W302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AA42" i="1"/>
  <c r="AA3" i="1"/>
  <c r="AA5" i="1"/>
  <c r="AA6" i="1"/>
  <c r="AA8" i="1"/>
  <c r="AA9" i="1"/>
  <c r="AA10" i="1"/>
  <c r="AA11" i="1"/>
  <c r="AA12" i="1"/>
  <c r="AA13" i="1"/>
  <c r="AA14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8" i="1"/>
  <c r="AA39" i="1"/>
  <c r="AA40" i="1"/>
  <c r="AA41" i="1"/>
  <c r="AA43" i="1"/>
  <c r="AB42" i="1"/>
  <c r="AB3" i="1"/>
  <c r="AB5" i="1"/>
  <c r="AB6" i="1"/>
  <c r="AB8" i="1"/>
  <c r="AB9" i="1"/>
  <c r="AB10" i="1"/>
  <c r="AB11" i="1"/>
  <c r="AB12" i="1"/>
  <c r="AB13" i="1"/>
  <c r="AB14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8" i="1"/>
  <c r="AB39" i="1"/>
  <c r="AB40" i="1"/>
  <c r="AB41" i="1"/>
  <c r="AB43" i="1"/>
  <c r="Z3" i="1"/>
  <c r="Z5" i="1"/>
  <c r="Z6" i="1"/>
  <c r="Z8" i="1"/>
  <c r="Z9" i="1"/>
  <c r="Z10" i="1"/>
  <c r="Z11" i="1"/>
  <c r="Z12" i="1"/>
  <c r="W100" i="1"/>
  <c r="Z13" i="1"/>
  <c r="Z14" i="1"/>
  <c r="Z16" i="1"/>
  <c r="Z17" i="1"/>
  <c r="Z18" i="1"/>
  <c r="W160" i="1"/>
  <c r="Z19" i="1"/>
  <c r="Z20" i="1"/>
  <c r="Z21" i="1"/>
  <c r="Z22" i="1"/>
  <c r="Z23" i="1"/>
  <c r="Z24" i="1"/>
  <c r="Z25" i="1"/>
  <c r="W232" i="1"/>
  <c r="W235" i="1"/>
  <c r="Z26" i="1"/>
  <c r="W248" i="1"/>
  <c r="Z27" i="1"/>
  <c r="Z28" i="1"/>
  <c r="Z29" i="1"/>
  <c r="Z30" i="1"/>
  <c r="W274" i="1"/>
  <c r="Z31" i="1"/>
  <c r="W281" i="1"/>
  <c r="Z38" i="1"/>
  <c r="Z39" i="1"/>
  <c r="W291" i="1"/>
  <c r="Z40" i="1"/>
  <c r="Z41" i="1"/>
  <c r="Z43" i="1"/>
  <c r="L625" i="5"/>
  <c r="I625" i="5"/>
  <c r="L618" i="5"/>
  <c r="I618" i="5"/>
  <c r="L611" i="5"/>
  <c r="L604" i="5"/>
  <c r="I604" i="5"/>
  <c r="L596" i="5"/>
  <c r="I596" i="5"/>
  <c r="L589" i="5"/>
  <c r="I589" i="5"/>
  <c r="L583" i="5"/>
  <c r="I583" i="5"/>
  <c r="L576" i="5"/>
  <c r="I576" i="5"/>
  <c r="L562" i="5"/>
  <c r="I562" i="5"/>
  <c r="L555" i="5"/>
  <c r="I555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6" i="5"/>
  <c r="I557" i="5"/>
  <c r="I558" i="5"/>
  <c r="I559" i="5"/>
  <c r="I560" i="5"/>
  <c r="I561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7" i="5"/>
  <c r="I578" i="5"/>
  <c r="I579" i="5"/>
  <c r="I580" i="5"/>
  <c r="I581" i="5"/>
  <c r="I582" i="5"/>
  <c r="I584" i="5"/>
  <c r="I585" i="5"/>
  <c r="I586" i="5"/>
  <c r="I587" i="5"/>
  <c r="I588" i="5"/>
  <c r="I590" i="5"/>
  <c r="I591" i="5"/>
  <c r="I592" i="5"/>
  <c r="I593" i="5"/>
  <c r="I594" i="5"/>
  <c r="I595" i="5"/>
  <c r="I597" i="5"/>
  <c r="I598" i="5"/>
  <c r="I599" i="5"/>
  <c r="I600" i="5"/>
  <c r="I601" i="5"/>
  <c r="I602" i="5"/>
  <c r="I603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9" i="5"/>
  <c r="I620" i="5"/>
  <c r="I621" i="5"/>
  <c r="I622" i="5"/>
  <c r="I623" i="5"/>
  <c r="I624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L541" i="5"/>
  <c r="I541" i="5"/>
  <c r="I540" i="5"/>
  <c r="I539" i="5"/>
  <c r="I538" i="5"/>
  <c r="I537" i="5"/>
  <c r="I536" i="5"/>
  <c r="I535" i="5"/>
  <c r="I527" i="5"/>
  <c r="I528" i="5"/>
  <c r="I529" i="5"/>
  <c r="I530" i="5"/>
  <c r="I531" i="5"/>
  <c r="P18" i="4"/>
  <c r="O27" i="4"/>
  <c r="R26" i="4"/>
  <c r="Q25" i="4"/>
  <c r="Q26" i="4"/>
  <c r="P24" i="4"/>
  <c r="P25" i="4"/>
  <c r="Q7" i="4"/>
  <c r="P26" i="4"/>
  <c r="O117" i="4"/>
  <c r="E1144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L526" i="5"/>
  <c r="E1143" i="2"/>
  <c r="E1114" i="2"/>
  <c r="I532" i="5"/>
  <c r="I533" i="5"/>
  <c r="AP21" i="6"/>
  <c r="AP22" i="6"/>
  <c r="AP23" i="6"/>
  <c r="AP24" i="6"/>
  <c r="AP25" i="6"/>
  <c r="AP26" i="6"/>
  <c r="AP20" i="6"/>
  <c r="AP13" i="6"/>
  <c r="AP14" i="6"/>
  <c r="AP15" i="6"/>
  <c r="AP16" i="6"/>
  <c r="AP17" i="6"/>
  <c r="AP18" i="6"/>
  <c r="AP12" i="6"/>
  <c r="AP10" i="6"/>
  <c r="AP9" i="6"/>
  <c r="AP8" i="6"/>
  <c r="AP7" i="6"/>
  <c r="AP6" i="6"/>
  <c r="AP5" i="6"/>
  <c r="AP4" i="6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AE41" i="1"/>
  <c r="W353" i="1"/>
  <c r="AC28" i="1"/>
  <c r="AD354" i="1"/>
  <c r="W355" i="1"/>
  <c r="W361" i="1"/>
  <c r="AC40" i="1"/>
  <c r="AD368" i="1"/>
  <c r="AF41" i="1"/>
  <c r="AF43" i="1"/>
  <c r="AG41" i="1"/>
  <c r="AG43" i="1"/>
  <c r="AH41" i="1"/>
  <c r="AH43" i="1"/>
  <c r="AD337" i="8"/>
  <c r="E28" i="8"/>
  <c r="E27" i="8"/>
  <c r="E26" i="8"/>
  <c r="E25" i="8"/>
  <c r="W24" i="8"/>
  <c r="AC40" i="8"/>
  <c r="E24" i="8"/>
  <c r="E23" i="8"/>
  <c r="E22" i="8"/>
  <c r="E21" i="8"/>
  <c r="E20" i="8"/>
  <c r="E19" i="8"/>
  <c r="AB41" i="8"/>
  <c r="W18" i="8"/>
  <c r="E18" i="8"/>
  <c r="AD323" i="8"/>
  <c r="E17" i="8"/>
  <c r="W16" i="8"/>
  <c r="AC28" i="8"/>
  <c r="E16" i="8"/>
  <c r="E15" i="8"/>
  <c r="E14" i="8"/>
  <c r="E13" i="8"/>
  <c r="E12" i="8"/>
  <c r="E11" i="8"/>
  <c r="E10" i="8"/>
  <c r="AB20" i="8"/>
  <c r="E9" i="8"/>
  <c r="E8" i="8"/>
  <c r="E7" i="8"/>
  <c r="E6" i="8"/>
  <c r="E5" i="8"/>
  <c r="E4" i="8"/>
  <c r="E3" i="8"/>
  <c r="E2" i="8"/>
  <c r="AH41" i="8"/>
  <c r="AH42" i="8"/>
  <c r="AG41" i="8"/>
  <c r="AG42" i="8"/>
  <c r="AF41" i="8"/>
  <c r="AF42" i="8"/>
  <c r="Z40" i="8"/>
  <c r="Z38" i="8"/>
  <c r="Z31" i="8"/>
  <c r="Z27" i="8"/>
  <c r="Z26" i="8"/>
  <c r="Z19" i="8"/>
  <c r="Z13" i="8"/>
  <c r="AE14" i="1"/>
  <c r="AD14" i="1"/>
  <c r="AC14" i="1"/>
  <c r="AD41" i="1"/>
  <c r="AD9" i="1"/>
  <c r="AC41" i="1"/>
  <c r="AC9" i="1"/>
  <c r="AE40" i="1"/>
  <c r="AE9" i="1"/>
  <c r="AD40" i="1"/>
  <c r="AE28" i="1"/>
  <c r="AD28" i="1"/>
  <c r="Z9" i="8"/>
  <c r="AB23" i="8"/>
  <c r="AA11" i="8"/>
  <c r="AB11" i="8"/>
  <c r="Z6" i="8"/>
  <c r="Z21" i="8"/>
  <c r="AA14" i="8"/>
  <c r="AD28" i="8"/>
  <c r="AB14" i="8"/>
  <c r="AA9" i="8"/>
  <c r="AA39" i="8"/>
  <c r="Z41" i="8"/>
  <c r="AB17" i="8"/>
  <c r="AB26" i="8"/>
  <c r="AA17" i="8"/>
  <c r="AA5" i="8"/>
  <c r="AB5" i="8"/>
  <c r="AA20" i="8"/>
  <c r="AA23" i="8"/>
  <c r="AA26" i="8"/>
  <c r="AE28" i="8"/>
  <c r="AB31" i="8"/>
  <c r="Z39" i="8"/>
  <c r="AA41" i="8"/>
  <c r="AB9" i="8"/>
  <c r="AC14" i="8"/>
  <c r="Z29" i="8"/>
  <c r="AB39" i="8"/>
  <c r="AC41" i="8"/>
  <c r="Z12" i="8"/>
  <c r="AA29" i="8"/>
  <c r="AD41" i="8"/>
  <c r="AE41" i="8"/>
  <c r="Z24" i="8"/>
  <c r="AA24" i="8"/>
  <c r="AB18" i="8"/>
  <c r="AB27" i="8"/>
  <c r="AA40" i="8"/>
  <c r="AA6" i="8"/>
  <c r="AB29" i="8"/>
  <c r="Z3" i="8"/>
  <c r="AB40" i="8"/>
  <c r="AC9" i="8"/>
  <c r="AC42" i="8"/>
  <c r="AE14" i="8"/>
  <c r="AB21" i="8"/>
  <c r="AB24" i="8"/>
  <c r="Z30" i="8"/>
  <c r="AA3" i="8"/>
  <c r="Z10" i="8"/>
  <c r="Z16" i="8"/>
  <c r="Z22" i="8"/>
  <c r="Z25" i="8"/>
  <c r="Z28" i="8"/>
  <c r="AA30" i="8"/>
  <c r="AA12" i="8"/>
  <c r="AE9" i="8"/>
  <c r="AA10" i="8"/>
  <c r="AA19" i="8"/>
  <c r="AA25" i="8"/>
  <c r="AB30" i="8"/>
  <c r="AD40" i="8"/>
  <c r="AD14" i="8"/>
  <c r="AD9" i="8"/>
  <c r="AA27" i="8"/>
  <c r="AB12" i="8"/>
  <c r="AA13" i="8"/>
  <c r="AA22" i="8"/>
  <c r="AA28" i="8"/>
  <c r="AA8" i="8"/>
  <c r="AB10" i="8"/>
  <c r="AB13" i="8"/>
  <c r="AB16" i="8"/>
  <c r="AB19" i="8"/>
  <c r="AB22" i="8"/>
  <c r="AB25" i="8"/>
  <c r="AB28" i="8"/>
  <c r="AA38" i="8"/>
  <c r="AE40" i="8"/>
  <c r="Z18" i="8"/>
  <c r="AA18" i="8"/>
  <c r="AB3" i="8"/>
  <c r="AA16" i="8"/>
  <c r="AB38" i="8"/>
  <c r="AA21" i="8"/>
  <c r="AB6" i="8"/>
  <c r="Z8" i="8"/>
  <c r="AB8" i="8"/>
  <c r="Z5" i="8"/>
  <c r="Z11" i="8"/>
  <c r="Z14" i="8"/>
  <c r="Z17" i="8"/>
  <c r="Z20" i="8"/>
  <c r="Z23" i="8"/>
  <c r="AA31" i="8"/>
  <c r="AD42" i="8"/>
  <c r="AC43" i="1"/>
  <c r="AE43" i="1"/>
  <c r="AD43" i="1"/>
  <c r="Z42" i="8"/>
  <c r="AA42" i="8"/>
  <c r="AB42" i="8"/>
  <c r="AE42" i="8"/>
  <c r="L527" i="5"/>
  <c r="CI3" i="5"/>
  <c r="N128" i="4"/>
  <c r="O130" i="4"/>
  <c r="O126" i="4"/>
  <c r="O119" i="4"/>
  <c r="S34" i="5"/>
  <c r="S35" i="5"/>
  <c r="S36" i="5"/>
  <c r="Y36" i="5"/>
  <c r="AH20" i="5"/>
  <c r="AH21" i="5"/>
  <c r="Y34" i="5"/>
  <c r="Y35" i="5"/>
  <c r="AG7" i="5"/>
  <c r="AG21" i="5"/>
  <c r="AU4" i="5"/>
  <c r="AU3" i="5"/>
  <c r="AU6" i="5"/>
  <c r="AO4" i="5"/>
  <c r="AO3" i="5"/>
  <c r="E81" i="4"/>
  <c r="E82" i="4"/>
  <c r="E83" i="4"/>
  <c r="E84" i="4"/>
  <c r="E85" i="4"/>
  <c r="E86" i="4"/>
  <c r="E87" i="4"/>
  <c r="E88" i="4"/>
  <c r="E89" i="4"/>
  <c r="E90" i="4"/>
  <c r="E80" i="4"/>
  <c r="P21" i="4"/>
  <c r="P22" i="4"/>
  <c r="P23" i="4"/>
  <c r="P20" i="4"/>
  <c r="P19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E2" i="4" a="1"/>
  <c r="E2" i="4"/>
  <c r="Y33" i="5"/>
  <c r="AF20" i="5"/>
  <c r="S33" i="5"/>
  <c r="R23" i="4"/>
  <c r="Q24" i="4"/>
  <c r="R10" i="4"/>
  <c r="R18" i="4"/>
  <c r="R3" i="4"/>
  <c r="R11" i="4"/>
  <c r="R19" i="4"/>
  <c r="R4" i="4"/>
  <c r="R12" i="4"/>
  <c r="R20" i="4"/>
  <c r="R5" i="4"/>
  <c r="R13" i="4"/>
  <c r="R21" i="4"/>
  <c r="R6" i="4"/>
  <c r="R14" i="4"/>
  <c r="R22" i="4"/>
  <c r="R7" i="4"/>
  <c r="R15" i="4"/>
  <c r="Q17" i="4"/>
  <c r="Q16" i="4"/>
  <c r="Q8" i="4"/>
  <c r="Q15" i="4"/>
  <c r="Q14" i="4"/>
  <c r="Q6" i="4"/>
  <c r="Q13" i="4"/>
  <c r="Q5" i="4"/>
  <c r="Q12" i="4"/>
  <c r="Q4" i="4"/>
  <c r="Q11" i="4"/>
  <c r="Q3" i="4"/>
  <c r="Q9" i="4"/>
  <c r="Q23" i="4"/>
  <c r="Q22" i="4"/>
  <c r="Q21" i="4"/>
  <c r="Q20" i="4"/>
  <c r="Q19" i="4"/>
  <c r="Q18" i="4"/>
  <c r="Q10" i="4"/>
  <c r="R8" i="4"/>
  <c r="R16" i="4"/>
  <c r="R24" i="4"/>
  <c r="R9" i="4"/>
  <c r="R17" i="4"/>
  <c r="Y4" i="5"/>
  <c r="AF4" i="5"/>
  <c r="Y5" i="5"/>
  <c r="AF5" i="5"/>
  <c r="Y6" i="5"/>
  <c r="Y7" i="5"/>
  <c r="Y8" i="5"/>
  <c r="Y9" i="5"/>
  <c r="Y10" i="5"/>
  <c r="Y11" i="5"/>
  <c r="Y12" i="5"/>
  <c r="Y13" i="5"/>
  <c r="Y14" i="5"/>
  <c r="Y15" i="5"/>
  <c r="Y16" i="5"/>
  <c r="Y17" i="5"/>
  <c r="AF9" i="5"/>
  <c r="Y18" i="5"/>
  <c r="Y19" i="5"/>
  <c r="Y20" i="5"/>
  <c r="AF11" i="5"/>
  <c r="Y21" i="5"/>
  <c r="Y22" i="5"/>
  <c r="Y23" i="5"/>
  <c r="Y24" i="5"/>
  <c r="Y25" i="5"/>
  <c r="Y26" i="5"/>
  <c r="Y27" i="5"/>
  <c r="Y28" i="5"/>
  <c r="AF15" i="5"/>
  <c r="Y29" i="5"/>
  <c r="AF16" i="5"/>
  <c r="Y30" i="5"/>
  <c r="AF17" i="5"/>
  <c r="Y31" i="5"/>
  <c r="AF18" i="5"/>
  <c r="Y32" i="5"/>
  <c r="AF19" i="5"/>
  <c r="Y3" i="5"/>
  <c r="AF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" i="5"/>
  <c r="BK4" i="5"/>
  <c r="BK5" i="5"/>
  <c r="BK6" i="5"/>
  <c r="BK7" i="5"/>
  <c r="BK8" i="5"/>
  <c r="BK9" i="5"/>
  <c r="BK3" i="5"/>
  <c r="BE4" i="5"/>
  <c r="BE5" i="5"/>
  <c r="BE6" i="5"/>
  <c r="BE7" i="5"/>
  <c r="BE8" i="5"/>
  <c r="BE9" i="5"/>
  <c r="BE3" i="5"/>
  <c r="CA4" i="5"/>
  <c r="CA5" i="5"/>
  <c r="CA6" i="5"/>
  <c r="CA7" i="5"/>
  <c r="CA8" i="5"/>
  <c r="CA9" i="5"/>
  <c r="CA10" i="5"/>
  <c r="CA11" i="5"/>
  <c r="CA12" i="5"/>
  <c r="CA13" i="5"/>
  <c r="CA14" i="5"/>
  <c r="CA15" i="5"/>
  <c r="CA16" i="5"/>
  <c r="CA17" i="5"/>
  <c r="CA18" i="5"/>
  <c r="CA19" i="5"/>
  <c r="CA20" i="5"/>
  <c r="CA21" i="5"/>
  <c r="CA22" i="5"/>
  <c r="CA23" i="5"/>
  <c r="CA24" i="5"/>
  <c r="CA25" i="5"/>
  <c r="CA26" i="5"/>
  <c r="CA27" i="5"/>
  <c r="CA28" i="5"/>
  <c r="CA29" i="5"/>
  <c r="CA30" i="5"/>
  <c r="CA31" i="5"/>
  <c r="CA32" i="5"/>
  <c r="CA33" i="5"/>
  <c r="CA34" i="5"/>
  <c r="CA35" i="5"/>
  <c r="CA36" i="5"/>
  <c r="CA37" i="5"/>
  <c r="CA38" i="5"/>
  <c r="CA39" i="5"/>
  <c r="CA40" i="5"/>
  <c r="CA41" i="5"/>
  <c r="CA42" i="5"/>
  <c r="CA43" i="5"/>
  <c r="CA44" i="5"/>
  <c r="CA45" i="5"/>
  <c r="CA46" i="5"/>
  <c r="CA47" i="5"/>
  <c r="CA48" i="5"/>
  <c r="CA49" i="5"/>
  <c r="CA50" i="5"/>
  <c r="CA51" i="5"/>
  <c r="CA52" i="5"/>
  <c r="CA53" i="5"/>
  <c r="CA54" i="5"/>
  <c r="CA55" i="5"/>
  <c r="CA56" i="5"/>
  <c r="CA57" i="5"/>
  <c r="CA58" i="5"/>
  <c r="CA59" i="5"/>
  <c r="CA60" i="5"/>
  <c r="CA61" i="5"/>
  <c r="CA62" i="5"/>
  <c r="CA63" i="5"/>
  <c r="CA64" i="5"/>
  <c r="CA65" i="5"/>
  <c r="CA66" i="5"/>
  <c r="CA67" i="5"/>
  <c r="CA68" i="5"/>
  <c r="CA69" i="5"/>
  <c r="CA70" i="5"/>
  <c r="CA71" i="5"/>
  <c r="CA72" i="5"/>
  <c r="CA73" i="5"/>
  <c r="CA74" i="5"/>
  <c r="CA75" i="5"/>
  <c r="CA76" i="5"/>
  <c r="CA77" i="5"/>
  <c r="CA78" i="5"/>
  <c r="CA79" i="5"/>
  <c r="CA80" i="5"/>
  <c r="CA81" i="5"/>
  <c r="CA82" i="5"/>
  <c r="CA83" i="5"/>
  <c r="CA84" i="5"/>
  <c r="CA85" i="5"/>
  <c r="CA86" i="5"/>
  <c r="CA87" i="5"/>
  <c r="CA88" i="5"/>
  <c r="CA89" i="5"/>
  <c r="CA90" i="5"/>
  <c r="CA91" i="5"/>
  <c r="CA92" i="5"/>
  <c r="CA93" i="5"/>
  <c r="CA94" i="5"/>
  <c r="CA95" i="5"/>
  <c r="CA96" i="5"/>
  <c r="CA97" i="5"/>
  <c r="CA98" i="5"/>
  <c r="CA99" i="5"/>
  <c r="CA100" i="5"/>
  <c r="CA101" i="5"/>
  <c r="CA102" i="5"/>
  <c r="CA103" i="5"/>
  <c r="CA104" i="5"/>
  <c r="CA105" i="5"/>
  <c r="CA106" i="5"/>
  <c r="CA107" i="5"/>
  <c r="CA108" i="5"/>
  <c r="CA109" i="5"/>
  <c r="CA110" i="5"/>
  <c r="CA111" i="5"/>
  <c r="CA112" i="5"/>
  <c r="CA113" i="5"/>
  <c r="CA114" i="5"/>
  <c r="CA115" i="5"/>
  <c r="CA116" i="5"/>
  <c r="CA117" i="5"/>
  <c r="CA118" i="5"/>
  <c r="CA119" i="5"/>
  <c r="CA120" i="5"/>
  <c r="CA121" i="5"/>
  <c r="CA122" i="5"/>
  <c r="CA123" i="5"/>
  <c r="CA124" i="5"/>
  <c r="CA125" i="5"/>
  <c r="CA126" i="5"/>
  <c r="CA127" i="5"/>
  <c r="CA128" i="5"/>
  <c r="CA129" i="5"/>
  <c r="CA130" i="5"/>
  <c r="CA131" i="5"/>
  <c r="CA132" i="5"/>
  <c r="CA133" i="5"/>
  <c r="CA134" i="5"/>
  <c r="CA135" i="5"/>
  <c r="CA136" i="5"/>
  <c r="CA137" i="5"/>
  <c r="CA138" i="5"/>
  <c r="CA139" i="5"/>
  <c r="CA140" i="5"/>
  <c r="CA141" i="5"/>
  <c r="CA142" i="5"/>
  <c r="CA143" i="5"/>
  <c r="CA144" i="5"/>
  <c r="CA145" i="5"/>
  <c r="CA146" i="5"/>
  <c r="CA147" i="5"/>
  <c r="CA148" i="5"/>
  <c r="CA149" i="5"/>
  <c r="CA150" i="5"/>
  <c r="CA151" i="5"/>
  <c r="CA152" i="5"/>
  <c r="CA153" i="5"/>
  <c r="CA154" i="5"/>
  <c r="CA155" i="5"/>
  <c r="CA156" i="5"/>
  <c r="CA157" i="5"/>
  <c r="CA158" i="5"/>
  <c r="CA159" i="5"/>
  <c r="CA160" i="5"/>
  <c r="CA161" i="5"/>
  <c r="CA162" i="5"/>
  <c r="CA163" i="5"/>
  <c r="CA164" i="5"/>
  <c r="CA165" i="5"/>
  <c r="CA166" i="5"/>
  <c r="CA167" i="5"/>
  <c r="CA168" i="5"/>
  <c r="CA169" i="5"/>
  <c r="CA170" i="5"/>
  <c r="CA171" i="5"/>
  <c r="CA172" i="5"/>
  <c r="CA173" i="5"/>
  <c r="CA174" i="5"/>
  <c r="CA175" i="5"/>
  <c r="CA176" i="5"/>
  <c r="CA177" i="5"/>
  <c r="CA178" i="5"/>
  <c r="CA179" i="5"/>
  <c r="CA180" i="5"/>
  <c r="CA181" i="5"/>
  <c r="CA182" i="5"/>
  <c r="CA183" i="5"/>
  <c r="CA184" i="5"/>
  <c r="CA185" i="5"/>
  <c r="CA186" i="5"/>
  <c r="CA187" i="5"/>
  <c r="CA188" i="5"/>
  <c r="CA189" i="5"/>
  <c r="CA190" i="5"/>
  <c r="CA191" i="5"/>
  <c r="CA192" i="5"/>
  <c r="CA193" i="5"/>
  <c r="CA194" i="5"/>
  <c r="CA195" i="5"/>
  <c r="CA196" i="5"/>
  <c r="CA197" i="5"/>
  <c r="CA198" i="5"/>
  <c r="CA199" i="5"/>
  <c r="CA200" i="5"/>
  <c r="CA201" i="5"/>
  <c r="CA202" i="5"/>
  <c r="CA203" i="5"/>
  <c r="CA204" i="5"/>
  <c r="CA205" i="5"/>
  <c r="CA206" i="5"/>
  <c r="CA207" i="5"/>
  <c r="CA208" i="5"/>
  <c r="CA209" i="5"/>
  <c r="CA210" i="5"/>
  <c r="CA211" i="5"/>
  <c r="CA212" i="5"/>
  <c r="CA213" i="5"/>
  <c r="CA214" i="5"/>
  <c r="CA215" i="5"/>
  <c r="CA216" i="5"/>
  <c r="CA217" i="5"/>
  <c r="CA218" i="5"/>
  <c r="CA219" i="5"/>
  <c r="CA220" i="5"/>
  <c r="CA221" i="5"/>
  <c r="CA222" i="5"/>
  <c r="CA223" i="5"/>
  <c r="CA224" i="5"/>
  <c r="CA225" i="5"/>
  <c r="CA226" i="5"/>
  <c r="CA227" i="5"/>
  <c r="CA228" i="5"/>
  <c r="CA229" i="5"/>
  <c r="CA230" i="5"/>
  <c r="CA231" i="5"/>
  <c r="CA232" i="5"/>
  <c r="CA233" i="5"/>
  <c r="CA234" i="5"/>
  <c r="CA235" i="5"/>
  <c r="CA236" i="5"/>
  <c r="CA237" i="5"/>
  <c r="CA238" i="5"/>
  <c r="CA239" i="5"/>
  <c r="CA240" i="5"/>
  <c r="CA241" i="5"/>
  <c r="CA242" i="5"/>
  <c r="CA243" i="5"/>
  <c r="CA244" i="5"/>
  <c r="CA245" i="5"/>
  <c r="CA246" i="5"/>
  <c r="CA247" i="5"/>
  <c r="CA248" i="5"/>
  <c r="CA249" i="5"/>
  <c r="CA250" i="5"/>
  <c r="CA251" i="5"/>
  <c r="CA252" i="5"/>
  <c r="CA253" i="5"/>
  <c r="CA254" i="5"/>
  <c r="CA255" i="5"/>
  <c r="CA256" i="5"/>
  <c r="CA257" i="5"/>
  <c r="CA258" i="5"/>
  <c r="CA259" i="5"/>
  <c r="CA260" i="5"/>
  <c r="CA261" i="5"/>
  <c r="CA262" i="5"/>
  <c r="CA263" i="5"/>
  <c r="CA264" i="5"/>
  <c r="CA265" i="5"/>
  <c r="CA266" i="5"/>
  <c r="CA267" i="5"/>
  <c r="CA268" i="5"/>
  <c r="CA269" i="5"/>
  <c r="CA270" i="5"/>
  <c r="CA271" i="5"/>
  <c r="CA272" i="5"/>
  <c r="CA273" i="5"/>
  <c r="CA274" i="5"/>
  <c r="CA275" i="5"/>
  <c r="CA276" i="5"/>
  <c r="CA277" i="5"/>
  <c r="CA278" i="5"/>
  <c r="CA279" i="5"/>
  <c r="CA280" i="5"/>
  <c r="CA281" i="5"/>
  <c r="CA282" i="5"/>
  <c r="CA283" i="5"/>
  <c r="CA284" i="5"/>
  <c r="CA285" i="5"/>
  <c r="CA286" i="5"/>
  <c r="CA287" i="5"/>
  <c r="CA288" i="5"/>
  <c r="CA289" i="5"/>
  <c r="CA290" i="5"/>
  <c r="CA291" i="5"/>
  <c r="CA292" i="5"/>
  <c r="CA293" i="5"/>
  <c r="CA294" i="5"/>
  <c r="CA295" i="5"/>
  <c r="CA296" i="5"/>
  <c r="CA297" i="5"/>
  <c r="CA298" i="5"/>
  <c r="CA299" i="5"/>
  <c r="CA300" i="5"/>
  <c r="CA301" i="5"/>
  <c r="CA302" i="5"/>
  <c r="CA303" i="5"/>
  <c r="CA304" i="5"/>
  <c r="CA305" i="5"/>
  <c r="CA306" i="5"/>
  <c r="CA307" i="5"/>
  <c r="CA308" i="5"/>
  <c r="CA309" i="5"/>
  <c r="CA310" i="5"/>
  <c r="CA311" i="5"/>
  <c r="CA312" i="5"/>
  <c r="CA313" i="5"/>
  <c r="CA314" i="5"/>
  <c r="CA315" i="5"/>
  <c r="CA316" i="5"/>
  <c r="CA317" i="5"/>
  <c r="CA318" i="5"/>
  <c r="CA319" i="5"/>
  <c r="CA320" i="5"/>
  <c r="CA321" i="5"/>
  <c r="CA322" i="5"/>
  <c r="CA323" i="5"/>
  <c r="CA324" i="5"/>
  <c r="CA325" i="5"/>
  <c r="CA326" i="5"/>
  <c r="CA327" i="5"/>
  <c r="CA328" i="5"/>
  <c r="CA329" i="5"/>
  <c r="CA330" i="5"/>
  <c r="CA331" i="5"/>
  <c r="CA332" i="5"/>
  <c r="CA333" i="5"/>
  <c r="CA334" i="5"/>
  <c r="CA335" i="5"/>
  <c r="CA336" i="5"/>
  <c r="CA337" i="5"/>
  <c r="CA338" i="5"/>
  <c r="CA339" i="5"/>
  <c r="CA340" i="5"/>
  <c r="CA341" i="5"/>
  <c r="CA342" i="5"/>
  <c r="CA343" i="5"/>
  <c r="CA344" i="5"/>
  <c r="CA345" i="5"/>
  <c r="CA346" i="5"/>
  <c r="CA347" i="5"/>
  <c r="CA348" i="5"/>
  <c r="CA349" i="5"/>
  <c r="CA350" i="5"/>
  <c r="CA351" i="5"/>
  <c r="CA352" i="5"/>
  <c r="CA353" i="5"/>
  <c r="CA354" i="5"/>
  <c r="CA355" i="5"/>
  <c r="CA356" i="5"/>
  <c r="CA357" i="5"/>
  <c r="CA358" i="5"/>
  <c r="CA359" i="5"/>
  <c r="CA360" i="5"/>
  <c r="CA361" i="5"/>
  <c r="CA362" i="5"/>
  <c r="CA363" i="5"/>
  <c r="CA364" i="5"/>
  <c r="CA365" i="5"/>
  <c r="CA366" i="5"/>
  <c r="CA367" i="5"/>
  <c r="CA368" i="5"/>
  <c r="CA369" i="5"/>
  <c r="CA370" i="5"/>
  <c r="CA371" i="5"/>
  <c r="CA372" i="5"/>
  <c r="CA373" i="5"/>
  <c r="CA374" i="5"/>
  <c r="CA375" i="5"/>
  <c r="CA376" i="5"/>
  <c r="CA377" i="5"/>
  <c r="CA378" i="5"/>
  <c r="CA379" i="5"/>
  <c r="CA380" i="5"/>
  <c r="CA381" i="5"/>
  <c r="CA382" i="5"/>
  <c r="CA383" i="5"/>
  <c r="CA384" i="5"/>
  <c r="CA385" i="5"/>
  <c r="CA386" i="5"/>
  <c r="CA387" i="5"/>
  <c r="CA388" i="5"/>
  <c r="CA389" i="5"/>
  <c r="CA390" i="5"/>
  <c r="CA391" i="5"/>
  <c r="CA392" i="5"/>
  <c r="CA393" i="5"/>
  <c r="CA394" i="5"/>
  <c r="CA395" i="5"/>
  <c r="CA396" i="5"/>
  <c r="CA397" i="5"/>
  <c r="CA398" i="5"/>
  <c r="CA399" i="5"/>
  <c r="CA400" i="5"/>
  <c r="CA401" i="5"/>
  <c r="CA402" i="5"/>
  <c r="CA403" i="5"/>
  <c r="CA404" i="5"/>
  <c r="CA405" i="5"/>
  <c r="CA406" i="5"/>
  <c r="CA407" i="5"/>
  <c r="CA408" i="5"/>
  <c r="CA409" i="5"/>
  <c r="CA410" i="5"/>
  <c r="CA411" i="5"/>
  <c r="CA412" i="5"/>
  <c r="CA413" i="5"/>
  <c r="CA414" i="5"/>
  <c r="CA415" i="5"/>
  <c r="CA416" i="5"/>
  <c r="CA417" i="5"/>
  <c r="CA418" i="5"/>
  <c r="CA419" i="5"/>
  <c r="CA420" i="5"/>
  <c r="CA421" i="5"/>
  <c r="CA422" i="5"/>
  <c r="CA423" i="5"/>
  <c r="CA424" i="5"/>
  <c r="CA425" i="5"/>
  <c r="CA426" i="5"/>
  <c r="CA427" i="5"/>
  <c r="CA428" i="5"/>
  <c r="CA429" i="5"/>
  <c r="CA430" i="5"/>
  <c r="CA431" i="5"/>
  <c r="CA432" i="5"/>
  <c r="CA433" i="5"/>
  <c r="CA434" i="5"/>
  <c r="CA435" i="5"/>
  <c r="CA436" i="5"/>
  <c r="CA437" i="5"/>
  <c r="CA438" i="5"/>
  <c r="CA439" i="5"/>
  <c r="CA440" i="5"/>
  <c r="CA441" i="5"/>
  <c r="CA442" i="5"/>
  <c r="CA443" i="5"/>
  <c r="CA444" i="5"/>
  <c r="CA445" i="5"/>
  <c r="CA446" i="5"/>
  <c r="CA447" i="5"/>
  <c r="CA448" i="5"/>
  <c r="CA449" i="5"/>
  <c r="CA450" i="5"/>
  <c r="CA451" i="5"/>
  <c r="CA452" i="5"/>
  <c r="CA453" i="5"/>
  <c r="CA454" i="5"/>
  <c r="CA455" i="5"/>
  <c r="CA456" i="5"/>
  <c r="CA457" i="5"/>
  <c r="CA458" i="5"/>
  <c r="CA459" i="5"/>
  <c r="CA460" i="5"/>
  <c r="CA461" i="5"/>
  <c r="CA462" i="5"/>
  <c r="CA463" i="5"/>
  <c r="CA464" i="5"/>
  <c r="CA465" i="5"/>
  <c r="CA466" i="5"/>
  <c r="CA467" i="5"/>
  <c r="CA468" i="5"/>
  <c r="CA469" i="5"/>
  <c r="CA470" i="5"/>
  <c r="CA471" i="5"/>
  <c r="CA472" i="5"/>
  <c r="CA473" i="5"/>
  <c r="CA474" i="5"/>
  <c r="CA475" i="5"/>
  <c r="CA476" i="5"/>
  <c r="CA477" i="5"/>
  <c r="CA478" i="5"/>
  <c r="CA479" i="5"/>
  <c r="CA480" i="5"/>
  <c r="CA481" i="5"/>
  <c r="CA482" i="5"/>
  <c r="CA483" i="5"/>
  <c r="CA484" i="5"/>
  <c r="CA485" i="5"/>
  <c r="CA486" i="5"/>
  <c r="CA3" i="5"/>
  <c r="BU4" i="5"/>
  <c r="BU5" i="5"/>
  <c r="BU6" i="5"/>
  <c r="BU7" i="5"/>
  <c r="BU8" i="5"/>
  <c r="BU9" i="5"/>
  <c r="BU10" i="5"/>
  <c r="BU11" i="5"/>
  <c r="BU12" i="5"/>
  <c r="BU13" i="5"/>
  <c r="BU14" i="5"/>
  <c r="BU15" i="5"/>
  <c r="BU16" i="5"/>
  <c r="BU17" i="5"/>
  <c r="BU18" i="5"/>
  <c r="BU19" i="5"/>
  <c r="BU20" i="5"/>
  <c r="BU21" i="5"/>
  <c r="BU22" i="5"/>
  <c r="BU23" i="5"/>
  <c r="BU24" i="5"/>
  <c r="BU25" i="5"/>
  <c r="BU26" i="5"/>
  <c r="BU27" i="5"/>
  <c r="BU28" i="5"/>
  <c r="BU29" i="5"/>
  <c r="BU30" i="5"/>
  <c r="BU31" i="5"/>
  <c r="BU32" i="5"/>
  <c r="BU33" i="5"/>
  <c r="BU34" i="5"/>
  <c r="BU35" i="5"/>
  <c r="BU36" i="5"/>
  <c r="BU37" i="5"/>
  <c r="BU38" i="5"/>
  <c r="BU39" i="5"/>
  <c r="BU40" i="5"/>
  <c r="BU41" i="5"/>
  <c r="BU42" i="5"/>
  <c r="BU43" i="5"/>
  <c r="BU44" i="5"/>
  <c r="BU45" i="5"/>
  <c r="BU46" i="5"/>
  <c r="BU47" i="5"/>
  <c r="BU48" i="5"/>
  <c r="BU49" i="5"/>
  <c r="BU50" i="5"/>
  <c r="BU51" i="5"/>
  <c r="BU52" i="5"/>
  <c r="BU53" i="5"/>
  <c r="BU54" i="5"/>
  <c r="BU55" i="5"/>
  <c r="BU56" i="5"/>
  <c r="BU57" i="5"/>
  <c r="BU58" i="5"/>
  <c r="BU59" i="5"/>
  <c r="BU60" i="5"/>
  <c r="BU61" i="5"/>
  <c r="BU62" i="5"/>
  <c r="BU63" i="5"/>
  <c r="BU64" i="5"/>
  <c r="BU65" i="5"/>
  <c r="BU66" i="5"/>
  <c r="BU67" i="5"/>
  <c r="BU68" i="5"/>
  <c r="BU69" i="5"/>
  <c r="BU70" i="5"/>
  <c r="BU71" i="5"/>
  <c r="BU72" i="5"/>
  <c r="BU73" i="5"/>
  <c r="BU74" i="5"/>
  <c r="BU75" i="5"/>
  <c r="BU76" i="5"/>
  <c r="BU77" i="5"/>
  <c r="BU78" i="5"/>
  <c r="BU79" i="5"/>
  <c r="BU80" i="5"/>
  <c r="BU81" i="5"/>
  <c r="BU82" i="5"/>
  <c r="BU83" i="5"/>
  <c r="BU84" i="5"/>
  <c r="BU85" i="5"/>
  <c r="BU86" i="5"/>
  <c r="BU87" i="5"/>
  <c r="BU88" i="5"/>
  <c r="BU89" i="5"/>
  <c r="BU90" i="5"/>
  <c r="BU91" i="5"/>
  <c r="BU92" i="5"/>
  <c r="BU93" i="5"/>
  <c r="BU94" i="5"/>
  <c r="BU95" i="5"/>
  <c r="BU96" i="5"/>
  <c r="BU97" i="5"/>
  <c r="BU98" i="5"/>
  <c r="BU99" i="5"/>
  <c r="BU100" i="5"/>
  <c r="BU101" i="5"/>
  <c r="BU102" i="5"/>
  <c r="BU103" i="5"/>
  <c r="BU104" i="5"/>
  <c r="BU105" i="5"/>
  <c r="BU106" i="5"/>
  <c r="BU107" i="5"/>
  <c r="BU108" i="5"/>
  <c r="BU109" i="5"/>
  <c r="BU110" i="5"/>
  <c r="BU111" i="5"/>
  <c r="BU112" i="5"/>
  <c r="BU113" i="5"/>
  <c r="BU114" i="5"/>
  <c r="BU115" i="5"/>
  <c r="BU116" i="5"/>
  <c r="BU117" i="5"/>
  <c r="BU118" i="5"/>
  <c r="BU119" i="5"/>
  <c r="BU120" i="5"/>
  <c r="BU121" i="5"/>
  <c r="BU122" i="5"/>
  <c r="BU123" i="5"/>
  <c r="BU124" i="5"/>
  <c r="BU125" i="5"/>
  <c r="BU126" i="5"/>
  <c r="BU127" i="5"/>
  <c r="BU128" i="5"/>
  <c r="BU129" i="5"/>
  <c r="BU130" i="5"/>
  <c r="BU131" i="5"/>
  <c r="BU132" i="5"/>
  <c r="BU133" i="5"/>
  <c r="BU134" i="5"/>
  <c r="BU135" i="5"/>
  <c r="BU136" i="5"/>
  <c r="BU137" i="5"/>
  <c r="BU138" i="5"/>
  <c r="BU139" i="5"/>
  <c r="BU140" i="5"/>
  <c r="BU141" i="5"/>
  <c r="BU142" i="5"/>
  <c r="BU143" i="5"/>
  <c r="BU144" i="5"/>
  <c r="BU145" i="5"/>
  <c r="BU146" i="5"/>
  <c r="BU147" i="5"/>
  <c r="BU148" i="5"/>
  <c r="BU149" i="5"/>
  <c r="BU150" i="5"/>
  <c r="BU151" i="5"/>
  <c r="BU152" i="5"/>
  <c r="BU153" i="5"/>
  <c r="BU154" i="5"/>
  <c r="BU155" i="5"/>
  <c r="BU156" i="5"/>
  <c r="BU157" i="5"/>
  <c r="BU158" i="5"/>
  <c r="BU159" i="5"/>
  <c r="BU160" i="5"/>
  <c r="BU161" i="5"/>
  <c r="BU162" i="5"/>
  <c r="BU163" i="5"/>
  <c r="BU164" i="5"/>
  <c r="BU165" i="5"/>
  <c r="BU166" i="5"/>
  <c r="BU167" i="5"/>
  <c r="BU168" i="5"/>
  <c r="BU169" i="5"/>
  <c r="BU170" i="5"/>
  <c r="BU171" i="5"/>
  <c r="BU172" i="5"/>
  <c r="BU173" i="5"/>
  <c r="BU174" i="5"/>
  <c r="BU175" i="5"/>
  <c r="BU176" i="5"/>
  <c r="BU177" i="5"/>
  <c r="BU178" i="5"/>
  <c r="BU179" i="5"/>
  <c r="BU180" i="5"/>
  <c r="BU181" i="5"/>
  <c r="BU182" i="5"/>
  <c r="BU183" i="5"/>
  <c r="BU184" i="5"/>
  <c r="BU185" i="5"/>
  <c r="BU186" i="5"/>
  <c r="BU187" i="5"/>
  <c r="BU188" i="5"/>
  <c r="BU189" i="5"/>
  <c r="BU190" i="5"/>
  <c r="BU191" i="5"/>
  <c r="BU192" i="5"/>
  <c r="BU193" i="5"/>
  <c r="BU194" i="5"/>
  <c r="BU195" i="5"/>
  <c r="BU196" i="5"/>
  <c r="BU197" i="5"/>
  <c r="BU198" i="5"/>
  <c r="BU199" i="5"/>
  <c r="BU200" i="5"/>
  <c r="BU201" i="5"/>
  <c r="BU202" i="5"/>
  <c r="BU203" i="5"/>
  <c r="BU204" i="5"/>
  <c r="BU205" i="5"/>
  <c r="BU206" i="5"/>
  <c r="BU207" i="5"/>
  <c r="BU208" i="5"/>
  <c r="BU209" i="5"/>
  <c r="BU210" i="5"/>
  <c r="BU211" i="5"/>
  <c r="BU212" i="5"/>
  <c r="BU213" i="5"/>
  <c r="BU214" i="5"/>
  <c r="BU215" i="5"/>
  <c r="BU216" i="5"/>
  <c r="BU217" i="5"/>
  <c r="BU218" i="5"/>
  <c r="BU219" i="5"/>
  <c r="BU220" i="5"/>
  <c r="BU221" i="5"/>
  <c r="BU222" i="5"/>
  <c r="BU223" i="5"/>
  <c r="BU224" i="5"/>
  <c r="BU225" i="5"/>
  <c r="BU226" i="5"/>
  <c r="BU227" i="5"/>
  <c r="BU228" i="5"/>
  <c r="BU229" i="5"/>
  <c r="BU230" i="5"/>
  <c r="BU231" i="5"/>
  <c r="BU232" i="5"/>
  <c r="BU233" i="5"/>
  <c r="BU234" i="5"/>
  <c r="BU235" i="5"/>
  <c r="BU236" i="5"/>
  <c r="BU237" i="5"/>
  <c r="BU238" i="5"/>
  <c r="BU239" i="5"/>
  <c r="BU240" i="5"/>
  <c r="BU241" i="5"/>
  <c r="BU242" i="5"/>
  <c r="BU243" i="5"/>
  <c r="BU244" i="5"/>
  <c r="BU245" i="5"/>
  <c r="BU246" i="5"/>
  <c r="BU247" i="5"/>
  <c r="BU248" i="5"/>
  <c r="BU249" i="5"/>
  <c r="BU250" i="5"/>
  <c r="BU251" i="5"/>
  <c r="BU252" i="5"/>
  <c r="BU253" i="5"/>
  <c r="BU254" i="5"/>
  <c r="BU255" i="5"/>
  <c r="BU256" i="5"/>
  <c r="BU257" i="5"/>
  <c r="BU258" i="5"/>
  <c r="BU259" i="5"/>
  <c r="BU260" i="5"/>
  <c r="BU261" i="5"/>
  <c r="BU262" i="5"/>
  <c r="BU263" i="5"/>
  <c r="BU264" i="5"/>
  <c r="BU265" i="5"/>
  <c r="BU266" i="5"/>
  <c r="BU267" i="5"/>
  <c r="BU268" i="5"/>
  <c r="BU269" i="5"/>
  <c r="BU270" i="5"/>
  <c r="BU271" i="5"/>
  <c r="BU272" i="5"/>
  <c r="BU273" i="5"/>
  <c r="BU274" i="5"/>
  <c r="BU275" i="5"/>
  <c r="BU276" i="5"/>
  <c r="BU277" i="5"/>
  <c r="BU278" i="5"/>
  <c r="BU279" i="5"/>
  <c r="BU280" i="5"/>
  <c r="BU281" i="5"/>
  <c r="BU282" i="5"/>
  <c r="BU283" i="5"/>
  <c r="BU284" i="5"/>
  <c r="BU285" i="5"/>
  <c r="BU286" i="5"/>
  <c r="BU287" i="5"/>
  <c r="BU288" i="5"/>
  <c r="BU289" i="5"/>
  <c r="BU290" i="5"/>
  <c r="BU291" i="5"/>
  <c r="BU292" i="5"/>
  <c r="BU293" i="5"/>
  <c r="BU294" i="5"/>
  <c r="BU295" i="5"/>
  <c r="BU296" i="5"/>
  <c r="BU297" i="5"/>
  <c r="BU298" i="5"/>
  <c r="BU299" i="5"/>
  <c r="BU300" i="5"/>
  <c r="BU301" i="5"/>
  <c r="BU302" i="5"/>
  <c r="BU303" i="5"/>
  <c r="BU304" i="5"/>
  <c r="BU305" i="5"/>
  <c r="BU306" i="5"/>
  <c r="BU307" i="5"/>
  <c r="BU308" i="5"/>
  <c r="BU309" i="5"/>
  <c r="BU310" i="5"/>
  <c r="BU311" i="5"/>
  <c r="BU312" i="5"/>
  <c r="BU313" i="5"/>
  <c r="BU314" i="5"/>
  <c r="BU315" i="5"/>
  <c r="BU316" i="5"/>
  <c r="BU317" i="5"/>
  <c r="BU318" i="5"/>
  <c r="BU319" i="5"/>
  <c r="BU320" i="5"/>
  <c r="BU321" i="5"/>
  <c r="BU322" i="5"/>
  <c r="BU323" i="5"/>
  <c r="BU324" i="5"/>
  <c r="BU325" i="5"/>
  <c r="BU326" i="5"/>
  <c r="BU327" i="5"/>
  <c r="BU328" i="5"/>
  <c r="BU329" i="5"/>
  <c r="BU330" i="5"/>
  <c r="BU331" i="5"/>
  <c r="BU332" i="5"/>
  <c r="BU333" i="5"/>
  <c r="BU334" i="5"/>
  <c r="BU335" i="5"/>
  <c r="BU336" i="5"/>
  <c r="BU337" i="5"/>
  <c r="BU338" i="5"/>
  <c r="BU339" i="5"/>
  <c r="BU340" i="5"/>
  <c r="BU341" i="5"/>
  <c r="BU342" i="5"/>
  <c r="BU343" i="5"/>
  <c r="BU344" i="5"/>
  <c r="BU345" i="5"/>
  <c r="BU346" i="5"/>
  <c r="BU347" i="5"/>
  <c r="BU348" i="5"/>
  <c r="BU349" i="5"/>
  <c r="BU350" i="5"/>
  <c r="BU351" i="5"/>
  <c r="BU352" i="5"/>
  <c r="BU353" i="5"/>
  <c r="BU354" i="5"/>
  <c r="BU355" i="5"/>
  <c r="BU356" i="5"/>
  <c r="BU357" i="5"/>
  <c r="BU358" i="5"/>
  <c r="BU359" i="5"/>
  <c r="BU360" i="5"/>
  <c r="BU361" i="5"/>
  <c r="BU362" i="5"/>
  <c r="BU363" i="5"/>
  <c r="BU364" i="5"/>
  <c r="BU365" i="5"/>
  <c r="BU366" i="5"/>
  <c r="BU367" i="5"/>
  <c r="BU368" i="5"/>
  <c r="BU369" i="5"/>
  <c r="BU370" i="5"/>
  <c r="BU371" i="5"/>
  <c r="BU372" i="5"/>
  <c r="BU373" i="5"/>
  <c r="BU374" i="5"/>
  <c r="BU375" i="5"/>
  <c r="BU376" i="5"/>
  <c r="BU377" i="5"/>
  <c r="BU378" i="5"/>
  <c r="BU379" i="5"/>
  <c r="BU380" i="5"/>
  <c r="BU381" i="5"/>
  <c r="BU382" i="5"/>
  <c r="BU383" i="5"/>
  <c r="BU384" i="5"/>
  <c r="BU385" i="5"/>
  <c r="BU386" i="5"/>
  <c r="BU387" i="5"/>
  <c r="BU388" i="5"/>
  <c r="BU389" i="5"/>
  <c r="BU390" i="5"/>
  <c r="BU391" i="5"/>
  <c r="BU392" i="5"/>
  <c r="BU393" i="5"/>
  <c r="BU394" i="5"/>
  <c r="BU395" i="5"/>
  <c r="BU396" i="5"/>
  <c r="BU397" i="5"/>
  <c r="BU398" i="5"/>
  <c r="BU399" i="5"/>
  <c r="BU400" i="5"/>
  <c r="BU401" i="5"/>
  <c r="BU402" i="5"/>
  <c r="BU403" i="5"/>
  <c r="BU404" i="5"/>
  <c r="BU405" i="5"/>
  <c r="BU406" i="5"/>
  <c r="BU407" i="5"/>
  <c r="BU408" i="5"/>
  <c r="BU409" i="5"/>
  <c r="BU410" i="5"/>
  <c r="BU411" i="5"/>
  <c r="BU412" i="5"/>
  <c r="BU413" i="5"/>
  <c r="BU414" i="5"/>
  <c r="BU415" i="5"/>
  <c r="BU416" i="5"/>
  <c r="BU417" i="5"/>
  <c r="BU418" i="5"/>
  <c r="BU419" i="5"/>
  <c r="BU420" i="5"/>
  <c r="BU421" i="5"/>
  <c r="BU422" i="5"/>
  <c r="BU423" i="5"/>
  <c r="BU424" i="5"/>
  <c r="BU425" i="5"/>
  <c r="BU426" i="5"/>
  <c r="BU427" i="5"/>
  <c r="BU428" i="5"/>
  <c r="BU429" i="5"/>
  <c r="BU430" i="5"/>
  <c r="BU431" i="5"/>
  <c r="BU432" i="5"/>
  <c r="BU433" i="5"/>
  <c r="BU434" i="5"/>
  <c r="BU435" i="5"/>
  <c r="BU436" i="5"/>
  <c r="BU437" i="5"/>
  <c r="BU438" i="5"/>
  <c r="BU439" i="5"/>
  <c r="BU440" i="5"/>
  <c r="BU441" i="5"/>
  <c r="BU442" i="5"/>
  <c r="BU443" i="5"/>
  <c r="BU444" i="5"/>
  <c r="BU445" i="5"/>
  <c r="BU446" i="5"/>
  <c r="BU447" i="5"/>
  <c r="BU448" i="5"/>
  <c r="BU449" i="5"/>
  <c r="BU450" i="5"/>
  <c r="BU451" i="5"/>
  <c r="BU452" i="5"/>
  <c r="BU453" i="5"/>
  <c r="BU454" i="5"/>
  <c r="BU455" i="5"/>
  <c r="BU456" i="5"/>
  <c r="BU457" i="5"/>
  <c r="BU458" i="5"/>
  <c r="BU459" i="5"/>
  <c r="BU460" i="5"/>
  <c r="BU461" i="5"/>
  <c r="BU462" i="5"/>
  <c r="BU463" i="5"/>
  <c r="BU464" i="5"/>
  <c r="BU465" i="5"/>
  <c r="BU466" i="5"/>
  <c r="BU467" i="5"/>
  <c r="BU468" i="5"/>
  <c r="BU469" i="5"/>
  <c r="BU470" i="5"/>
  <c r="BU471" i="5"/>
  <c r="BU472" i="5"/>
  <c r="BU473" i="5"/>
  <c r="BU474" i="5"/>
  <c r="BU475" i="5"/>
  <c r="BU476" i="5"/>
  <c r="BU477" i="5"/>
  <c r="BU478" i="5"/>
  <c r="BU479" i="5"/>
  <c r="BU480" i="5"/>
  <c r="BU481" i="5"/>
  <c r="BU482" i="5"/>
  <c r="BU483" i="5"/>
  <c r="BU484" i="5"/>
  <c r="BU485" i="5"/>
  <c r="BU486" i="5"/>
  <c r="BU3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782" i="2"/>
  <c r="E783" i="2"/>
  <c r="E784" i="2"/>
  <c r="E785" i="2"/>
  <c r="E786" i="2"/>
  <c r="E787" i="2"/>
  <c r="E788" i="2"/>
  <c r="E789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2" i="2"/>
  <c r="CF464" i="5"/>
  <c r="CF463" i="5"/>
  <c r="AF22" i="5"/>
  <c r="BK11" i="5"/>
  <c r="AF12" i="5"/>
  <c r="AF14" i="5"/>
  <c r="AF13" i="5"/>
  <c r="AF8" i="5"/>
  <c r="AF7" i="5"/>
  <c r="AF10" i="5"/>
  <c r="AF6" i="5"/>
  <c r="W284" i="1"/>
  <c r="AF21" i="5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tc={A8A1A45E-65D2-4528-95E2-4F408750380E}</author>
  </authors>
  <commentList>
    <comment ref="AQ19" authorId="0" shapeId="0" xr:uid="{A8A1A45E-65D2-4528-95E2-4F40875038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where is station 3? Two station 2's on 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Whitney</author>
  </authors>
  <commentList>
    <comment ref="AC33" authorId="0" shapeId="0" xr:uid="{C35F8177-61AD-40AE-8FB0-143907953EB6}">
      <text>
        <r>
          <rPr>
            <b/>
            <sz val="9"/>
            <color indexed="81"/>
            <rFont val="Tahoma"/>
            <family val="2"/>
          </rPr>
          <t>Whitney:</t>
        </r>
        <r>
          <rPr>
            <sz val="9"/>
            <color indexed="81"/>
            <rFont val="Tahoma"/>
            <family val="2"/>
          </rPr>
          <t xml:space="preserve">
2019 DEP Core samples (Stations 1 &amp; 3) collected in 2019 as part of project - not yet released by ME DEP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<sst xmlns="http://schemas.openxmlformats.org/spreadsheetml/2006/main" count="13224" uniqueCount="310">
  <si>
    <t>LAKNAM</t>
  </si>
  <si>
    <t>MIDAS</t>
  </si>
  <si>
    <t>STATION</t>
  </si>
  <si>
    <t>SAMPDATE</t>
  </si>
  <si>
    <t>AGENCY</t>
  </si>
  <si>
    <t>PROJECT</t>
  </si>
  <si>
    <t>TIME</t>
  </si>
  <si>
    <t>SURVEYOR1</t>
  </si>
  <si>
    <t>SURVEYOR2</t>
  </si>
  <si>
    <t>SURVEYOR3</t>
  </si>
  <si>
    <t>SURVEYOR4</t>
  </si>
  <si>
    <t>WINDVEL</t>
  </si>
  <si>
    <t>WINDDIR</t>
  </si>
  <si>
    <t>CLOUDCVR</t>
  </si>
  <si>
    <t>SECCHI</t>
  </si>
  <si>
    <t>SECCBOT</t>
  </si>
  <si>
    <t>SCOPE</t>
  </si>
  <si>
    <t>REP</t>
  </si>
  <si>
    <t>QA_CERT</t>
  </si>
  <si>
    <t>GLOEO</t>
  </si>
  <si>
    <t>COMMENTS</t>
  </si>
  <si>
    <t>CROSS L</t>
  </si>
  <si>
    <t>EI</t>
  </si>
  <si>
    <t>1230</t>
  </si>
  <si>
    <t>BOUCHER,DAVE</t>
  </si>
  <si>
    <t>O</t>
  </si>
  <si>
    <t>N</t>
  </si>
  <si>
    <t>2</t>
  </si>
  <si>
    <t>1</t>
  </si>
  <si>
    <t>0930</t>
  </si>
  <si>
    <t>B</t>
  </si>
  <si>
    <t>1300</t>
  </si>
  <si>
    <t>C</t>
  </si>
  <si>
    <t>0825</t>
  </si>
  <si>
    <t>SOWLES,JOHN</t>
  </si>
  <si>
    <t>ALLEN,CARL</t>
  </si>
  <si>
    <t>1145</t>
  </si>
  <si>
    <t>1610</t>
  </si>
  <si>
    <t>1400</t>
  </si>
  <si>
    <t>WELCH,BARB</t>
  </si>
  <si>
    <t>1415</t>
  </si>
  <si>
    <t>CHRISTIE</t>
  </si>
  <si>
    <t>1100</t>
  </si>
  <si>
    <t>SMITH,RUSSELL</t>
  </si>
  <si>
    <t>1105</t>
  </si>
  <si>
    <t>MOULTON,JOHN</t>
  </si>
  <si>
    <t>1110</t>
  </si>
  <si>
    <t>1008</t>
  </si>
  <si>
    <t>1033</t>
  </si>
  <si>
    <t>1225</t>
  </si>
  <si>
    <t>ST GERMAIN,MARK</t>
  </si>
  <si>
    <t>SCOTT,MATT</t>
  </si>
  <si>
    <t>1646</t>
  </si>
  <si>
    <t>BAS</t>
  </si>
  <si>
    <t>1420</t>
  </si>
  <si>
    <t>VETTER,S M</t>
  </si>
  <si>
    <t>1015</t>
  </si>
  <si>
    <t>1620</t>
  </si>
  <si>
    <t>VETTER</t>
  </si>
  <si>
    <t>1600</t>
  </si>
  <si>
    <t>VETTER,PU</t>
  </si>
  <si>
    <t>0845</t>
  </si>
  <si>
    <t>1215</t>
  </si>
  <si>
    <t>1630</t>
  </si>
  <si>
    <t>1435</t>
  </si>
  <si>
    <t>1055</t>
  </si>
  <si>
    <t>PEARSALL,WEB</t>
  </si>
  <si>
    <t>1205</t>
  </si>
  <si>
    <t>1140</t>
  </si>
  <si>
    <t>1255</t>
  </si>
  <si>
    <t>SCOTT,MATTHEW</t>
  </si>
  <si>
    <t>1210</t>
  </si>
  <si>
    <t>1135</t>
  </si>
  <si>
    <t>1345</t>
  </si>
  <si>
    <t>1325</t>
  </si>
  <si>
    <t>1010</t>
  </si>
  <si>
    <t>1340</t>
  </si>
  <si>
    <t>1410</t>
  </si>
  <si>
    <t>1505</t>
  </si>
  <si>
    <t>1335</t>
  </si>
  <si>
    <t>1155</t>
  </si>
  <si>
    <t>ARCHER,NICK</t>
  </si>
  <si>
    <t>1102</t>
  </si>
  <si>
    <t>1240</t>
  </si>
  <si>
    <t>1130</t>
  </si>
  <si>
    <t>0800</t>
  </si>
  <si>
    <t>BOUCHARD,ROY</t>
  </si>
  <si>
    <t>0900</t>
  </si>
  <si>
    <t>DENNIS,JEFF</t>
  </si>
  <si>
    <t>1612</t>
  </si>
  <si>
    <t>MORRIS</t>
  </si>
  <si>
    <t>1120</t>
  </si>
  <si>
    <t>1715</t>
  </si>
  <si>
    <t>1115</t>
  </si>
  <si>
    <t>1520</t>
  </si>
  <si>
    <t>1328</t>
  </si>
  <si>
    <t>HOPPE,KATHY</t>
  </si>
  <si>
    <t>1152</t>
  </si>
  <si>
    <t>1058</t>
  </si>
  <si>
    <t>COOPER,CURTIS</t>
  </si>
  <si>
    <t>1245</t>
  </si>
  <si>
    <t>1430</t>
  </si>
  <si>
    <t>1000</t>
  </si>
  <si>
    <t>1200</t>
  </si>
  <si>
    <t>1441</t>
  </si>
  <si>
    <t>1316</t>
  </si>
  <si>
    <t>1330</t>
  </si>
  <si>
    <t>WEZNER</t>
  </si>
  <si>
    <t>1020</t>
  </si>
  <si>
    <t>1050</t>
  </si>
  <si>
    <t>1045</t>
  </si>
  <si>
    <t>1150</t>
  </si>
  <si>
    <t>1040</t>
  </si>
  <si>
    <t>0935</t>
  </si>
  <si>
    <t>1500</t>
  </si>
  <si>
    <t>POTVIN,JUDY</t>
  </si>
  <si>
    <t>1310</t>
  </si>
  <si>
    <t>0830</t>
  </si>
  <si>
    <t>1333</t>
  </si>
  <si>
    <t>NOEL,JOYCE</t>
  </si>
  <si>
    <t>1359</t>
  </si>
  <si>
    <t>1133</t>
  </si>
  <si>
    <t>1317</t>
  </si>
  <si>
    <t>900</t>
  </si>
  <si>
    <t>1411</t>
  </si>
  <si>
    <t>930</t>
  </si>
  <si>
    <t>1232</t>
  </si>
  <si>
    <t>SHEEHAN,BILL</t>
  </si>
  <si>
    <t>1305</t>
  </si>
  <si>
    <t>LABLANC</t>
  </si>
  <si>
    <t>1222</t>
  </si>
  <si>
    <t>1320</t>
  </si>
  <si>
    <t>1141</t>
  </si>
  <si>
    <t>1211</t>
  </si>
  <si>
    <t>ARNOLD,SCOTT</t>
  </si>
  <si>
    <t>947</t>
  </si>
  <si>
    <t>1047</t>
  </si>
  <si>
    <t>926</t>
  </si>
  <si>
    <t>1154</t>
  </si>
  <si>
    <t>MARTIN,REYNOLD</t>
  </si>
  <si>
    <t>4</t>
  </si>
  <si>
    <t>910</t>
  </si>
  <si>
    <t>1450</t>
  </si>
  <si>
    <t>1405</t>
  </si>
  <si>
    <t>800</t>
  </si>
  <si>
    <t>KARTER</t>
  </si>
  <si>
    <t>1455</t>
  </si>
  <si>
    <t>1510</t>
  </si>
  <si>
    <t>MA-0144</t>
  </si>
  <si>
    <t>1250</t>
  </si>
  <si>
    <t>BO-0905</t>
  </si>
  <si>
    <t>1440</t>
  </si>
  <si>
    <t>1220</t>
  </si>
  <si>
    <t>HASKINS,CAROL</t>
  </si>
  <si>
    <t>HO-0914</t>
  </si>
  <si>
    <t>0715</t>
  </si>
  <si>
    <t>PO-0901</t>
  </si>
  <si>
    <t>1425</t>
  </si>
  <si>
    <t>1307</t>
  </si>
  <si>
    <t>THOMAS,STACEY</t>
  </si>
  <si>
    <t>HAM,ERIC</t>
  </si>
  <si>
    <t>0920</t>
  </si>
  <si>
    <t>1053</t>
  </si>
  <si>
    <t>0730</t>
  </si>
  <si>
    <t>1554</t>
  </si>
  <si>
    <t>SUITOR;DOUG</t>
  </si>
  <si>
    <t>HOPPE; KATHY</t>
  </si>
  <si>
    <t>SU-2611</t>
  </si>
  <si>
    <t>1431</t>
  </si>
  <si>
    <t>BLANCHETTE;DENISE</t>
  </si>
  <si>
    <t>CONNORS;BETH</t>
  </si>
  <si>
    <t>BL-2188</t>
  </si>
  <si>
    <t>940</t>
  </si>
  <si>
    <t>ST. PETER;KIRK</t>
  </si>
  <si>
    <t>ST. PETER;CHERYL</t>
  </si>
  <si>
    <t>ST-2685</t>
  </si>
  <si>
    <t>1108</t>
  </si>
  <si>
    <t>ST-2686</t>
  </si>
  <si>
    <t>1204</t>
  </si>
  <si>
    <t>1558</t>
  </si>
  <si>
    <t>HOPPEE;CATHY</t>
  </si>
  <si>
    <t>1123</t>
  </si>
  <si>
    <t>1348</t>
  </si>
  <si>
    <t>1004</t>
  </si>
  <si>
    <t>1128</t>
  </si>
  <si>
    <t>950</t>
  </si>
  <si>
    <t>1218</t>
  </si>
  <si>
    <t>1134</t>
  </si>
  <si>
    <t>1107</t>
  </si>
  <si>
    <t>DEPTH</t>
  </si>
  <si>
    <t>TEMP</t>
  </si>
  <si>
    <t>OXYGEN</t>
  </si>
  <si>
    <t>OXYMETH</t>
  </si>
  <si>
    <t>M</t>
  </si>
  <si>
    <t>TYPE</t>
  </si>
  <si>
    <t>PH</t>
  </si>
  <si>
    <t>PHMETH</t>
  </si>
  <si>
    <t>PHLAB</t>
  </si>
  <si>
    <t>COLOR</t>
  </si>
  <si>
    <t>AORT</t>
  </si>
  <si>
    <t>COLRMETH</t>
  </si>
  <si>
    <t>COLRLAB</t>
  </si>
  <si>
    <t>CONDUCT</t>
  </si>
  <si>
    <t>CONDMETH</t>
  </si>
  <si>
    <t>CONDLAB</t>
  </si>
  <si>
    <t>ALK</t>
  </si>
  <si>
    <t>ALKMETH</t>
  </si>
  <si>
    <t>ALKLAB</t>
  </si>
  <si>
    <t>DEP</t>
  </si>
  <si>
    <t>A</t>
  </si>
  <si>
    <t>E</t>
  </si>
  <si>
    <t>G</t>
  </si>
  <si>
    <t>H</t>
  </si>
  <si>
    <t>SECRL</t>
  </si>
  <si>
    <t>L</t>
  </si>
  <si>
    <t>S</t>
  </si>
  <si>
    <t>T</t>
  </si>
  <si>
    <t>F</t>
  </si>
  <si>
    <t>Spectrophotometric</t>
  </si>
  <si>
    <t>Lab Meter</t>
  </si>
  <si>
    <t>ELECTRONIC</t>
  </si>
  <si>
    <t>SPECTROPHOTOMETRIC</t>
  </si>
  <si>
    <t>LAB METER</t>
  </si>
  <si>
    <t>CHLA</t>
  </si>
  <si>
    <t>R</t>
  </si>
  <si>
    <t>FLAG</t>
  </si>
  <si>
    <t>D</t>
  </si>
  <si>
    <t>HETL</t>
  </si>
  <si>
    <t>TP_PPM</t>
  </si>
  <si>
    <t>LAB</t>
  </si>
  <si>
    <t>COUNT</t>
  </si>
  <si>
    <t>QUAL</t>
  </si>
  <si>
    <t>DEP LAB</t>
  </si>
  <si>
    <t>EC</t>
  </si>
  <si>
    <t>BG</t>
  </si>
  <si>
    <t>PG</t>
  </si>
  <si>
    <t>SG</t>
  </si>
  <si>
    <t>ECL</t>
  </si>
  <si>
    <t>YEAR</t>
  </si>
  <si>
    <t>Daily Avg</t>
  </si>
  <si>
    <t>SDT - STATION #1</t>
  </si>
  <si>
    <t>year</t>
  </si>
  <si>
    <t>annual avg</t>
  </si>
  <si>
    <t>min</t>
  </si>
  <si>
    <t>max</t>
  </si>
  <si>
    <t xml:space="preserve">Historical </t>
  </si>
  <si>
    <t>FOCL</t>
  </si>
  <si>
    <t>SDT - STATION #2</t>
  </si>
  <si>
    <t>Averages</t>
  </si>
  <si>
    <t xml:space="preserve"> </t>
  </si>
  <si>
    <t xml:space="preserve">min </t>
  </si>
  <si>
    <t>1984 n=7</t>
  </si>
  <si>
    <t>1986 n=13</t>
  </si>
  <si>
    <t>2019 n=11</t>
  </si>
  <si>
    <t>1987 n=12</t>
  </si>
  <si>
    <t>1988 n=10</t>
  </si>
  <si>
    <t>1989 n=9</t>
  </si>
  <si>
    <t>1990 n=5</t>
  </si>
  <si>
    <t>1991 n=4</t>
  </si>
  <si>
    <t>1992 n=6</t>
  </si>
  <si>
    <t>1994 n=2</t>
  </si>
  <si>
    <t>2000 n=2</t>
  </si>
  <si>
    <t>2004 n=4</t>
  </si>
  <si>
    <t>Depth DO &lt;5 ppm (m)</t>
  </si>
  <si>
    <t>Depth DO &lt;1 ppm (m)</t>
  </si>
  <si>
    <t>TP PPB</t>
  </si>
  <si>
    <t>ALL TP DATA</t>
  </si>
  <si>
    <t>STATION 1 - BOTTOM GRABS</t>
  </si>
  <si>
    <t>STATION 1 - PROFILE GRABS</t>
  </si>
  <si>
    <t>Avg Annual Epi-core TP (ppb)</t>
  </si>
  <si>
    <t>Historical Average</t>
  </si>
  <si>
    <t>n</t>
  </si>
  <si>
    <t>Year</t>
  </si>
  <si>
    <t>SDT - STATION #3</t>
  </si>
  <si>
    <t>STATION 1 - SURFACE GRABS</t>
  </si>
  <si>
    <t>Historical avg</t>
  </si>
  <si>
    <t>EPILIMNETIC CORE SAMPLES</t>
  </si>
  <si>
    <t>Station 1</t>
  </si>
  <si>
    <t>Station 2</t>
  </si>
  <si>
    <t>Station 3</t>
  </si>
  <si>
    <t>Station 1 TP Profiles</t>
  </si>
  <si>
    <t xml:space="preserve"> Avg Chl-a (ppb)</t>
  </si>
  <si>
    <t>STATION 1</t>
  </si>
  <si>
    <t xml:space="preserve">Secchi Disk Transparency </t>
  </si>
  <si>
    <t>x</t>
  </si>
  <si>
    <t>Total Phosphorus - Core</t>
  </si>
  <si>
    <t>Total Phosphorus  - Bottom Grab</t>
  </si>
  <si>
    <t>Total Phosphorus - Profiles</t>
  </si>
  <si>
    <t>Total Phosphorus - Surface Grab</t>
  </si>
  <si>
    <t>Chlorophyll-a</t>
  </si>
  <si>
    <t>Dissolved Oxygen/Temperature Profiles</t>
  </si>
  <si>
    <t>STATION 2</t>
  </si>
  <si>
    <t>STATION 3</t>
  </si>
  <si>
    <t>Created: April 13, 2020 by Ecological Instincts</t>
  </si>
  <si>
    <t># Years</t>
  </si>
  <si>
    <t>Historical Avg (All data)</t>
  </si>
  <si>
    <t>2016-2019 Avg</t>
  </si>
  <si>
    <t>Historical avg (2018 only)</t>
  </si>
  <si>
    <t>winter sample…</t>
  </si>
  <si>
    <t>Peak</t>
  </si>
  <si>
    <t>CROSS LAKE - DATA SUMMARY (1981 - 2020)</t>
  </si>
  <si>
    <t>13+</t>
  </si>
  <si>
    <t>Other Stations</t>
  </si>
  <si>
    <t>Other Stations (2019 &amp; 2020 for Station 3 not entered into this spreadsheet for this analysis)</t>
  </si>
  <si>
    <t>(see 2019 &amp; 2020 PG under all data)</t>
  </si>
  <si>
    <t>Has not been updated to include 2020 data</t>
  </si>
  <si>
    <t>Daily Avg.</t>
  </si>
  <si>
    <t>SUITOR: DOUG</t>
  </si>
  <si>
    <t>Updated: January 5, 2021 by Ecological Instincts</t>
  </si>
  <si>
    <t>EI to add category for DO &lt; 2ppm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</si>
</sst>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0.0"/>
    <numFmt numFmtId="166" formatCode="0.0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Arial Nova Light"/>
      <family val="2"/>
    </font>
    <font>
      <sz val="9"/>
      <color theme="1"/>
      <name val="Arial Nova Light"/>
      <family val="2"/>
    </font>
    <font>
      <sz val="8"/>
      <color rgb="FFFF0000"/>
      <name val="Arial Nova Light"/>
      <family val="2"/>
    </font>
    <font>
      <i/>
      <sz val="8"/>
      <color theme="1"/>
      <name val="Arial Nova Light"/>
      <family val="2"/>
    </font>
    <font>
      <i/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6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1" borderId="18" applyNumberFormat="0" applyAlignment="0" applyProtection="0"/>
    <xf numFmtId="0" fontId="30" fillId="12" borderId="19" applyNumberFormat="0" applyAlignment="0" applyProtection="0"/>
    <xf numFmtId="0" fontId="31" fillId="12" borderId="18" applyNumberFormat="0" applyAlignment="0" applyProtection="0"/>
    <xf numFmtId="0" fontId="32" fillId="0" borderId="20" applyNumberFormat="0" applyFill="0" applyAlignment="0" applyProtection="0"/>
    <xf numFmtId="0" fontId="33" fillId="13" borderId="21" applyNumberFormat="0" applyAlignment="0" applyProtection="0"/>
    <xf numFmtId="0" fontId="34" fillId="0" borderId="0" applyNumberFormat="0" applyFill="0" applyBorder="0" applyAlignment="0" applyProtection="0"/>
    <xf numFmtId="0" fontId="23" fillId="14" borderId="22" applyNumberFormat="0" applyFont="0" applyAlignment="0" applyProtection="0"/>
    <xf numFmtId="0" fontId="35" fillId="0" borderId="0" applyNumberFormat="0" applyFill="0" applyBorder="0" applyAlignment="0" applyProtection="0"/>
    <xf numFmtId="0" fontId="1" fillId="0" borderId="23" applyNumberFormat="0" applyFill="0" applyAlignment="0" applyProtection="0"/>
    <xf numFmtId="0" fontId="3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6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36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6" fillId="18" borderId="0" applyNumberFormat="0" applyBorder="0" applyAlignment="0" applyProtection="0"/>
    <xf numFmtId="0" fontId="36" fillId="22" borderId="0" applyNumberFormat="0" applyBorder="0" applyAlignment="0" applyProtection="0"/>
    <xf numFmtId="0" fontId="36" fillId="26" borderId="0" applyNumberFormat="0" applyBorder="0" applyAlignment="0" applyProtection="0"/>
    <xf numFmtId="0" fontId="36" fillId="30" borderId="0" applyNumberFormat="0" applyBorder="0" applyAlignment="0" applyProtection="0"/>
    <xf numFmtId="0" fontId="36" fillId="34" borderId="0" applyNumberFormat="0" applyBorder="0" applyAlignment="0" applyProtection="0"/>
    <xf numFmtId="0" fontId="36" fillId="38" borderId="0" applyNumberFormat="0" applyBorder="0" applyAlignment="0" applyProtection="0"/>
  </cellStyleXfs>
  <cellXfs count="300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 applyAlignment="1" applyProtection="1">
      <alignment vertical="center"/>
    </xf>
    <xf numFmtId="14" fontId="0" fillId="2" borderId="0" xfId="0" applyNumberFormat="1" applyFill="1" applyAlignment="1" applyProtection="1">
      <alignment vertical="center"/>
    </xf>
    <xf numFmtId="1" fontId="0" fillId="2" borderId="0" xfId="0" applyNumberFormat="1" applyFill="1" applyAlignment="1" applyProtection="1">
      <alignment vertical="center"/>
    </xf>
    <xf numFmtId="0" fontId="0" fillId="2" borderId="0" xfId="0" applyFill="1"/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1" fontId="0" fillId="0" borderId="0" xfId="0" applyNumberFormat="1" applyFill="1" applyAlignment="1" applyProtection="1">
      <alignment vertical="center"/>
    </xf>
    <xf numFmtId="0" fontId="0" fillId="0" borderId="1" xfId="0" applyFill="1" applyBorder="1"/>
    <xf numFmtId="1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Alignment="1"/>
    <xf numFmtId="1" fontId="0" fillId="0" borderId="0" xfId="0" applyNumberFormat="1"/>
    <xf numFmtId="2" fontId="0" fillId="0" borderId="0" xfId="0" applyNumberFormat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1" fontId="0" fillId="0" borderId="0" xfId="0" applyNumberFormat="1" applyFill="1" applyBorder="1" applyAlignment="1" applyProtection="1">
      <alignment vertical="center"/>
    </xf>
    <xf numFmtId="0" fontId="2" fillId="0" borderId="0" xfId="0" applyFont="1" applyFill="1" applyBorder="1"/>
    <xf numFmtId="14" fontId="0" fillId="0" borderId="0" xfId="0" applyNumberFormat="1" applyAlignment="1">
      <alignment horizontal="right"/>
    </xf>
    <xf numFmtId="14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14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1" xfId="0" applyNumberFormat="1" applyFill="1" applyBorder="1"/>
    <xf numFmtId="2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14" fontId="3" fillId="0" borderId="0" xfId="0" applyNumberFormat="1" applyFont="1" applyAlignment="1">
      <alignment textRotation="90"/>
    </xf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4" fontId="6" fillId="4" borderId="0" xfId="0" applyNumberFormat="1" applyFont="1" applyFill="1" applyBorder="1" applyAlignment="1">
      <alignment textRotation="90"/>
    </xf>
    <xf numFmtId="14" fontId="6" fillId="4" borderId="6" xfId="0" applyNumberFormat="1" applyFont="1" applyFill="1" applyBorder="1" applyAlignment="1">
      <alignment textRotation="90"/>
    </xf>
    <xf numFmtId="14" fontId="6" fillId="4" borderId="4" xfId="0" applyNumberFormat="1" applyFont="1" applyFill="1" applyBorder="1" applyAlignment="1">
      <alignment textRotation="90"/>
    </xf>
    <xf numFmtId="14" fontId="6" fillId="4" borderId="11" xfId="0" applyNumberFormat="1" applyFont="1" applyFill="1" applyBorder="1" applyAlignment="1">
      <alignment textRotation="90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textRotation="90"/>
    </xf>
    <xf numFmtId="0" fontId="9" fillId="5" borderId="0" xfId="0" applyFont="1" applyFill="1" applyAlignment="1">
      <alignment horizontal="center" vertical="center" wrapText="1"/>
    </xf>
    <xf numFmtId="14" fontId="6" fillId="5" borderId="11" xfId="0" applyNumberFormat="1" applyFont="1" applyFill="1" applyBorder="1" applyAlignment="1">
      <alignment textRotation="90"/>
    </xf>
    <xf numFmtId="14" fontId="6" fillId="5" borderId="6" xfId="0" applyNumberFormat="1" applyFont="1" applyFill="1" applyBorder="1" applyAlignment="1">
      <alignment textRotation="90"/>
    </xf>
    <xf numFmtId="14" fontId="6" fillId="5" borderId="0" xfId="0" applyNumberFormat="1" applyFont="1" applyFill="1" applyBorder="1" applyAlignment="1">
      <alignment textRotation="90"/>
    </xf>
    <xf numFmtId="14" fontId="6" fillId="5" borderId="4" xfId="0" applyNumberFormat="1" applyFont="1" applyFill="1" applyBorder="1" applyAlignment="1">
      <alignment textRotation="90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1" fontId="8" fillId="5" borderId="0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6" fillId="5" borderId="0" xfId="0" applyFont="1" applyFill="1"/>
    <xf numFmtId="0" fontId="7" fillId="5" borderId="0" xfId="0" applyFont="1" applyFill="1" applyAlignment="1"/>
    <xf numFmtId="14" fontId="6" fillId="5" borderId="0" xfId="0" applyNumberFormat="1" applyFont="1" applyFill="1" applyAlignment="1">
      <alignment textRotation="90"/>
    </xf>
    <xf numFmtId="0" fontId="6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14" fontId="0" fillId="0" borderId="0" xfId="0" applyNumberFormat="1" applyBorder="1"/>
    <xf numFmtId="0" fontId="0" fillId="0" borderId="1" xfId="0" applyBorder="1"/>
    <xf numFmtId="0" fontId="1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Border="1"/>
    <xf numFmtId="14" fontId="12" fillId="0" borderId="0" xfId="0" applyNumberFormat="1" applyFont="1" applyBorder="1"/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64" fontId="1" fillId="0" borderId="0" xfId="0" applyNumberFormat="1" applyFont="1" applyAlignment="1"/>
    <xf numFmtId="0" fontId="0" fillId="0" borderId="0" xfId="0" applyAlignment="1">
      <alignment horizontal="right"/>
    </xf>
    <xf numFmtId="0" fontId="15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1" fontId="5" fillId="0" borderId="0" xfId="0" applyNumberFormat="1" applyFont="1" applyAlignment="1">
      <alignment horizontal="center"/>
    </xf>
    <xf numFmtId="1" fontId="16" fillId="0" borderId="0" xfId="0" applyNumberFormat="1" applyFont="1" applyFill="1" applyAlignment="1">
      <alignment horizontal="center"/>
    </xf>
    <xf numFmtId="1" fontId="1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2" fillId="0" borderId="1" xfId="0" applyFont="1" applyBorder="1"/>
    <xf numFmtId="14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1" fontId="18" fillId="0" borderId="4" xfId="0" applyNumberFormat="1" applyFont="1" applyBorder="1"/>
    <xf numFmtId="2" fontId="18" fillId="0" borderId="0" xfId="0" applyNumberFormat="1" applyFont="1"/>
    <xf numFmtId="2" fontId="18" fillId="0" borderId="6" xfId="0" applyNumberFormat="1" applyFont="1" applyBorder="1"/>
    <xf numFmtId="2" fontId="18" fillId="0" borderId="0" xfId="0" applyNumberFormat="1" applyFont="1" applyBorder="1"/>
    <xf numFmtId="2" fontId="18" fillId="0" borderId="6" xfId="0" applyNumberFormat="1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1" fontId="18" fillId="0" borderId="13" xfId="0" applyNumberFormat="1" applyFont="1" applyBorder="1"/>
    <xf numFmtId="2" fontId="18" fillId="0" borderId="13" xfId="0" applyNumberFormat="1" applyFont="1" applyBorder="1"/>
    <xf numFmtId="2" fontId="18" fillId="0" borderId="1" xfId="0" applyNumberFormat="1" applyFont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2" fontId="17" fillId="2" borderId="2" xfId="0" applyNumberFormat="1" applyFont="1" applyFill="1" applyBorder="1" applyAlignment="1">
      <alignment horizontal="center"/>
    </xf>
    <xf numFmtId="2" fontId="17" fillId="2" borderId="12" xfId="0" applyNumberFormat="1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18" fillId="0" borderId="0" xfId="0" applyFont="1" applyFill="1" applyAlignment="1"/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18" fillId="0" borderId="5" xfId="0" applyFont="1" applyBorder="1"/>
    <xf numFmtId="0" fontId="19" fillId="0" borderId="0" xfId="0" applyFont="1" applyFill="1" applyAlignment="1">
      <alignment horizontal="center"/>
    </xf>
    <xf numFmtId="0" fontId="15" fillId="0" borderId="0" xfId="0" applyFont="1" applyBorder="1"/>
    <xf numFmtId="14" fontId="15" fillId="0" borderId="0" xfId="0" applyNumberFormat="1" applyFont="1" applyBorder="1"/>
    <xf numFmtId="1" fontId="20" fillId="0" borderId="0" xfId="0" applyNumberFormat="1" applyFont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5" fillId="0" borderId="0" xfId="0" applyNumberFormat="1" applyFont="1" applyBorder="1"/>
    <xf numFmtId="0" fontId="15" fillId="0" borderId="0" xfId="0" applyFont="1" applyBorder="1" applyAlignment="1">
      <alignment horizontal="right"/>
    </xf>
    <xf numFmtId="0" fontId="15" fillId="0" borderId="0" xfId="0" applyFont="1"/>
    <xf numFmtId="14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21" fillId="0" borderId="0" xfId="0" applyFont="1"/>
    <xf numFmtId="0" fontId="21" fillId="0" borderId="0" xfId="0" applyNumberFormat="1" applyFont="1"/>
    <xf numFmtId="14" fontId="21" fillId="0" borderId="0" xfId="0" applyNumberFormat="1" applyFont="1"/>
    <xf numFmtId="0" fontId="21" fillId="0" borderId="0" xfId="0" applyFont="1" applyBorder="1"/>
    <xf numFmtId="14" fontId="21" fillId="0" borderId="0" xfId="0" applyNumberFormat="1" applyFont="1" applyBorder="1"/>
    <xf numFmtId="0" fontId="21" fillId="0" borderId="0" xfId="0" applyNumberFormat="1" applyFont="1" applyBorder="1"/>
    <xf numFmtId="14" fontId="21" fillId="0" borderId="0" xfId="0" applyNumberFormat="1" applyFont="1" applyFill="1" applyBorder="1"/>
    <xf numFmtId="14" fontId="21" fillId="0" borderId="0" xfId="0" applyNumberFormat="1" applyFont="1" applyFill="1" applyBorder="1" applyAlignment="1"/>
    <xf numFmtId="0" fontId="21" fillId="0" borderId="0" xfId="0" applyFont="1" applyBorder="1" applyAlignment="1">
      <alignment horizontal="right"/>
    </xf>
    <xf numFmtId="0" fontId="39" fillId="7" borderId="7" xfId="0" applyFont="1" applyFill="1" applyBorder="1"/>
    <xf numFmtId="0" fontId="3" fillId="0" borderId="0" xfId="0" applyFont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9" fillId="7" borderId="12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0" fillId="0" borderId="8" xfId="0" applyFont="1" applyBorder="1" applyAlignment="1">
      <alignment horizontal="right"/>
    </xf>
    <xf numFmtId="0" fontId="3" fillId="4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/>
    <xf numFmtId="0" fontId="40" fillId="0" borderId="12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5" borderId="2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0" fillId="0" borderId="7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3" fillId="39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0" fillId="0" borderId="0" xfId="0" applyFont="1" applyFill="1" applyBorder="1" applyAlignment="1">
      <alignment horizontal="right"/>
    </xf>
    <xf numFmtId="2" fontId="18" fillId="3" borderId="0" xfId="0" applyNumberFormat="1" applyFont="1" applyFill="1"/>
    <xf numFmtId="0" fontId="42" fillId="44" borderId="2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42" fillId="42" borderId="2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43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47" borderId="0" xfId="0" applyFill="1" applyAlignment="1">
      <alignment horizontal="left"/>
    </xf>
    <xf numFmtId="0" fontId="0" fillId="0" borderId="25" xfId="0" applyBorder="1" applyAlignment="1">
      <alignment horizontal="left"/>
    </xf>
    <xf numFmtId="0" fontId="40" fillId="0" borderId="25" xfId="0" applyFont="1" applyBorder="1" applyAlignment="1">
      <alignment horizontal="left"/>
    </xf>
    <xf numFmtId="0" fontId="39" fillId="7" borderId="25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 textRotation="90"/>
    </xf>
    <xf numFmtId="2" fontId="18" fillId="48" borderId="0" xfId="0" applyNumberFormat="1" applyFont="1" applyFill="1"/>
    <xf numFmtId="2" fontId="18" fillId="49" borderId="0" xfId="0" applyNumberFormat="1" applyFont="1" applyFill="1"/>
    <xf numFmtId="0" fontId="34" fillId="0" borderId="0" xfId="0" applyFont="1"/>
    <xf numFmtId="14" fontId="0" fillId="50" borderId="0" xfId="0" applyNumberFormat="1" applyFill="1"/>
    <xf numFmtId="1" fontId="15" fillId="0" borderId="0" xfId="0" applyNumberFormat="1" applyFont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" fontId="15" fillId="49" borderId="0" xfId="0" applyNumberFormat="1" applyFont="1" applyFill="1" applyAlignment="1">
      <alignment horizontal="center"/>
    </xf>
    <xf numFmtId="0" fontId="16" fillId="51" borderId="1" xfId="0" applyFont="1" applyFill="1" applyBorder="1" applyAlignment="1">
      <alignment horizontal="center"/>
    </xf>
    <xf numFmtId="0" fontId="1" fillId="51" borderId="0" xfId="0" applyFont="1" applyFill="1" applyAlignment="1">
      <alignment horizontal="right"/>
    </xf>
    <xf numFmtId="1" fontId="1" fillId="51" borderId="0" xfId="0" applyNumberFormat="1" applyFont="1" applyFill="1" applyAlignment="1">
      <alignment horizontal="center"/>
    </xf>
    <xf numFmtId="1" fontId="16" fillId="51" borderId="0" xfId="0" applyNumberFormat="1" applyFont="1" applyFill="1" applyAlignment="1">
      <alignment horizontal="center"/>
    </xf>
    <xf numFmtId="0" fontId="39" fillId="7" borderId="14" xfId="0" applyFont="1" applyFill="1" applyBorder="1" applyAlignment="1">
      <alignment horizontal="left"/>
    </xf>
    <xf numFmtId="0" fontId="41" fillId="46" borderId="0" xfId="0" applyFont="1" applyFill="1" applyBorder="1" applyAlignment="1">
      <alignment horizontal="center" vertical="center"/>
    </xf>
    <xf numFmtId="164" fontId="1" fillId="0" borderId="0" xfId="0" applyNumberFormat="1" applyFont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0" fontId="4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165" fontId="15" fillId="52" borderId="0" xfId="0" applyNumberFormat="1" applyFont="1" applyFill="1" applyBorder="1" applyAlignment="1">
      <alignment horizontal="center"/>
    </xf>
    <xf numFmtId="166" fontId="12" fillId="0" borderId="0" xfId="0" applyNumberFormat="1" applyFont="1"/>
    <xf numFmtId="166" fontId="12" fillId="0" borderId="0" xfId="0" applyNumberFormat="1" applyFont="1" applyBorder="1"/>
    <xf numFmtId="165" fontId="12" fillId="0" borderId="0" xfId="0" applyNumberFormat="1" applyFont="1"/>
    <xf numFmtId="1" fontId="12" fillId="0" borderId="0" xfId="0" applyNumberFormat="1" applyFont="1"/>
    <xf numFmtId="165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21" fillId="0" borderId="0" xfId="0" applyFont="1" applyFill="1" applyBorder="1"/>
    <xf numFmtId="1" fontId="1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6" fontId="21" fillId="0" borderId="0" xfId="0" applyNumberFormat="1" applyFont="1"/>
    <xf numFmtId="1" fontId="21" fillId="0" borderId="0" xfId="0" applyNumberFormat="1" applyFont="1"/>
    <xf numFmtId="0" fontId="21" fillId="0" borderId="0" xfId="0" applyFont="1" applyBorder="1" applyAlignment="1">
      <alignment horizontal="center"/>
    </xf>
    <xf numFmtId="166" fontId="21" fillId="0" borderId="0" xfId="0" applyNumberFormat="1" applyFont="1" applyBorder="1" applyAlignment="1"/>
    <xf numFmtId="0" fontId="21" fillId="0" borderId="0" xfId="0" applyFont="1" applyBorder="1" applyAlignment="1"/>
    <xf numFmtId="1" fontId="0" fillId="0" borderId="0" xfId="0" applyNumberFormat="1" applyBorder="1"/>
    <xf numFmtId="0" fontId="1" fillId="0" borderId="0" xfId="0" applyNumberFormat="1" applyFont="1" applyBorder="1" applyAlignment="1"/>
    <xf numFmtId="1" fontId="1" fillId="0" borderId="0" xfId="0" applyNumberFormat="1" applyFont="1" applyBorder="1" applyAlignment="1"/>
    <xf numFmtId="0" fontId="2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0" fillId="0" borderId="0" xfId="0" applyNumberFormat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2" fontId="0" fillId="2" borderId="0" xfId="0" applyNumberFormat="1" applyFont="1" applyFill="1" applyBorder="1" applyAlignment="1"/>
    <xf numFmtId="2" fontId="2" fillId="0" borderId="0" xfId="0" applyNumberFormat="1" applyFont="1" applyFill="1"/>
    <xf numFmtId="0" fontId="15" fillId="48" borderId="0" xfId="0" applyFont="1" applyFill="1"/>
    <xf numFmtId="0" fontId="21" fillId="48" borderId="0" xfId="0" applyFont="1" applyFill="1"/>
    <xf numFmtId="0" fontId="4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0" fontId="15" fillId="0" borderId="0" xfId="0" applyFont="1" applyFill="1" applyAlignment="1">
      <alignment horizontal="right"/>
    </xf>
    <xf numFmtId="14" fontId="34" fillId="0" borderId="0" xfId="0" applyNumberFormat="1" applyFont="1"/>
    <xf numFmtId="14" fontId="34" fillId="0" borderId="0" xfId="0" applyNumberFormat="1" applyFont="1" applyFill="1" applyBorder="1" applyAlignment="1"/>
    <xf numFmtId="2" fontId="43" fillId="0" borderId="0" xfId="0" applyNumberFormat="1" applyFont="1" applyFill="1" applyBorder="1"/>
    <xf numFmtId="14" fontId="0" fillId="2" borderId="0" xfId="0" applyNumberFormat="1" applyFill="1" applyBorder="1" applyAlignment="1">
      <alignment horizontal="right"/>
    </xf>
    <xf numFmtId="1" fontId="0" fillId="2" borderId="0" xfId="0" applyNumberFormat="1" applyFill="1" applyBorder="1" applyAlignment="1" applyProtection="1">
      <alignment vertical="center"/>
    </xf>
    <xf numFmtId="2" fontId="0" fillId="2" borderId="0" xfId="0" applyNumberFormat="1" applyFill="1" applyBorder="1"/>
    <xf numFmtId="14" fontId="34" fillId="2" borderId="0" xfId="0" applyNumberFormat="1" applyFont="1" applyFill="1" applyBorder="1" applyAlignment="1"/>
    <xf numFmtId="0" fontId="34" fillId="0" borderId="0" xfId="0" applyFont="1" applyAlignment="1">
      <alignment horizontal="center"/>
    </xf>
    <xf numFmtId="0" fontId="34" fillId="0" borderId="0" xfId="0" applyFont="1" applyBorder="1"/>
    <xf numFmtId="0" fontId="34" fillId="0" borderId="0" xfId="0" applyNumberFormat="1" applyFont="1" applyBorder="1"/>
    <xf numFmtId="0" fontId="41" fillId="46" borderId="12" xfId="0" applyFont="1" applyFill="1" applyBorder="1" applyAlignment="1">
      <alignment horizontal="center" vertical="center"/>
    </xf>
    <xf numFmtId="0" fontId="41" fillId="46" borderId="2" xfId="0" applyFont="1" applyFill="1" applyBorder="1" applyAlignment="1">
      <alignment horizontal="center" vertical="center"/>
    </xf>
    <xf numFmtId="0" fontId="41" fillId="46" borderId="24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1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textRotation="45"/>
    </xf>
    <xf numFmtId="0" fontId="6" fillId="5" borderId="11" xfId="0" applyFont="1" applyFill="1" applyBorder="1" applyAlignment="1">
      <alignment horizontal="center" vertical="center" textRotation="45"/>
    </xf>
    <xf numFmtId="0" fontId="1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C56012E-C98D-4186-9E5D-7F8757CA7233}"/>
    <cellStyle name="60% - Accent2 2" xfId="37" xr:uid="{604E9005-3972-473E-9B08-94104C6F7EE2}"/>
    <cellStyle name="60% - Accent3 2" xfId="38" xr:uid="{631F25A4-6D76-49DF-96F8-7A9BA542E839}"/>
    <cellStyle name="60% - Accent4 2" xfId="39" xr:uid="{BCE39553-845A-4B67-84AE-245E9D4DBBFB}"/>
    <cellStyle name="60% - Accent5 2" xfId="40" xr:uid="{86B74BE0-2A41-46E1-87B5-48406D235530}"/>
    <cellStyle name="60% - Accent6 2" xfId="41" xr:uid="{95B873FB-5822-47CA-9346-F828F2F33DD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51746862-9656-4DF8-B8A8-BD085E7E78AE}"/>
    <cellStyle name="Normal" xfId="0" builtinId="0"/>
    <cellStyle name="Note" xfId="13" builtinId="10" customBuiltin="1"/>
    <cellStyle name="Output" xfId="8" builtinId="21" customBuiltin="1"/>
    <cellStyle name="Title 2" xfId="34" xr:uid="{3274E026-541D-49AE-8099-2B35103C2D42}"/>
    <cellStyle name="Total" xfId="15" builtinId="25" customBuiltin="1"/>
    <cellStyle name="Warning Text" xfId="12" builtinId="11" customBuiltin="1"/>
  </cellStyles>
  <dxfs count="4">
    <dxf>
      <font>
        <color rgb="FFFF0000"/>
      </font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Cross Lake (MIDAS 1674) Water Clarity (SDT) Annual Average, Minimum, &amp; Maximum 1981-2019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'SDT-Station1 '!$Z$1:$Z$2</c:f>
              <c:strCache>
                <c:ptCount val="2"/>
                <c:pt idx="0">
                  <c:v>SDT - STATION #1</c:v>
                </c:pt>
                <c:pt idx="1">
                  <c:v>annual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'!$Z$3:$Z$41</c:f>
              <c:numCache>
                <c:formatCode>0.00</c:formatCode>
                <c:ptCount val="39"/>
                <c:pt idx="0">
                  <c:v>2.1142857142857143</c:v>
                </c:pt>
                <c:pt idx="2">
                  <c:v>2.2000000000000002</c:v>
                </c:pt>
                <c:pt idx="3">
                  <c:v>1.7571428571428573</c:v>
                </c:pt>
                <c:pt idx="5">
                  <c:v>2.0249999999999999</c:v>
                </c:pt>
                <c:pt idx="6">
                  <c:v>2.4999999999999996</c:v>
                </c:pt>
                <c:pt idx="7">
                  <c:v>2.86</c:v>
                </c:pt>
                <c:pt idx="8">
                  <c:v>3.3947368421052633</c:v>
                </c:pt>
                <c:pt idx="9">
                  <c:v>2.5105263157894733</c:v>
                </c:pt>
                <c:pt idx="10">
                  <c:v>2.8944444444444448</c:v>
                </c:pt>
                <c:pt idx="11">
                  <c:v>3.1652173913043482</c:v>
                </c:pt>
                <c:pt idx="13">
                  <c:v>3.55</c:v>
                </c:pt>
                <c:pt idx="14">
                  <c:v>2.7222222222222223</c:v>
                </c:pt>
                <c:pt idx="15">
                  <c:v>2.29</c:v>
                </c:pt>
                <c:pt idx="16">
                  <c:v>2.9899999999999998</c:v>
                </c:pt>
                <c:pt idx="17">
                  <c:v>2.7454545454545456</c:v>
                </c:pt>
                <c:pt idx="18">
                  <c:v>2.6611111111111114</c:v>
                </c:pt>
                <c:pt idx="19">
                  <c:v>2.6272727272727274</c:v>
                </c:pt>
                <c:pt idx="20">
                  <c:v>2.2958333333333329</c:v>
                </c:pt>
                <c:pt idx="21">
                  <c:v>2.4524999999999997</c:v>
                </c:pt>
                <c:pt idx="22">
                  <c:v>2.6330769230769229</c:v>
                </c:pt>
                <c:pt idx="23">
                  <c:v>2.6777777777777776</c:v>
                </c:pt>
                <c:pt idx="24">
                  <c:v>2.8168750000000005</c:v>
                </c:pt>
                <c:pt idx="25">
                  <c:v>2.6111111111111112</c:v>
                </c:pt>
                <c:pt idx="26">
                  <c:v>2.7666666666666671</c:v>
                </c:pt>
                <c:pt idx="27">
                  <c:v>2.3833333333333333</c:v>
                </c:pt>
                <c:pt idx="28">
                  <c:v>2.6228571428571428</c:v>
                </c:pt>
                <c:pt idx="35">
                  <c:v>2.8899999999999997</c:v>
                </c:pt>
                <c:pt idx="36">
                  <c:v>2.52</c:v>
                </c:pt>
                <c:pt idx="37">
                  <c:v>3.1416666666666671</c:v>
                </c:pt>
                <c:pt idx="38">
                  <c:v>2.988666666666667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6-481C-BAFA-518EF95ADEB0}"/>
            </c:ext>
          </c:extLst>
        </c:ser>
        <c:ser>
          <c:idx val="1"/>
          <c:order val="1"/>
          <c:tx>
            <c:strRef>
              <c:f>'SDT-Station1 '!$AA$1:$AA$2</c:f>
              <c:strCache>
                <c:ptCount val="2"/>
                <c:pt idx="0">
                  <c:v>SDT - STATION #1</c:v>
                </c:pt>
                <c:pt idx="1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'!$AA$3:$AA$41</c:f>
              <c:numCache>
                <c:formatCode>0.00</c:formatCode>
                <c:ptCount val="39"/>
                <c:pt idx="0">
                  <c:v>1.8</c:v>
                </c:pt>
                <c:pt idx="2">
                  <c:v>2.2000000000000002</c:v>
                </c:pt>
                <c:pt idx="3">
                  <c:v>0.9</c:v>
                </c:pt>
                <c:pt idx="5">
                  <c:v>1.3</c:v>
                </c:pt>
                <c:pt idx="6">
                  <c:v>1.7</c:v>
                </c:pt>
                <c:pt idx="7">
                  <c:v>2</c:v>
                </c:pt>
                <c:pt idx="8">
                  <c:v>2.5</c:v>
                </c:pt>
                <c:pt idx="9">
                  <c:v>1.6</c:v>
                </c:pt>
                <c:pt idx="10">
                  <c:v>2.4</c:v>
                </c:pt>
                <c:pt idx="11">
                  <c:v>2.2999999999999998</c:v>
                </c:pt>
                <c:pt idx="13">
                  <c:v>3.3</c:v>
                </c:pt>
                <c:pt idx="14">
                  <c:v>2.2999999999999998</c:v>
                </c:pt>
                <c:pt idx="15">
                  <c:v>1.6</c:v>
                </c:pt>
                <c:pt idx="16">
                  <c:v>2.4</c:v>
                </c:pt>
                <c:pt idx="17">
                  <c:v>2</c:v>
                </c:pt>
                <c:pt idx="18">
                  <c:v>1.9</c:v>
                </c:pt>
                <c:pt idx="19">
                  <c:v>2</c:v>
                </c:pt>
                <c:pt idx="20">
                  <c:v>1.7</c:v>
                </c:pt>
                <c:pt idx="21">
                  <c:v>1.7</c:v>
                </c:pt>
                <c:pt idx="22">
                  <c:v>2.1</c:v>
                </c:pt>
                <c:pt idx="23">
                  <c:v>1.8</c:v>
                </c:pt>
                <c:pt idx="24">
                  <c:v>2.1</c:v>
                </c:pt>
                <c:pt idx="25">
                  <c:v>2.2999999999999998</c:v>
                </c:pt>
                <c:pt idx="26">
                  <c:v>1.9</c:v>
                </c:pt>
                <c:pt idx="27">
                  <c:v>2.2999999999999998</c:v>
                </c:pt>
                <c:pt idx="28">
                  <c:v>2</c:v>
                </c:pt>
                <c:pt idx="35">
                  <c:v>2.84</c:v>
                </c:pt>
                <c:pt idx="36">
                  <c:v>2.52</c:v>
                </c:pt>
                <c:pt idx="37">
                  <c:v>2.61</c:v>
                </c:pt>
                <c:pt idx="38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6-481C-BAFA-518EF95ADEB0}"/>
            </c:ext>
          </c:extLst>
        </c:ser>
        <c:ser>
          <c:idx val="2"/>
          <c:order val="2"/>
          <c:tx>
            <c:strRef>
              <c:f>'SDT-Station1 '!$AB$1:$AB$2</c:f>
              <c:strCache>
                <c:ptCount val="2"/>
                <c:pt idx="0">
                  <c:v>SDT - STATION #1</c:v>
                </c:pt>
                <c:pt idx="1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'!$AB$3:$AB$41</c:f>
              <c:numCache>
                <c:formatCode>0.00</c:formatCode>
                <c:ptCount val="39"/>
                <c:pt idx="0">
                  <c:v>2.5</c:v>
                </c:pt>
                <c:pt idx="2">
                  <c:v>2.2000000000000002</c:v>
                </c:pt>
                <c:pt idx="3">
                  <c:v>3</c:v>
                </c:pt>
                <c:pt idx="5">
                  <c:v>3.5</c:v>
                </c:pt>
                <c:pt idx="6">
                  <c:v>3.5</c:v>
                </c:pt>
                <c:pt idx="7">
                  <c:v>6</c:v>
                </c:pt>
                <c:pt idx="8">
                  <c:v>5.5</c:v>
                </c:pt>
                <c:pt idx="9">
                  <c:v>3.6</c:v>
                </c:pt>
                <c:pt idx="10">
                  <c:v>3.2</c:v>
                </c:pt>
                <c:pt idx="11">
                  <c:v>3.5</c:v>
                </c:pt>
                <c:pt idx="13">
                  <c:v>3.8</c:v>
                </c:pt>
                <c:pt idx="14">
                  <c:v>3.2</c:v>
                </c:pt>
                <c:pt idx="15">
                  <c:v>3.1</c:v>
                </c:pt>
                <c:pt idx="16">
                  <c:v>3.9</c:v>
                </c:pt>
                <c:pt idx="17">
                  <c:v>3.7</c:v>
                </c:pt>
                <c:pt idx="18">
                  <c:v>3.5</c:v>
                </c:pt>
                <c:pt idx="19">
                  <c:v>3.3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3.5</c:v>
                </c:pt>
                <c:pt idx="24">
                  <c:v>3.4</c:v>
                </c:pt>
                <c:pt idx="25">
                  <c:v>3.05</c:v>
                </c:pt>
                <c:pt idx="26">
                  <c:v>3.2</c:v>
                </c:pt>
                <c:pt idx="27">
                  <c:v>2.4500000000000002</c:v>
                </c:pt>
                <c:pt idx="28">
                  <c:v>3.4</c:v>
                </c:pt>
                <c:pt idx="35">
                  <c:v>2.94</c:v>
                </c:pt>
                <c:pt idx="36">
                  <c:v>2.52</c:v>
                </c:pt>
                <c:pt idx="37">
                  <c:v>4.95</c:v>
                </c:pt>
                <c:pt idx="38">
                  <c:v>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46-481C-BAFA-518EF95AD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accent5">
                  <a:lumMod val="50000"/>
                </a:schemeClr>
              </a:solidFill>
              <a:round/>
            </a:ln>
            <a:effectLst/>
          </c:spPr>
        </c:hiLowLine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'SDT-Station1 '!$AC$1:$AC$2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'SDT-Station1 '!$AC$3:$AC$41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2.6166666666666663</c:v>
                      </c:pt>
                      <c:pt idx="11">
                        <c:v>2.5</c:v>
                      </c:pt>
                      <c:pt idx="25">
                        <c:v>2.2999999999999998</c:v>
                      </c:pt>
                      <c:pt idx="37">
                        <c:v>3.6083333333333338</c:v>
                      </c:pt>
                      <c:pt idx="38">
                        <c:v>3.22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046-481C-BAFA-518EF95ADE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'!$AD$1:$AD$2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'!$AD$3:$AD$41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1.5</c:v>
                      </c:pt>
                      <c:pt idx="11">
                        <c:v>2.5</c:v>
                      </c:pt>
                      <c:pt idx="25">
                        <c:v>2.29</c:v>
                      </c:pt>
                      <c:pt idx="37">
                        <c:v>2.73</c:v>
                      </c:pt>
                      <c:pt idx="38">
                        <c:v>2.56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46-481C-BAFA-518EF95ADE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'!$AE$1:$AE$2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'!$AE$3:$AE$41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4</c:v>
                      </c:pt>
                      <c:pt idx="11">
                        <c:v>2.5</c:v>
                      </c:pt>
                      <c:pt idx="25">
                        <c:v>2.31</c:v>
                      </c:pt>
                      <c:pt idx="37">
                        <c:v>4.74</c:v>
                      </c:pt>
                      <c:pt idx="38">
                        <c:v>3.65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046-481C-BAFA-518EF95ADEB0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Cross Lake (MIDAS 1674) Water Clarity (SDT) 1981-2019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7171296296296296"/>
          <c:w val="0.9155301837270341"/>
          <c:h val="0.600517279090113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'SDT-Station1 '!$G$1</c:f>
              <c:strCache>
                <c:ptCount val="1"/>
                <c:pt idx="0">
                  <c:v>PROJECT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'!$G$2:$G$309</c:f>
              <c:numCache>
                <c:formatCode>General</c:formatCode>
                <c:ptCount val="30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2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2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3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A-400B-B557-FD520920C3A1}"/>
            </c:ext>
          </c:extLst>
        </c:ser>
        <c:ser>
          <c:idx val="1"/>
          <c:order val="1"/>
          <c:tx>
            <c:strRef>
              <c:f>'SDT-Station1 '!$H$1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'!$H$2:$H$309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A-400B-B557-FD520920C3A1}"/>
            </c:ext>
          </c:extLst>
        </c:ser>
        <c:ser>
          <c:idx val="2"/>
          <c:order val="2"/>
          <c:tx>
            <c:strRef>
              <c:f>'SDT-Station1 '!$I$1</c:f>
              <c:strCache>
                <c:ptCount val="1"/>
                <c:pt idx="0">
                  <c:v>SURVEYOR1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'!$I$2:$I$309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A-400B-B557-FD520920C3A1}"/>
            </c:ext>
          </c:extLst>
        </c:ser>
        <c:ser>
          <c:idx val="3"/>
          <c:order val="3"/>
          <c:tx>
            <c:strRef>
              <c:f>'SDT-Station1 '!$J$1</c:f>
              <c:strCache>
                <c:ptCount val="1"/>
                <c:pt idx="0">
                  <c:v>SURVEYOR2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'!$J$2:$J$309</c:f>
              <c:numCache>
                <c:formatCode>General</c:formatCode>
                <c:ptCount val="308"/>
                <c:pt idx="4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5">
                  <c:v>0</c:v>
                </c:pt>
                <c:pt idx="59">
                  <c:v>0</c:v>
                </c:pt>
                <c:pt idx="60">
                  <c:v>0</c:v>
                </c:pt>
                <c:pt idx="64">
                  <c:v>0</c:v>
                </c:pt>
                <c:pt idx="66">
                  <c:v>0</c:v>
                </c:pt>
                <c:pt idx="78">
                  <c:v>0</c:v>
                </c:pt>
                <c:pt idx="85">
                  <c:v>0</c:v>
                </c:pt>
                <c:pt idx="92">
                  <c:v>0</c:v>
                </c:pt>
                <c:pt idx="94">
                  <c:v>0</c:v>
                </c:pt>
                <c:pt idx="98">
                  <c:v>0</c:v>
                </c:pt>
                <c:pt idx="109">
                  <c:v>0</c:v>
                </c:pt>
                <c:pt idx="115">
                  <c:v>0</c:v>
                </c:pt>
                <c:pt idx="117">
                  <c:v>0</c:v>
                </c:pt>
                <c:pt idx="121">
                  <c:v>0</c:v>
                </c:pt>
                <c:pt idx="12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215">
                  <c:v>0</c:v>
                </c:pt>
                <c:pt idx="233">
                  <c:v>0</c:v>
                </c:pt>
                <c:pt idx="235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A-400B-B557-FD520920C3A1}"/>
            </c:ext>
          </c:extLst>
        </c:ser>
        <c:ser>
          <c:idx val="4"/>
          <c:order val="4"/>
          <c:tx>
            <c:strRef>
              <c:f>'SDT-Station1 '!$K$1</c:f>
              <c:strCache>
                <c:ptCount val="1"/>
                <c:pt idx="0">
                  <c:v>SURVEYOR3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'!$K$2:$K$309</c:f>
              <c:numCache>
                <c:formatCode>General</c:formatCode>
                <c:ptCount val="30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EA-400B-B557-FD520920C3A1}"/>
            </c:ext>
          </c:extLst>
        </c:ser>
        <c:ser>
          <c:idx val="5"/>
          <c:order val="5"/>
          <c:tx>
            <c:strRef>
              <c:f>'SDT-Station1 '!$L$1</c:f>
              <c:strCache>
                <c:ptCount val="1"/>
                <c:pt idx="0">
                  <c:v>SURVEYOR4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'!$L$2:$L$309</c:f>
              <c:numCache>
                <c:formatCode>General</c:formatCode>
                <c:ptCount val="30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EA-400B-B557-FD520920C3A1}"/>
            </c:ext>
          </c:extLst>
        </c:ser>
        <c:ser>
          <c:idx val="6"/>
          <c:order val="6"/>
          <c:tx>
            <c:strRef>
              <c:f>'SDT-Station1 '!$M$1</c:f>
              <c:strCache>
                <c:ptCount val="1"/>
                <c:pt idx="0">
                  <c:v>WINDVEL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'!$M$2:$M$309</c:f>
              <c:numCache>
                <c:formatCode>General</c:formatCode>
                <c:ptCount val="308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10</c:v>
                </c:pt>
                <c:pt idx="6">
                  <c:v>8</c:v>
                </c:pt>
                <c:pt idx="7">
                  <c:v>15</c:v>
                </c:pt>
                <c:pt idx="8">
                  <c:v>15</c:v>
                </c:pt>
                <c:pt idx="9">
                  <c:v>8</c:v>
                </c:pt>
                <c:pt idx="10">
                  <c:v>5</c:v>
                </c:pt>
                <c:pt idx="11">
                  <c:v>10</c:v>
                </c:pt>
                <c:pt idx="12">
                  <c:v>20</c:v>
                </c:pt>
                <c:pt idx="13">
                  <c:v>10</c:v>
                </c:pt>
                <c:pt idx="14">
                  <c:v>5</c:v>
                </c:pt>
                <c:pt idx="16">
                  <c:v>4</c:v>
                </c:pt>
                <c:pt idx="17">
                  <c:v>10</c:v>
                </c:pt>
                <c:pt idx="18">
                  <c:v>15</c:v>
                </c:pt>
                <c:pt idx="19">
                  <c:v>6</c:v>
                </c:pt>
                <c:pt idx="20">
                  <c:v>5</c:v>
                </c:pt>
                <c:pt idx="21">
                  <c:v>2</c:v>
                </c:pt>
                <c:pt idx="22">
                  <c:v>15</c:v>
                </c:pt>
                <c:pt idx="23">
                  <c:v>13</c:v>
                </c:pt>
                <c:pt idx="24">
                  <c:v>2</c:v>
                </c:pt>
                <c:pt idx="25">
                  <c:v>6</c:v>
                </c:pt>
                <c:pt idx="26">
                  <c:v>12</c:v>
                </c:pt>
                <c:pt idx="27">
                  <c:v>11</c:v>
                </c:pt>
                <c:pt idx="28">
                  <c:v>5</c:v>
                </c:pt>
                <c:pt idx="29">
                  <c:v>15</c:v>
                </c:pt>
                <c:pt idx="30">
                  <c:v>6</c:v>
                </c:pt>
                <c:pt idx="31">
                  <c:v>8</c:v>
                </c:pt>
                <c:pt idx="32">
                  <c:v>5</c:v>
                </c:pt>
                <c:pt idx="33">
                  <c:v>8</c:v>
                </c:pt>
                <c:pt idx="34">
                  <c:v>10</c:v>
                </c:pt>
                <c:pt idx="35">
                  <c:v>2</c:v>
                </c:pt>
                <c:pt idx="36">
                  <c:v>18</c:v>
                </c:pt>
                <c:pt idx="37">
                  <c:v>15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3</c:v>
                </c:pt>
                <c:pt idx="42">
                  <c:v>5</c:v>
                </c:pt>
                <c:pt idx="43">
                  <c:v>13</c:v>
                </c:pt>
                <c:pt idx="44">
                  <c:v>7</c:v>
                </c:pt>
                <c:pt idx="45">
                  <c:v>7</c:v>
                </c:pt>
                <c:pt idx="46">
                  <c:v>0</c:v>
                </c:pt>
                <c:pt idx="47">
                  <c:v>12</c:v>
                </c:pt>
                <c:pt idx="48">
                  <c:v>0</c:v>
                </c:pt>
                <c:pt idx="49">
                  <c:v>8</c:v>
                </c:pt>
                <c:pt idx="50">
                  <c:v>12</c:v>
                </c:pt>
                <c:pt idx="51">
                  <c:v>10</c:v>
                </c:pt>
                <c:pt idx="54">
                  <c:v>7</c:v>
                </c:pt>
                <c:pt idx="55">
                  <c:v>3</c:v>
                </c:pt>
                <c:pt idx="56">
                  <c:v>7</c:v>
                </c:pt>
                <c:pt idx="58">
                  <c:v>2</c:v>
                </c:pt>
                <c:pt idx="59">
                  <c:v>10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20</c:v>
                </c:pt>
                <c:pt idx="65">
                  <c:v>7</c:v>
                </c:pt>
                <c:pt idx="66">
                  <c:v>5</c:v>
                </c:pt>
                <c:pt idx="67">
                  <c:v>5</c:v>
                </c:pt>
                <c:pt idx="70">
                  <c:v>7</c:v>
                </c:pt>
                <c:pt idx="71">
                  <c:v>7</c:v>
                </c:pt>
                <c:pt idx="72">
                  <c:v>10</c:v>
                </c:pt>
                <c:pt idx="73">
                  <c:v>8</c:v>
                </c:pt>
                <c:pt idx="74">
                  <c:v>7</c:v>
                </c:pt>
                <c:pt idx="75">
                  <c:v>10</c:v>
                </c:pt>
                <c:pt idx="76">
                  <c:v>7</c:v>
                </c:pt>
                <c:pt idx="77">
                  <c:v>7</c:v>
                </c:pt>
                <c:pt idx="78">
                  <c:v>0</c:v>
                </c:pt>
                <c:pt idx="79">
                  <c:v>7</c:v>
                </c:pt>
                <c:pt idx="80">
                  <c:v>7</c:v>
                </c:pt>
                <c:pt idx="81">
                  <c:v>0</c:v>
                </c:pt>
                <c:pt idx="82">
                  <c:v>0</c:v>
                </c:pt>
                <c:pt idx="83">
                  <c:v>9</c:v>
                </c:pt>
                <c:pt idx="84">
                  <c:v>7</c:v>
                </c:pt>
                <c:pt idx="85">
                  <c:v>20</c:v>
                </c:pt>
                <c:pt idx="86">
                  <c:v>0</c:v>
                </c:pt>
                <c:pt idx="87">
                  <c:v>4</c:v>
                </c:pt>
                <c:pt idx="88">
                  <c:v>5</c:v>
                </c:pt>
                <c:pt idx="89">
                  <c:v>7</c:v>
                </c:pt>
                <c:pt idx="90">
                  <c:v>0</c:v>
                </c:pt>
                <c:pt idx="91">
                  <c:v>11</c:v>
                </c:pt>
                <c:pt idx="92">
                  <c:v>10</c:v>
                </c:pt>
                <c:pt idx="93">
                  <c:v>8</c:v>
                </c:pt>
                <c:pt idx="95">
                  <c:v>7</c:v>
                </c:pt>
                <c:pt idx="96">
                  <c:v>8</c:v>
                </c:pt>
                <c:pt idx="97">
                  <c:v>10</c:v>
                </c:pt>
                <c:pt idx="98">
                  <c:v>5</c:v>
                </c:pt>
                <c:pt idx="99">
                  <c:v>10</c:v>
                </c:pt>
                <c:pt idx="100">
                  <c:v>7</c:v>
                </c:pt>
                <c:pt idx="102">
                  <c:v>1</c:v>
                </c:pt>
                <c:pt idx="103">
                  <c:v>7</c:v>
                </c:pt>
                <c:pt idx="104">
                  <c:v>7</c:v>
                </c:pt>
                <c:pt idx="105">
                  <c:v>10</c:v>
                </c:pt>
                <c:pt idx="106">
                  <c:v>10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7</c:v>
                </c:pt>
                <c:pt idx="111">
                  <c:v>7</c:v>
                </c:pt>
                <c:pt idx="112">
                  <c:v>10</c:v>
                </c:pt>
                <c:pt idx="113">
                  <c:v>9</c:v>
                </c:pt>
                <c:pt idx="114">
                  <c:v>4</c:v>
                </c:pt>
                <c:pt idx="115">
                  <c:v>7</c:v>
                </c:pt>
                <c:pt idx="116">
                  <c:v>6</c:v>
                </c:pt>
                <c:pt idx="117">
                  <c:v>3</c:v>
                </c:pt>
                <c:pt idx="118">
                  <c:v>5</c:v>
                </c:pt>
                <c:pt idx="119">
                  <c:v>15</c:v>
                </c:pt>
                <c:pt idx="120">
                  <c:v>7</c:v>
                </c:pt>
                <c:pt idx="121">
                  <c:v>10</c:v>
                </c:pt>
                <c:pt idx="122">
                  <c:v>9</c:v>
                </c:pt>
                <c:pt idx="123">
                  <c:v>6</c:v>
                </c:pt>
                <c:pt idx="124">
                  <c:v>6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6</c:v>
                </c:pt>
                <c:pt idx="130">
                  <c:v>7</c:v>
                </c:pt>
                <c:pt idx="131">
                  <c:v>12</c:v>
                </c:pt>
                <c:pt idx="132">
                  <c:v>12</c:v>
                </c:pt>
                <c:pt idx="133">
                  <c:v>7</c:v>
                </c:pt>
                <c:pt idx="134">
                  <c:v>5</c:v>
                </c:pt>
                <c:pt idx="135">
                  <c:v>1</c:v>
                </c:pt>
                <c:pt idx="136">
                  <c:v>3</c:v>
                </c:pt>
                <c:pt idx="137">
                  <c:v>5</c:v>
                </c:pt>
                <c:pt idx="138">
                  <c:v>7</c:v>
                </c:pt>
                <c:pt idx="139">
                  <c:v>6</c:v>
                </c:pt>
                <c:pt idx="140">
                  <c:v>12</c:v>
                </c:pt>
                <c:pt idx="141">
                  <c:v>8</c:v>
                </c:pt>
                <c:pt idx="142">
                  <c:v>5</c:v>
                </c:pt>
                <c:pt idx="143">
                  <c:v>15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3</c:v>
                </c:pt>
                <c:pt idx="153">
                  <c:v>3</c:v>
                </c:pt>
                <c:pt idx="154">
                  <c:v>5</c:v>
                </c:pt>
                <c:pt idx="155">
                  <c:v>7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5</c:v>
                </c:pt>
                <c:pt idx="162">
                  <c:v>2</c:v>
                </c:pt>
                <c:pt idx="163">
                  <c:v>7</c:v>
                </c:pt>
                <c:pt idx="164">
                  <c:v>5</c:v>
                </c:pt>
                <c:pt idx="165">
                  <c:v>15</c:v>
                </c:pt>
                <c:pt idx="166">
                  <c:v>2</c:v>
                </c:pt>
                <c:pt idx="167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12</c:v>
                </c:pt>
                <c:pt idx="171">
                  <c:v>3</c:v>
                </c:pt>
                <c:pt idx="172">
                  <c:v>10</c:v>
                </c:pt>
                <c:pt idx="173">
                  <c:v>5</c:v>
                </c:pt>
                <c:pt idx="174">
                  <c:v>3</c:v>
                </c:pt>
                <c:pt idx="175">
                  <c:v>15</c:v>
                </c:pt>
                <c:pt idx="176">
                  <c:v>5</c:v>
                </c:pt>
                <c:pt idx="177">
                  <c:v>5</c:v>
                </c:pt>
                <c:pt idx="178">
                  <c:v>9</c:v>
                </c:pt>
                <c:pt idx="179">
                  <c:v>5</c:v>
                </c:pt>
                <c:pt idx="180">
                  <c:v>5</c:v>
                </c:pt>
                <c:pt idx="181">
                  <c:v>3</c:v>
                </c:pt>
                <c:pt idx="182">
                  <c:v>10</c:v>
                </c:pt>
                <c:pt idx="183">
                  <c:v>7</c:v>
                </c:pt>
                <c:pt idx="184">
                  <c:v>8</c:v>
                </c:pt>
                <c:pt idx="185">
                  <c:v>5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5</c:v>
                </c:pt>
                <c:pt idx="191">
                  <c:v>0</c:v>
                </c:pt>
                <c:pt idx="192">
                  <c:v>5</c:v>
                </c:pt>
                <c:pt idx="193">
                  <c:v>7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7</c:v>
                </c:pt>
                <c:pt idx="198">
                  <c:v>4</c:v>
                </c:pt>
                <c:pt idx="199">
                  <c:v>7</c:v>
                </c:pt>
                <c:pt idx="200">
                  <c:v>3</c:v>
                </c:pt>
                <c:pt idx="201">
                  <c:v>4</c:v>
                </c:pt>
                <c:pt idx="202">
                  <c:v>7</c:v>
                </c:pt>
                <c:pt idx="203">
                  <c:v>7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3</c:v>
                </c:pt>
                <c:pt idx="208">
                  <c:v>10</c:v>
                </c:pt>
                <c:pt idx="209">
                  <c:v>5</c:v>
                </c:pt>
                <c:pt idx="210">
                  <c:v>2</c:v>
                </c:pt>
                <c:pt idx="211">
                  <c:v>5</c:v>
                </c:pt>
                <c:pt idx="212">
                  <c:v>8</c:v>
                </c:pt>
                <c:pt idx="213">
                  <c:v>3</c:v>
                </c:pt>
                <c:pt idx="214">
                  <c:v>3</c:v>
                </c:pt>
                <c:pt idx="215">
                  <c:v>0</c:v>
                </c:pt>
                <c:pt idx="216">
                  <c:v>8</c:v>
                </c:pt>
                <c:pt idx="217">
                  <c:v>5</c:v>
                </c:pt>
                <c:pt idx="218">
                  <c:v>6</c:v>
                </c:pt>
                <c:pt idx="219">
                  <c:v>12</c:v>
                </c:pt>
                <c:pt idx="220">
                  <c:v>3</c:v>
                </c:pt>
                <c:pt idx="221">
                  <c:v>5</c:v>
                </c:pt>
                <c:pt idx="222">
                  <c:v>5</c:v>
                </c:pt>
                <c:pt idx="223">
                  <c:v>15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7</c:v>
                </c:pt>
                <c:pt idx="230">
                  <c:v>7</c:v>
                </c:pt>
                <c:pt idx="231">
                  <c:v>3</c:v>
                </c:pt>
                <c:pt idx="232">
                  <c:v>7</c:v>
                </c:pt>
                <c:pt idx="233">
                  <c:v>10</c:v>
                </c:pt>
                <c:pt idx="234">
                  <c:v>3</c:v>
                </c:pt>
                <c:pt idx="235">
                  <c:v>10</c:v>
                </c:pt>
                <c:pt idx="236">
                  <c:v>9</c:v>
                </c:pt>
                <c:pt idx="237">
                  <c:v>5</c:v>
                </c:pt>
                <c:pt idx="238">
                  <c:v>25</c:v>
                </c:pt>
                <c:pt idx="239">
                  <c:v>11</c:v>
                </c:pt>
                <c:pt idx="240">
                  <c:v>5</c:v>
                </c:pt>
                <c:pt idx="241">
                  <c:v>7</c:v>
                </c:pt>
                <c:pt idx="242">
                  <c:v>4</c:v>
                </c:pt>
                <c:pt idx="243">
                  <c:v>3</c:v>
                </c:pt>
                <c:pt idx="244">
                  <c:v>5</c:v>
                </c:pt>
                <c:pt idx="245">
                  <c:v>3</c:v>
                </c:pt>
                <c:pt idx="246">
                  <c:v>3</c:v>
                </c:pt>
                <c:pt idx="247">
                  <c:v>10</c:v>
                </c:pt>
                <c:pt idx="249">
                  <c:v>7</c:v>
                </c:pt>
                <c:pt idx="250">
                  <c:v>4</c:v>
                </c:pt>
                <c:pt idx="251">
                  <c:v>7</c:v>
                </c:pt>
                <c:pt idx="252">
                  <c:v>3</c:v>
                </c:pt>
                <c:pt idx="253">
                  <c:v>7</c:v>
                </c:pt>
                <c:pt idx="254">
                  <c:v>5</c:v>
                </c:pt>
                <c:pt idx="255">
                  <c:v>5</c:v>
                </c:pt>
                <c:pt idx="256">
                  <c:v>2</c:v>
                </c:pt>
                <c:pt idx="257">
                  <c:v>5</c:v>
                </c:pt>
                <c:pt idx="258">
                  <c:v>7</c:v>
                </c:pt>
                <c:pt idx="259">
                  <c:v>3</c:v>
                </c:pt>
                <c:pt idx="260">
                  <c:v>5</c:v>
                </c:pt>
                <c:pt idx="261">
                  <c:v>7</c:v>
                </c:pt>
                <c:pt idx="262">
                  <c:v>3</c:v>
                </c:pt>
                <c:pt idx="263">
                  <c:v>5</c:v>
                </c:pt>
                <c:pt idx="264">
                  <c:v>5</c:v>
                </c:pt>
                <c:pt idx="265">
                  <c:v>0</c:v>
                </c:pt>
                <c:pt idx="266">
                  <c:v>5</c:v>
                </c:pt>
                <c:pt idx="267">
                  <c:v>3</c:v>
                </c:pt>
                <c:pt idx="268">
                  <c:v>5</c:v>
                </c:pt>
                <c:pt idx="269">
                  <c:v>8</c:v>
                </c:pt>
                <c:pt idx="270">
                  <c:v>0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4</c:v>
                </c:pt>
                <c:pt idx="275">
                  <c:v>0</c:v>
                </c:pt>
                <c:pt idx="276">
                  <c:v>7</c:v>
                </c:pt>
                <c:pt idx="277">
                  <c:v>3</c:v>
                </c:pt>
                <c:pt idx="278">
                  <c:v>8</c:v>
                </c:pt>
                <c:pt idx="279">
                  <c:v>8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2</c:v>
                </c:pt>
                <c:pt idx="285">
                  <c:v>0</c:v>
                </c:pt>
                <c:pt idx="286">
                  <c:v>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EA-400B-B557-FD520920C3A1}"/>
            </c:ext>
          </c:extLst>
        </c:ser>
        <c:ser>
          <c:idx val="7"/>
          <c:order val="7"/>
          <c:tx>
            <c:strRef>
              <c:f>'SDT-Station1 '!$N$1</c:f>
              <c:strCache>
                <c:ptCount val="1"/>
                <c:pt idx="0">
                  <c:v>WINDDIR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'!$N$2:$N$309</c:f>
              <c:numCache>
                <c:formatCode>General</c:formatCode>
                <c:ptCount val="30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8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4</c:v>
                </c:pt>
                <c:pt idx="20">
                  <c:v>8</c:v>
                </c:pt>
                <c:pt idx="21">
                  <c:v>4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6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2</c:v>
                </c:pt>
                <c:pt idx="32">
                  <c:v>5</c:v>
                </c:pt>
                <c:pt idx="33">
                  <c:v>6</c:v>
                </c:pt>
                <c:pt idx="34">
                  <c:v>1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8</c:v>
                </c:pt>
                <c:pt idx="40">
                  <c:v>4</c:v>
                </c:pt>
                <c:pt idx="41">
                  <c:v>8</c:v>
                </c:pt>
                <c:pt idx="42">
                  <c:v>1</c:v>
                </c:pt>
                <c:pt idx="43">
                  <c:v>8</c:v>
                </c:pt>
                <c:pt idx="44">
                  <c:v>5</c:v>
                </c:pt>
                <c:pt idx="45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5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8">
                  <c:v>6</c:v>
                </c:pt>
                <c:pt idx="59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6</c:v>
                </c:pt>
                <c:pt idx="75">
                  <c:v>4</c:v>
                </c:pt>
                <c:pt idx="76">
                  <c:v>7</c:v>
                </c:pt>
                <c:pt idx="77">
                  <c:v>8</c:v>
                </c:pt>
                <c:pt idx="78">
                  <c:v>0</c:v>
                </c:pt>
                <c:pt idx="79">
                  <c:v>5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7</c:v>
                </c:pt>
                <c:pt idx="85">
                  <c:v>8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8</c:v>
                </c:pt>
                <c:pt idx="93">
                  <c:v>8</c:v>
                </c:pt>
                <c:pt idx="95">
                  <c:v>6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6</c:v>
                </c:pt>
                <c:pt idx="102">
                  <c:v>6</c:v>
                </c:pt>
                <c:pt idx="103">
                  <c:v>8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5</c:v>
                </c:pt>
                <c:pt idx="108">
                  <c:v>8</c:v>
                </c:pt>
                <c:pt idx="109">
                  <c:v>6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5</c:v>
                </c:pt>
                <c:pt idx="114">
                  <c:v>4</c:v>
                </c:pt>
                <c:pt idx="115">
                  <c:v>6</c:v>
                </c:pt>
                <c:pt idx="116">
                  <c:v>7</c:v>
                </c:pt>
                <c:pt idx="117">
                  <c:v>4</c:v>
                </c:pt>
                <c:pt idx="118">
                  <c:v>6</c:v>
                </c:pt>
                <c:pt idx="119">
                  <c:v>2</c:v>
                </c:pt>
                <c:pt idx="120">
                  <c:v>7</c:v>
                </c:pt>
                <c:pt idx="121">
                  <c:v>7</c:v>
                </c:pt>
                <c:pt idx="122">
                  <c:v>5</c:v>
                </c:pt>
                <c:pt idx="123">
                  <c:v>5</c:v>
                </c:pt>
                <c:pt idx="124">
                  <c:v>7</c:v>
                </c:pt>
                <c:pt idx="125">
                  <c:v>6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7</c:v>
                </c:pt>
                <c:pt idx="131">
                  <c:v>4</c:v>
                </c:pt>
                <c:pt idx="132">
                  <c:v>8</c:v>
                </c:pt>
                <c:pt idx="133">
                  <c:v>6</c:v>
                </c:pt>
                <c:pt idx="134">
                  <c:v>6</c:v>
                </c:pt>
                <c:pt idx="135">
                  <c:v>1</c:v>
                </c:pt>
                <c:pt idx="136">
                  <c:v>4</c:v>
                </c:pt>
                <c:pt idx="137">
                  <c:v>6</c:v>
                </c:pt>
                <c:pt idx="138">
                  <c:v>1</c:v>
                </c:pt>
                <c:pt idx="139">
                  <c:v>1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5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5</c:v>
                </c:pt>
                <c:pt idx="154">
                  <c:v>4</c:v>
                </c:pt>
                <c:pt idx="155">
                  <c:v>2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5</c:v>
                </c:pt>
                <c:pt idx="161">
                  <c:v>8</c:v>
                </c:pt>
                <c:pt idx="162">
                  <c:v>8</c:v>
                </c:pt>
                <c:pt idx="163">
                  <c:v>7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8</c:v>
                </c:pt>
                <c:pt idx="169">
                  <c:v>8</c:v>
                </c:pt>
                <c:pt idx="170">
                  <c:v>7</c:v>
                </c:pt>
                <c:pt idx="171">
                  <c:v>6</c:v>
                </c:pt>
                <c:pt idx="172">
                  <c:v>8</c:v>
                </c:pt>
                <c:pt idx="173">
                  <c:v>5</c:v>
                </c:pt>
                <c:pt idx="174">
                  <c:v>6</c:v>
                </c:pt>
                <c:pt idx="175">
                  <c:v>5</c:v>
                </c:pt>
                <c:pt idx="176">
                  <c:v>5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7</c:v>
                </c:pt>
                <c:pt idx="183">
                  <c:v>8</c:v>
                </c:pt>
                <c:pt idx="184">
                  <c:v>7</c:v>
                </c:pt>
                <c:pt idx="185">
                  <c:v>7</c:v>
                </c:pt>
                <c:pt idx="186">
                  <c:v>0</c:v>
                </c:pt>
                <c:pt idx="187">
                  <c:v>1</c:v>
                </c:pt>
                <c:pt idx="188">
                  <c:v>5</c:v>
                </c:pt>
                <c:pt idx="189">
                  <c:v>8</c:v>
                </c:pt>
                <c:pt idx="190">
                  <c:v>8</c:v>
                </c:pt>
                <c:pt idx="191">
                  <c:v>0</c:v>
                </c:pt>
                <c:pt idx="192">
                  <c:v>8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8</c:v>
                </c:pt>
                <c:pt idx="198">
                  <c:v>6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5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8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0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8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8</c:v>
                </c:pt>
                <c:pt idx="230">
                  <c:v>8</c:v>
                </c:pt>
                <c:pt idx="231">
                  <c:v>5</c:v>
                </c:pt>
                <c:pt idx="232">
                  <c:v>5</c:v>
                </c:pt>
                <c:pt idx="233">
                  <c:v>6</c:v>
                </c:pt>
                <c:pt idx="234">
                  <c:v>5</c:v>
                </c:pt>
                <c:pt idx="235">
                  <c:v>8</c:v>
                </c:pt>
                <c:pt idx="236">
                  <c:v>7</c:v>
                </c:pt>
                <c:pt idx="237">
                  <c:v>3</c:v>
                </c:pt>
                <c:pt idx="238">
                  <c:v>8</c:v>
                </c:pt>
                <c:pt idx="239">
                  <c:v>5</c:v>
                </c:pt>
                <c:pt idx="240">
                  <c:v>7</c:v>
                </c:pt>
                <c:pt idx="241">
                  <c:v>6</c:v>
                </c:pt>
                <c:pt idx="242">
                  <c:v>8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5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5</c:v>
                </c:pt>
                <c:pt idx="257">
                  <c:v>5</c:v>
                </c:pt>
                <c:pt idx="258">
                  <c:v>4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4</c:v>
                </c:pt>
                <c:pt idx="263">
                  <c:v>5</c:v>
                </c:pt>
                <c:pt idx="264">
                  <c:v>4</c:v>
                </c:pt>
                <c:pt idx="265">
                  <c:v>0</c:v>
                </c:pt>
                <c:pt idx="266">
                  <c:v>6</c:v>
                </c:pt>
                <c:pt idx="267">
                  <c:v>7</c:v>
                </c:pt>
                <c:pt idx="268">
                  <c:v>5</c:v>
                </c:pt>
                <c:pt idx="269">
                  <c:v>6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0</c:v>
                </c:pt>
                <c:pt idx="276">
                  <c:v>5</c:v>
                </c:pt>
                <c:pt idx="277">
                  <c:v>5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5</c:v>
                </c:pt>
                <c:pt idx="285">
                  <c:v>0</c:v>
                </c:pt>
                <c:pt idx="286">
                  <c:v>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EA-400B-B557-FD520920C3A1}"/>
            </c:ext>
          </c:extLst>
        </c:ser>
        <c:ser>
          <c:idx val="8"/>
          <c:order val="8"/>
          <c:tx>
            <c:strRef>
              <c:f>'SDT-Station1 '!$O$1</c:f>
              <c:strCache>
                <c:ptCount val="1"/>
                <c:pt idx="0">
                  <c:v>CLOUDCVR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'!$O$2:$O$309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EA-400B-B557-FD520920C3A1}"/>
            </c:ext>
          </c:extLst>
        </c:ser>
        <c:ser>
          <c:idx val="9"/>
          <c:order val="9"/>
          <c:tx>
            <c:v>Station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multiLvlStrRef>
              <c:f>'SDT-Station1 '!$D$2:$F$324</c:f>
              <c:multiLvlStrCache>
                <c:ptCount val="323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  <c:pt idx="308">
                    <c:v>FOCL</c:v>
                  </c:pt>
                  <c:pt idx="309">
                    <c:v>FOCL</c:v>
                  </c:pt>
                  <c:pt idx="310">
                    <c:v>FOCL</c:v>
                  </c:pt>
                  <c:pt idx="311">
                    <c:v>FOCL</c:v>
                  </c:pt>
                  <c:pt idx="312">
                    <c:v>FOCL</c:v>
                  </c:pt>
                  <c:pt idx="313">
                    <c:v>FOCL</c:v>
                  </c:pt>
                  <c:pt idx="314">
                    <c:v>FOCL</c:v>
                  </c:pt>
                  <c:pt idx="315">
                    <c:v>FOCL</c:v>
                  </c:pt>
                  <c:pt idx="316">
                    <c:v>FOCL</c:v>
                  </c:pt>
                  <c:pt idx="317">
                    <c:v>FOCL</c:v>
                  </c:pt>
                  <c:pt idx="318">
                    <c:v>FOCL</c:v>
                  </c:pt>
                  <c:pt idx="319">
                    <c:v>FOCL</c:v>
                  </c:pt>
                  <c:pt idx="320">
                    <c:v>FOCL</c:v>
                  </c:pt>
                  <c:pt idx="321">
                    <c:v>FOCL</c:v>
                  </c:pt>
                  <c:pt idx="322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  <c:pt idx="308">
                    <c:v>2020</c:v>
                  </c:pt>
                  <c:pt idx="309">
                    <c:v>2020</c:v>
                  </c:pt>
                  <c:pt idx="310">
                    <c:v>2020</c:v>
                  </c:pt>
                  <c:pt idx="311">
                    <c:v>2020</c:v>
                  </c:pt>
                  <c:pt idx="312">
                    <c:v>2020</c:v>
                  </c:pt>
                  <c:pt idx="313">
                    <c:v>2020</c:v>
                  </c:pt>
                  <c:pt idx="314">
                    <c:v>2020</c:v>
                  </c:pt>
                  <c:pt idx="315">
                    <c:v>2020</c:v>
                  </c:pt>
                  <c:pt idx="316">
                    <c:v>2020</c:v>
                  </c:pt>
                  <c:pt idx="317">
                    <c:v>2020</c:v>
                  </c:pt>
                  <c:pt idx="318">
                    <c:v>2020</c:v>
                  </c:pt>
                  <c:pt idx="319">
                    <c:v>2020</c:v>
                  </c:pt>
                  <c:pt idx="320">
                    <c:v>2020</c:v>
                  </c:pt>
                  <c:pt idx="321">
                    <c:v>2020</c:v>
                  </c:pt>
                  <c:pt idx="322">
                    <c:v>2020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  <c:pt idx="308">
                    <c:v>04/19/2020</c:v>
                  </c:pt>
                  <c:pt idx="309">
                    <c:v>05/07/2020</c:v>
                  </c:pt>
                  <c:pt idx="310">
                    <c:v>05/20/2020</c:v>
                  </c:pt>
                  <c:pt idx="311">
                    <c:v>06/03/2020</c:v>
                  </c:pt>
                  <c:pt idx="312">
                    <c:v>06/19/2020</c:v>
                  </c:pt>
                  <c:pt idx="313">
                    <c:v>07/01/2020</c:v>
                  </c:pt>
                  <c:pt idx="314">
                    <c:v>07/16/2020</c:v>
                  </c:pt>
                  <c:pt idx="315">
                    <c:v>07/29/2020</c:v>
                  </c:pt>
                  <c:pt idx="316">
                    <c:v>08/13/2020</c:v>
                  </c:pt>
                  <c:pt idx="317">
                    <c:v>08/24/2020</c:v>
                  </c:pt>
                  <c:pt idx="318">
                    <c:v>09/09/2020</c:v>
                  </c:pt>
                  <c:pt idx="319">
                    <c:v>09/25/2020</c:v>
                  </c:pt>
                  <c:pt idx="320">
                    <c:v>10/07/2020</c:v>
                  </c:pt>
                  <c:pt idx="321">
                    <c:v>10/18/2020</c:v>
                  </c:pt>
                  <c:pt idx="322">
                    <c:v>11/04/2020</c:v>
                  </c:pt>
                </c:lvl>
              </c:multiLvlStrCache>
            </c:multiLvlStrRef>
          </c:xVal>
          <c:yVal>
            <c:numRef>
              <c:f>'SDT-Station1 '!$P$2:$P$324</c:f>
              <c:numCache>
                <c:formatCode>General</c:formatCode>
                <c:ptCount val="323"/>
                <c:pt idx="0">
                  <c:v>2.5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2.1</c:v>
                </c:pt>
                <c:pt idx="4">
                  <c:v>2</c:v>
                </c:pt>
                <c:pt idx="5">
                  <c:v>1.8</c:v>
                </c:pt>
                <c:pt idx="6">
                  <c:v>1.8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3</c:v>
                </c:pt>
                <c:pt idx="10">
                  <c:v>2.9</c:v>
                </c:pt>
                <c:pt idx="11">
                  <c:v>1.9</c:v>
                </c:pt>
                <c:pt idx="12">
                  <c:v>1.5</c:v>
                </c:pt>
                <c:pt idx="13">
                  <c:v>1.1000000000000001</c:v>
                </c:pt>
                <c:pt idx="14">
                  <c:v>1</c:v>
                </c:pt>
                <c:pt idx="15">
                  <c:v>0.9</c:v>
                </c:pt>
                <c:pt idx="16">
                  <c:v>2.6</c:v>
                </c:pt>
                <c:pt idx="17">
                  <c:v>3.5</c:v>
                </c:pt>
                <c:pt idx="18">
                  <c:v>2.1</c:v>
                </c:pt>
                <c:pt idx="19">
                  <c:v>2.6</c:v>
                </c:pt>
                <c:pt idx="20">
                  <c:v>2</c:v>
                </c:pt>
                <c:pt idx="21">
                  <c:v>2</c:v>
                </c:pt>
                <c:pt idx="22">
                  <c:v>1.8</c:v>
                </c:pt>
                <c:pt idx="23">
                  <c:v>1.5</c:v>
                </c:pt>
                <c:pt idx="24">
                  <c:v>1.3</c:v>
                </c:pt>
                <c:pt idx="25">
                  <c:v>1.5</c:v>
                </c:pt>
                <c:pt idx="26">
                  <c:v>1.5</c:v>
                </c:pt>
                <c:pt idx="27">
                  <c:v>1.9</c:v>
                </c:pt>
                <c:pt idx="28">
                  <c:v>2.5</c:v>
                </c:pt>
                <c:pt idx="29">
                  <c:v>2.5</c:v>
                </c:pt>
                <c:pt idx="30">
                  <c:v>3.5</c:v>
                </c:pt>
                <c:pt idx="31">
                  <c:v>3</c:v>
                </c:pt>
                <c:pt idx="32">
                  <c:v>3.1</c:v>
                </c:pt>
                <c:pt idx="33">
                  <c:v>2.8</c:v>
                </c:pt>
                <c:pt idx="34">
                  <c:v>2.4</c:v>
                </c:pt>
                <c:pt idx="35">
                  <c:v>1.8</c:v>
                </c:pt>
                <c:pt idx="36">
                  <c:v>1.7</c:v>
                </c:pt>
                <c:pt idx="37">
                  <c:v>1.9</c:v>
                </c:pt>
                <c:pt idx="38">
                  <c:v>2</c:v>
                </c:pt>
                <c:pt idx="39">
                  <c:v>2.2000000000000002</c:v>
                </c:pt>
                <c:pt idx="40">
                  <c:v>3.1</c:v>
                </c:pt>
                <c:pt idx="41">
                  <c:v>6</c:v>
                </c:pt>
                <c:pt idx="42">
                  <c:v>3.2</c:v>
                </c:pt>
                <c:pt idx="43">
                  <c:v>2.5</c:v>
                </c:pt>
                <c:pt idx="44">
                  <c:v>3.1</c:v>
                </c:pt>
                <c:pt idx="45">
                  <c:v>2</c:v>
                </c:pt>
                <c:pt idx="46">
                  <c:v>2.5</c:v>
                </c:pt>
                <c:pt idx="47">
                  <c:v>2.2000000000000002</c:v>
                </c:pt>
                <c:pt idx="48">
                  <c:v>2.1</c:v>
                </c:pt>
                <c:pt idx="49">
                  <c:v>2</c:v>
                </c:pt>
                <c:pt idx="50">
                  <c:v>3</c:v>
                </c:pt>
                <c:pt idx="51">
                  <c:v>5.5</c:v>
                </c:pt>
                <c:pt idx="52">
                  <c:v>3.6</c:v>
                </c:pt>
                <c:pt idx="53">
                  <c:v>4.4000000000000004</c:v>
                </c:pt>
                <c:pt idx="54">
                  <c:v>3</c:v>
                </c:pt>
                <c:pt idx="55">
                  <c:v>3.5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3.2</c:v>
                </c:pt>
                <c:pt idx="60">
                  <c:v>2.8</c:v>
                </c:pt>
                <c:pt idx="61">
                  <c:v>3</c:v>
                </c:pt>
                <c:pt idx="62">
                  <c:v>3</c:v>
                </c:pt>
                <c:pt idx="63">
                  <c:v>2.5</c:v>
                </c:pt>
                <c:pt idx="64">
                  <c:v>3.5</c:v>
                </c:pt>
                <c:pt idx="65">
                  <c:v>3.3</c:v>
                </c:pt>
                <c:pt idx="66">
                  <c:v>3.4</c:v>
                </c:pt>
                <c:pt idx="67">
                  <c:v>3</c:v>
                </c:pt>
                <c:pt idx="68">
                  <c:v>3.5</c:v>
                </c:pt>
                <c:pt idx="69">
                  <c:v>3.3</c:v>
                </c:pt>
                <c:pt idx="70">
                  <c:v>3</c:v>
                </c:pt>
                <c:pt idx="71">
                  <c:v>2.9</c:v>
                </c:pt>
                <c:pt idx="72">
                  <c:v>3.6</c:v>
                </c:pt>
                <c:pt idx="73">
                  <c:v>2.7</c:v>
                </c:pt>
                <c:pt idx="74">
                  <c:v>2.6</c:v>
                </c:pt>
                <c:pt idx="75">
                  <c:v>2.9</c:v>
                </c:pt>
                <c:pt idx="76">
                  <c:v>2.6</c:v>
                </c:pt>
                <c:pt idx="77">
                  <c:v>2.7</c:v>
                </c:pt>
                <c:pt idx="78">
                  <c:v>2.6</c:v>
                </c:pt>
                <c:pt idx="79">
                  <c:v>2.9</c:v>
                </c:pt>
                <c:pt idx="80">
                  <c:v>2.7</c:v>
                </c:pt>
                <c:pt idx="81">
                  <c:v>1.6</c:v>
                </c:pt>
                <c:pt idx="82">
                  <c:v>2.1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1.8</c:v>
                </c:pt>
                <c:pt idx="86">
                  <c:v>2.1</c:v>
                </c:pt>
                <c:pt idx="87">
                  <c:v>2.2999999999999998</c:v>
                </c:pt>
                <c:pt idx="88">
                  <c:v>2</c:v>
                </c:pt>
                <c:pt idx="89">
                  <c:v>2.6</c:v>
                </c:pt>
                <c:pt idx="90">
                  <c:v>2.7</c:v>
                </c:pt>
                <c:pt idx="91">
                  <c:v>2.4</c:v>
                </c:pt>
                <c:pt idx="92">
                  <c:v>3.2</c:v>
                </c:pt>
                <c:pt idx="93">
                  <c:v>2.6</c:v>
                </c:pt>
                <c:pt idx="94">
                  <c:v>2.8</c:v>
                </c:pt>
                <c:pt idx="95">
                  <c:v>3.1</c:v>
                </c:pt>
                <c:pt idx="96">
                  <c:v>3</c:v>
                </c:pt>
                <c:pt idx="97">
                  <c:v>2.8</c:v>
                </c:pt>
                <c:pt idx="98">
                  <c:v>3.2</c:v>
                </c:pt>
                <c:pt idx="99">
                  <c:v>3.1</c:v>
                </c:pt>
                <c:pt idx="100">
                  <c:v>3</c:v>
                </c:pt>
                <c:pt idx="101">
                  <c:v>2.8</c:v>
                </c:pt>
                <c:pt idx="102">
                  <c:v>3.1</c:v>
                </c:pt>
                <c:pt idx="103">
                  <c:v>3</c:v>
                </c:pt>
                <c:pt idx="104">
                  <c:v>3</c:v>
                </c:pt>
                <c:pt idx="105">
                  <c:v>2.9</c:v>
                </c:pt>
                <c:pt idx="106">
                  <c:v>3.1</c:v>
                </c:pt>
                <c:pt idx="107">
                  <c:v>2.7</c:v>
                </c:pt>
                <c:pt idx="108">
                  <c:v>3.4</c:v>
                </c:pt>
                <c:pt idx="109">
                  <c:v>3</c:v>
                </c:pt>
                <c:pt idx="110">
                  <c:v>3</c:v>
                </c:pt>
                <c:pt idx="111">
                  <c:v>3.4</c:v>
                </c:pt>
                <c:pt idx="112">
                  <c:v>3.2</c:v>
                </c:pt>
                <c:pt idx="113">
                  <c:v>3</c:v>
                </c:pt>
                <c:pt idx="114">
                  <c:v>3.2</c:v>
                </c:pt>
                <c:pt idx="115">
                  <c:v>2.2999999999999998</c:v>
                </c:pt>
                <c:pt idx="116">
                  <c:v>3</c:v>
                </c:pt>
                <c:pt idx="117">
                  <c:v>2.5</c:v>
                </c:pt>
                <c:pt idx="118">
                  <c:v>3.4</c:v>
                </c:pt>
                <c:pt idx="119">
                  <c:v>3.5</c:v>
                </c:pt>
                <c:pt idx="120">
                  <c:v>3.4</c:v>
                </c:pt>
                <c:pt idx="121">
                  <c:v>3</c:v>
                </c:pt>
                <c:pt idx="122">
                  <c:v>3.5</c:v>
                </c:pt>
                <c:pt idx="123">
                  <c:v>3.2</c:v>
                </c:pt>
                <c:pt idx="124">
                  <c:v>3.4</c:v>
                </c:pt>
                <c:pt idx="125">
                  <c:v>2.5</c:v>
                </c:pt>
                <c:pt idx="126">
                  <c:v>3.5</c:v>
                </c:pt>
                <c:pt idx="127">
                  <c:v>3.2</c:v>
                </c:pt>
                <c:pt idx="128">
                  <c:v>3.3</c:v>
                </c:pt>
                <c:pt idx="129">
                  <c:v>3.4</c:v>
                </c:pt>
                <c:pt idx="130">
                  <c:v>3.5</c:v>
                </c:pt>
                <c:pt idx="131">
                  <c:v>3.8</c:v>
                </c:pt>
                <c:pt idx="132">
                  <c:v>3.3</c:v>
                </c:pt>
                <c:pt idx="133">
                  <c:v>3.2</c:v>
                </c:pt>
                <c:pt idx="134">
                  <c:v>2.8</c:v>
                </c:pt>
                <c:pt idx="135">
                  <c:v>2.6</c:v>
                </c:pt>
                <c:pt idx="136">
                  <c:v>3.1</c:v>
                </c:pt>
                <c:pt idx="137">
                  <c:v>2.4</c:v>
                </c:pt>
                <c:pt idx="138">
                  <c:v>3</c:v>
                </c:pt>
                <c:pt idx="139">
                  <c:v>2.4</c:v>
                </c:pt>
                <c:pt idx="140">
                  <c:v>2.7</c:v>
                </c:pt>
                <c:pt idx="141">
                  <c:v>2.2999999999999998</c:v>
                </c:pt>
                <c:pt idx="142">
                  <c:v>3.1</c:v>
                </c:pt>
                <c:pt idx="143">
                  <c:v>2.9</c:v>
                </c:pt>
                <c:pt idx="144">
                  <c:v>2.9</c:v>
                </c:pt>
                <c:pt idx="145">
                  <c:v>2.4</c:v>
                </c:pt>
                <c:pt idx="146">
                  <c:v>2.4</c:v>
                </c:pt>
                <c:pt idx="147">
                  <c:v>2.2999999999999998</c:v>
                </c:pt>
                <c:pt idx="148">
                  <c:v>1.9</c:v>
                </c:pt>
                <c:pt idx="149">
                  <c:v>1.7</c:v>
                </c:pt>
                <c:pt idx="150">
                  <c:v>1.7</c:v>
                </c:pt>
                <c:pt idx="151">
                  <c:v>1.6</c:v>
                </c:pt>
                <c:pt idx="152">
                  <c:v>3.1</c:v>
                </c:pt>
                <c:pt idx="153">
                  <c:v>3.9</c:v>
                </c:pt>
                <c:pt idx="154">
                  <c:v>3.4</c:v>
                </c:pt>
                <c:pt idx="155">
                  <c:v>2.6</c:v>
                </c:pt>
                <c:pt idx="156">
                  <c:v>3.1</c:v>
                </c:pt>
                <c:pt idx="157">
                  <c:v>2.9</c:v>
                </c:pt>
                <c:pt idx="158">
                  <c:v>2.7</c:v>
                </c:pt>
                <c:pt idx="159">
                  <c:v>3.8</c:v>
                </c:pt>
                <c:pt idx="160">
                  <c:v>2.7</c:v>
                </c:pt>
                <c:pt idx="161">
                  <c:v>2.6</c:v>
                </c:pt>
                <c:pt idx="162">
                  <c:v>2.5</c:v>
                </c:pt>
                <c:pt idx="163">
                  <c:v>2.4</c:v>
                </c:pt>
                <c:pt idx="164">
                  <c:v>3.7</c:v>
                </c:pt>
                <c:pt idx="165">
                  <c:v>3.1</c:v>
                </c:pt>
                <c:pt idx="166">
                  <c:v>2.5</c:v>
                </c:pt>
                <c:pt idx="167">
                  <c:v>3</c:v>
                </c:pt>
                <c:pt idx="168">
                  <c:v>2.85</c:v>
                </c:pt>
                <c:pt idx="169">
                  <c:v>2</c:v>
                </c:pt>
                <c:pt idx="170">
                  <c:v>2.1</c:v>
                </c:pt>
                <c:pt idx="171">
                  <c:v>2.0499999999999998</c:v>
                </c:pt>
                <c:pt idx="172">
                  <c:v>2.2000000000000002</c:v>
                </c:pt>
                <c:pt idx="173">
                  <c:v>3.2</c:v>
                </c:pt>
                <c:pt idx="174">
                  <c:v>3.5</c:v>
                </c:pt>
                <c:pt idx="175">
                  <c:v>2.9</c:v>
                </c:pt>
                <c:pt idx="176">
                  <c:v>2.8</c:v>
                </c:pt>
                <c:pt idx="177">
                  <c:v>3.5</c:v>
                </c:pt>
                <c:pt idx="178">
                  <c:v>2.85</c:v>
                </c:pt>
                <c:pt idx="179">
                  <c:v>2.5</c:v>
                </c:pt>
                <c:pt idx="180">
                  <c:v>1.9</c:v>
                </c:pt>
                <c:pt idx="181">
                  <c:v>3.1</c:v>
                </c:pt>
                <c:pt idx="182">
                  <c:v>2.1</c:v>
                </c:pt>
                <c:pt idx="183">
                  <c:v>2.2999999999999998</c:v>
                </c:pt>
                <c:pt idx="184">
                  <c:v>3.3</c:v>
                </c:pt>
                <c:pt idx="185">
                  <c:v>2.8</c:v>
                </c:pt>
                <c:pt idx="186">
                  <c:v>2.7</c:v>
                </c:pt>
                <c:pt idx="187">
                  <c:v>2.7</c:v>
                </c:pt>
                <c:pt idx="188">
                  <c:v>2.8</c:v>
                </c:pt>
                <c:pt idx="189">
                  <c:v>2.8</c:v>
                </c:pt>
                <c:pt idx="190">
                  <c:v>2.2999999999999998</c:v>
                </c:pt>
                <c:pt idx="191">
                  <c:v>2.5</c:v>
                </c:pt>
                <c:pt idx="192">
                  <c:v>2</c:v>
                </c:pt>
                <c:pt idx="193">
                  <c:v>2.6</c:v>
                </c:pt>
                <c:pt idx="194">
                  <c:v>2.4</c:v>
                </c:pt>
                <c:pt idx="195">
                  <c:v>2.2999999999999998</c:v>
                </c:pt>
                <c:pt idx="196">
                  <c:v>2.5</c:v>
                </c:pt>
                <c:pt idx="197">
                  <c:v>3.1</c:v>
                </c:pt>
                <c:pt idx="198">
                  <c:v>3</c:v>
                </c:pt>
                <c:pt idx="199">
                  <c:v>2.85</c:v>
                </c:pt>
                <c:pt idx="200">
                  <c:v>2.2000000000000002</c:v>
                </c:pt>
                <c:pt idx="201">
                  <c:v>2.2000000000000002</c:v>
                </c:pt>
                <c:pt idx="202">
                  <c:v>2.1</c:v>
                </c:pt>
                <c:pt idx="203">
                  <c:v>1.7</c:v>
                </c:pt>
                <c:pt idx="204">
                  <c:v>1.9</c:v>
                </c:pt>
                <c:pt idx="205">
                  <c:v>1.9</c:v>
                </c:pt>
                <c:pt idx="206">
                  <c:v>1.8</c:v>
                </c:pt>
                <c:pt idx="207">
                  <c:v>2.92</c:v>
                </c:pt>
                <c:pt idx="208">
                  <c:v>2.8</c:v>
                </c:pt>
                <c:pt idx="209">
                  <c:v>3.1</c:v>
                </c:pt>
                <c:pt idx="210">
                  <c:v>3.2</c:v>
                </c:pt>
                <c:pt idx="211">
                  <c:v>2.2999999999999998</c:v>
                </c:pt>
                <c:pt idx="212">
                  <c:v>1.9</c:v>
                </c:pt>
                <c:pt idx="213">
                  <c:v>1.7</c:v>
                </c:pt>
                <c:pt idx="214">
                  <c:v>1.7</c:v>
                </c:pt>
                <c:pt idx="215">
                  <c:v>3.3</c:v>
                </c:pt>
                <c:pt idx="216">
                  <c:v>2.75</c:v>
                </c:pt>
                <c:pt idx="217">
                  <c:v>2.9</c:v>
                </c:pt>
                <c:pt idx="218">
                  <c:v>2.9</c:v>
                </c:pt>
                <c:pt idx="219">
                  <c:v>3.1</c:v>
                </c:pt>
                <c:pt idx="220">
                  <c:v>2.7</c:v>
                </c:pt>
                <c:pt idx="221">
                  <c:v>2.65</c:v>
                </c:pt>
                <c:pt idx="222">
                  <c:v>2.4</c:v>
                </c:pt>
                <c:pt idx="223">
                  <c:v>2.63</c:v>
                </c:pt>
                <c:pt idx="224">
                  <c:v>2.4</c:v>
                </c:pt>
                <c:pt idx="225">
                  <c:v>2.2999999999999998</c:v>
                </c:pt>
                <c:pt idx="226">
                  <c:v>2.1</c:v>
                </c:pt>
                <c:pt idx="227">
                  <c:v>2.1</c:v>
                </c:pt>
                <c:pt idx="228">
                  <c:v>2.85</c:v>
                </c:pt>
                <c:pt idx="229">
                  <c:v>2.5</c:v>
                </c:pt>
                <c:pt idx="230">
                  <c:v>2.2000000000000002</c:v>
                </c:pt>
                <c:pt idx="231">
                  <c:v>2.8</c:v>
                </c:pt>
                <c:pt idx="232">
                  <c:v>3</c:v>
                </c:pt>
                <c:pt idx="233">
                  <c:v>2.9</c:v>
                </c:pt>
                <c:pt idx="234">
                  <c:v>3.5</c:v>
                </c:pt>
                <c:pt idx="235">
                  <c:v>2.75</c:v>
                </c:pt>
                <c:pt idx="236">
                  <c:v>2.7</c:v>
                </c:pt>
                <c:pt idx="237">
                  <c:v>2.4</c:v>
                </c:pt>
                <c:pt idx="239">
                  <c:v>1.8</c:v>
                </c:pt>
                <c:pt idx="240">
                  <c:v>2.75</c:v>
                </c:pt>
                <c:pt idx="241">
                  <c:v>3.1</c:v>
                </c:pt>
                <c:pt idx="242">
                  <c:v>3.4</c:v>
                </c:pt>
                <c:pt idx="243">
                  <c:v>3.35</c:v>
                </c:pt>
                <c:pt idx="244">
                  <c:v>3.2</c:v>
                </c:pt>
                <c:pt idx="245">
                  <c:v>2.3199999999999998</c:v>
                </c:pt>
                <c:pt idx="246">
                  <c:v>2.35</c:v>
                </c:pt>
                <c:pt idx="247">
                  <c:v>2.2999999999999998</c:v>
                </c:pt>
                <c:pt idx="248">
                  <c:v>2.1</c:v>
                </c:pt>
                <c:pt idx="249">
                  <c:v>3.05</c:v>
                </c:pt>
                <c:pt idx="250">
                  <c:v>2.85</c:v>
                </c:pt>
                <c:pt idx="251">
                  <c:v>2.9</c:v>
                </c:pt>
                <c:pt idx="252">
                  <c:v>2.5</c:v>
                </c:pt>
                <c:pt idx="253">
                  <c:v>2.35</c:v>
                </c:pt>
                <c:pt idx="254">
                  <c:v>2.5</c:v>
                </c:pt>
                <c:pt idx="255">
                  <c:v>2.5</c:v>
                </c:pt>
                <c:pt idx="256">
                  <c:v>2.5499999999999998</c:v>
                </c:pt>
                <c:pt idx="257">
                  <c:v>2.2999999999999998</c:v>
                </c:pt>
                <c:pt idx="258">
                  <c:v>2.9</c:v>
                </c:pt>
                <c:pt idx="259">
                  <c:v>2.95</c:v>
                </c:pt>
                <c:pt idx="260">
                  <c:v>3.2</c:v>
                </c:pt>
                <c:pt idx="261">
                  <c:v>3.1</c:v>
                </c:pt>
                <c:pt idx="262">
                  <c:v>3.2</c:v>
                </c:pt>
                <c:pt idx="263">
                  <c:v>2.85</c:v>
                </c:pt>
                <c:pt idx="264">
                  <c:v>2.7</c:v>
                </c:pt>
                <c:pt idx="265">
                  <c:v>2.1</c:v>
                </c:pt>
                <c:pt idx="266">
                  <c:v>1.9</c:v>
                </c:pt>
                <c:pt idx="267">
                  <c:v>2.4500000000000002</c:v>
                </c:pt>
                <c:pt idx="268">
                  <c:v>2.4</c:v>
                </c:pt>
                <c:pt idx="269">
                  <c:v>2.2999999999999998</c:v>
                </c:pt>
                <c:pt idx="270">
                  <c:v>3.4</c:v>
                </c:pt>
                <c:pt idx="271">
                  <c:v>2.82</c:v>
                </c:pt>
                <c:pt idx="272">
                  <c:v>2.8</c:v>
                </c:pt>
                <c:pt idx="273">
                  <c:v>2.65</c:v>
                </c:pt>
                <c:pt idx="274">
                  <c:v>2.58</c:v>
                </c:pt>
                <c:pt idx="275">
                  <c:v>2.42</c:v>
                </c:pt>
                <c:pt idx="276">
                  <c:v>2.5</c:v>
                </c:pt>
                <c:pt idx="277">
                  <c:v>2</c:v>
                </c:pt>
                <c:pt idx="278">
                  <c:v>2.94</c:v>
                </c:pt>
                <c:pt idx="279">
                  <c:v>2.84</c:v>
                </c:pt>
                <c:pt idx="280">
                  <c:v>2.52</c:v>
                </c:pt>
                <c:pt idx="281">
                  <c:v>2.85</c:v>
                </c:pt>
                <c:pt idx="282">
                  <c:v>2.86</c:v>
                </c:pt>
                <c:pt idx="283">
                  <c:v>4.29</c:v>
                </c:pt>
                <c:pt idx="284">
                  <c:v>4.95</c:v>
                </c:pt>
                <c:pt idx="285">
                  <c:v>3.3</c:v>
                </c:pt>
                <c:pt idx="286">
                  <c:v>2.61</c:v>
                </c:pt>
                <c:pt idx="287">
                  <c:v>3.26</c:v>
                </c:pt>
                <c:pt idx="288">
                  <c:v>3.26</c:v>
                </c:pt>
                <c:pt idx="289">
                  <c:v>3.31</c:v>
                </c:pt>
                <c:pt idx="290">
                  <c:v>2.88</c:v>
                </c:pt>
                <c:pt idx="291" formatCode="0.00">
                  <c:v>2.44</c:v>
                </c:pt>
                <c:pt idx="292" formatCode="0.00">
                  <c:v>3.32</c:v>
                </c:pt>
                <c:pt idx="293" formatCode="0.00">
                  <c:v>3.6</c:v>
                </c:pt>
                <c:pt idx="294" formatCode="0.00">
                  <c:v>4.25</c:v>
                </c:pt>
                <c:pt idx="295" formatCode="0.00">
                  <c:v>3.12</c:v>
                </c:pt>
                <c:pt idx="296" formatCode="0.00">
                  <c:v>3.68</c:v>
                </c:pt>
                <c:pt idx="297" formatCode="0.00">
                  <c:v>4.12</c:v>
                </c:pt>
                <c:pt idx="298" formatCode="0.00">
                  <c:v>2.75</c:v>
                </c:pt>
                <c:pt idx="299" formatCode="0.00">
                  <c:v>4.43</c:v>
                </c:pt>
                <c:pt idx="300" formatCode="0.00">
                  <c:v>4.2</c:v>
                </c:pt>
                <c:pt idx="301" formatCode="0.00">
                  <c:v>4.49</c:v>
                </c:pt>
                <c:pt idx="302" formatCode="0.00">
                  <c:v>1.85</c:v>
                </c:pt>
                <c:pt idx="303" formatCode="0.00">
                  <c:v>1.76</c:v>
                </c:pt>
                <c:pt idx="304" formatCode="0.00">
                  <c:v>1.79</c:v>
                </c:pt>
                <c:pt idx="305" formatCode="0.00">
                  <c:v>2.57</c:v>
                </c:pt>
                <c:pt idx="306" formatCode="0.00">
                  <c:v>2.77</c:v>
                </c:pt>
                <c:pt idx="307" formatCode="0.00">
                  <c:v>2.38</c:v>
                </c:pt>
                <c:pt idx="308" formatCode="0.00">
                  <c:v>2.6</c:v>
                </c:pt>
                <c:pt idx="309" formatCode="0.00">
                  <c:v>2.33</c:v>
                </c:pt>
                <c:pt idx="310" formatCode="0.00">
                  <c:v>3.25</c:v>
                </c:pt>
                <c:pt idx="311" formatCode="0.00">
                  <c:v>2.72</c:v>
                </c:pt>
                <c:pt idx="312" formatCode="0.00">
                  <c:v>3.35</c:v>
                </c:pt>
                <c:pt idx="313" formatCode="0.00">
                  <c:v>3.66</c:v>
                </c:pt>
                <c:pt idx="314" formatCode="0.00">
                  <c:v>4.53</c:v>
                </c:pt>
                <c:pt idx="315" formatCode="0.00">
                  <c:v>4.0999999999999996</c:v>
                </c:pt>
                <c:pt idx="316" formatCode="0.00">
                  <c:v>3.9</c:v>
                </c:pt>
                <c:pt idx="317" formatCode="0.00">
                  <c:v>3.33</c:v>
                </c:pt>
                <c:pt idx="318" formatCode="0.00">
                  <c:v>3.07</c:v>
                </c:pt>
                <c:pt idx="319" formatCode="0.00">
                  <c:v>2.73</c:v>
                </c:pt>
                <c:pt idx="320" formatCode="0.00">
                  <c:v>2.41</c:v>
                </c:pt>
                <c:pt idx="321" formatCode="0.00">
                  <c:v>2.25</c:v>
                </c:pt>
                <c:pt idx="322" formatCode="0.00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EA-400B-B557-FD520920C3A1}"/>
            </c:ext>
          </c:extLst>
        </c:ser>
        <c:ser>
          <c:idx val="10"/>
          <c:order val="10"/>
          <c:tx>
            <c:v>Station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'SDT-Station1 '!$D$339:$D$365</c:f>
              <c:numCache>
                <c:formatCode>m/d/yy</c:formatCode>
                <c:ptCount val="27"/>
                <c:pt idx="0">
                  <c:v>31834</c:v>
                </c:pt>
                <c:pt idx="1">
                  <c:v>31906</c:v>
                </c:pt>
                <c:pt idx="2">
                  <c:v>31925</c:v>
                </c:pt>
                <c:pt idx="3">
                  <c:v>31937</c:v>
                </c:pt>
                <c:pt idx="4">
                  <c:v>31951</c:v>
                </c:pt>
                <c:pt idx="5">
                  <c:v>31971</c:v>
                </c:pt>
                <c:pt idx="6">
                  <c:v>31987</c:v>
                </c:pt>
                <c:pt idx="7">
                  <c:v>32001</c:v>
                </c:pt>
                <c:pt idx="8">
                  <c:v>32015</c:v>
                </c:pt>
                <c:pt idx="9">
                  <c:v>32035</c:v>
                </c:pt>
                <c:pt idx="10">
                  <c:v>32048</c:v>
                </c:pt>
                <c:pt idx="11">
                  <c:v>32065</c:v>
                </c:pt>
                <c:pt idx="12">
                  <c:v>33829</c:v>
                </c:pt>
                <c:pt idx="13">
                  <c:v>38913</c:v>
                </c:pt>
                <c:pt idx="14">
                  <c:v>38913</c:v>
                </c:pt>
                <c:pt idx="15">
                  <c:v>43284</c:v>
                </c:pt>
                <c:pt idx="16">
                  <c:v>43284</c:v>
                </c:pt>
                <c:pt idx="17">
                  <c:v>43297</c:v>
                </c:pt>
                <c:pt idx="18">
                  <c:v>43313</c:v>
                </c:pt>
                <c:pt idx="19">
                  <c:v>43325</c:v>
                </c:pt>
                <c:pt idx="20">
                  <c:v>43341</c:v>
                </c:pt>
                <c:pt idx="21">
                  <c:v>43357</c:v>
                </c:pt>
                <c:pt idx="22">
                  <c:v>43357</c:v>
                </c:pt>
                <c:pt idx="23">
                  <c:v>43381</c:v>
                </c:pt>
                <c:pt idx="24">
                  <c:v>43598</c:v>
                </c:pt>
                <c:pt idx="25">
                  <c:v>43610</c:v>
                </c:pt>
                <c:pt idx="26">
                  <c:v>43622</c:v>
                </c:pt>
              </c:numCache>
            </c:numRef>
          </c:xVal>
          <c:yVal>
            <c:numRef>
              <c:f>'SDT-Station1 '!$P$339:$P$365</c:f>
              <c:numCache>
                <c:formatCode>General</c:formatCode>
                <c:ptCount val="27"/>
                <c:pt idx="0">
                  <c:v>2.9</c:v>
                </c:pt>
                <c:pt idx="1">
                  <c:v>2.8</c:v>
                </c:pt>
                <c:pt idx="2">
                  <c:v>4</c:v>
                </c:pt>
                <c:pt idx="3">
                  <c:v>3</c:v>
                </c:pt>
                <c:pt idx="4">
                  <c:v>3.4</c:v>
                </c:pt>
                <c:pt idx="5">
                  <c:v>3.7</c:v>
                </c:pt>
                <c:pt idx="6">
                  <c:v>2.4</c:v>
                </c:pt>
                <c:pt idx="7">
                  <c:v>2</c:v>
                </c:pt>
                <c:pt idx="8">
                  <c:v>1.7</c:v>
                </c:pt>
                <c:pt idx="9">
                  <c:v>1.5</c:v>
                </c:pt>
                <c:pt idx="10">
                  <c:v>1.9</c:v>
                </c:pt>
                <c:pt idx="11">
                  <c:v>2.1</c:v>
                </c:pt>
                <c:pt idx="12">
                  <c:v>2.5</c:v>
                </c:pt>
                <c:pt idx="13">
                  <c:v>2.31</c:v>
                </c:pt>
                <c:pt idx="14">
                  <c:v>2.29</c:v>
                </c:pt>
                <c:pt idx="15">
                  <c:v>3.05</c:v>
                </c:pt>
                <c:pt idx="16">
                  <c:v>3.07</c:v>
                </c:pt>
                <c:pt idx="17">
                  <c:v>4.54</c:v>
                </c:pt>
                <c:pt idx="18">
                  <c:v>4.74</c:v>
                </c:pt>
                <c:pt idx="19">
                  <c:v>3.43</c:v>
                </c:pt>
                <c:pt idx="20">
                  <c:v>3.13</c:v>
                </c:pt>
                <c:pt idx="21">
                  <c:v>3.03</c:v>
                </c:pt>
                <c:pt idx="22">
                  <c:v>3.13</c:v>
                </c:pt>
                <c:pt idx="23">
                  <c:v>2.73</c:v>
                </c:pt>
                <c:pt idx="24">
                  <c:v>2.56</c:v>
                </c:pt>
                <c:pt idx="25">
                  <c:v>3.45</c:v>
                </c:pt>
                <c:pt idx="26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EA-400B-B557-FD520920C3A1}"/>
            </c:ext>
          </c:extLst>
        </c:ser>
        <c:ser>
          <c:idx val="11"/>
          <c:order val="11"/>
          <c:tx>
            <c:v>Station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'SDT-Station1 '!$D$366:$D$377</c:f>
              <c:numCache>
                <c:formatCode>m/d/yy</c:formatCode>
                <c:ptCount val="12"/>
                <c:pt idx="0">
                  <c:v>43637</c:v>
                </c:pt>
                <c:pt idx="1">
                  <c:v>43651</c:v>
                </c:pt>
                <c:pt idx="2">
                  <c:v>43664</c:v>
                </c:pt>
                <c:pt idx="3">
                  <c:v>43678</c:v>
                </c:pt>
                <c:pt idx="4">
                  <c:v>43691</c:v>
                </c:pt>
                <c:pt idx="5">
                  <c:v>43705</c:v>
                </c:pt>
                <c:pt idx="6">
                  <c:v>43721</c:v>
                </c:pt>
                <c:pt idx="7">
                  <c:v>43727</c:v>
                </c:pt>
                <c:pt idx="8">
                  <c:v>43733</c:v>
                </c:pt>
                <c:pt idx="9">
                  <c:v>43747</c:v>
                </c:pt>
                <c:pt idx="10">
                  <c:v>43759</c:v>
                </c:pt>
                <c:pt idx="11">
                  <c:v>43771</c:v>
                </c:pt>
              </c:numCache>
            </c:numRef>
          </c:xVal>
          <c:yVal>
            <c:numRef>
              <c:f>'SDT-Station1 '!$P$366:$P$377</c:f>
              <c:numCache>
                <c:formatCode>0.00</c:formatCode>
                <c:ptCount val="12"/>
                <c:pt idx="0">
                  <c:v>4.25</c:v>
                </c:pt>
                <c:pt idx="1">
                  <c:v>3.46</c:v>
                </c:pt>
                <c:pt idx="2">
                  <c:v>3.83</c:v>
                </c:pt>
                <c:pt idx="3">
                  <c:v>4.28</c:v>
                </c:pt>
                <c:pt idx="4">
                  <c:v>2.3199999999999998</c:v>
                </c:pt>
                <c:pt idx="5">
                  <c:v>3.28</c:v>
                </c:pt>
                <c:pt idx="6">
                  <c:v>1.88</c:v>
                </c:pt>
                <c:pt idx="7">
                  <c:v>1.79</c:v>
                </c:pt>
                <c:pt idx="8">
                  <c:v>1.84</c:v>
                </c:pt>
                <c:pt idx="9">
                  <c:v>2.62</c:v>
                </c:pt>
                <c:pt idx="10">
                  <c:v>3.2</c:v>
                </c:pt>
                <c:pt idx="11">
                  <c:v>2.0699999999999998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6-46DB-B51A-BD51534A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872"/>
        <c:axId val="480591152"/>
      </c:scatterChart>
      <c:valAx>
        <c:axId val="480587872"/>
        <c:scaling>
          <c:orientation val="minMax"/>
          <c:max val="44196"/>
          <c:min val="295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91152"/>
        <c:crosses val="autoZero"/>
        <c:crossBetween val="midCat"/>
      </c:valAx>
      <c:valAx>
        <c:axId val="480591152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Cross Lake (MIDAS 1674) Annual Average, Minimum, &amp; Maximum Water Clarity (SDT) 1981-2019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'SDT-Station1 '!$AC$1:$AC$2</c:f>
              <c:strCache>
                <c:ptCount val="2"/>
                <c:pt idx="0">
                  <c:v>SDT - STATION #2</c:v>
                </c:pt>
                <c:pt idx="1">
                  <c:v>annual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'!$AC$3:$AC$41</c:f>
              <c:numCache>
                <c:formatCode>0.00</c:formatCode>
                <c:ptCount val="39"/>
                <c:pt idx="6">
                  <c:v>2.6166666666666663</c:v>
                </c:pt>
                <c:pt idx="11">
                  <c:v>2.5</c:v>
                </c:pt>
                <c:pt idx="25">
                  <c:v>2.2999999999999998</c:v>
                </c:pt>
                <c:pt idx="37">
                  <c:v>3.6083333333333338</c:v>
                </c:pt>
                <c:pt idx="38">
                  <c:v>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C-4AF1-A59C-EF3C6DBAAD1A}"/>
            </c:ext>
          </c:extLst>
        </c:ser>
        <c:ser>
          <c:idx val="4"/>
          <c:order val="4"/>
          <c:tx>
            <c:strRef>
              <c:f>'SDT-Station1 '!$AD$1:$AD$2</c:f>
              <c:strCache>
                <c:ptCount val="2"/>
                <c:pt idx="0">
                  <c:v>SDT - STATION #2</c:v>
                </c:pt>
                <c:pt idx="1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'!$AD$3:$AD$41</c:f>
              <c:numCache>
                <c:formatCode>0.00</c:formatCode>
                <c:ptCount val="39"/>
                <c:pt idx="6">
                  <c:v>1.5</c:v>
                </c:pt>
                <c:pt idx="11">
                  <c:v>2.5</c:v>
                </c:pt>
                <c:pt idx="25">
                  <c:v>2.29</c:v>
                </c:pt>
                <c:pt idx="37">
                  <c:v>2.73</c:v>
                </c:pt>
                <c:pt idx="38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DC-4AF1-A59C-EF3C6DBAAD1A}"/>
            </c:ext>
          </c:extLst>
        </c:ser>
        <c:ser>
          <c:idx val="5"/>
          <c:order val="5"/>
          <c:tx>
            <c:strRef>
              <c:f>'SDT-Station1 '!$AE$1:$AE$2</c:f>
              <c:strCache>
                <c:ptCount val="2"/>
                <c:pt idx="0">
                  <c:v>SDT - STATION #2</c:v>
                </c:pt>
                <c:pt idx="1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'SDT-Station1 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'SDT-Station1 '!$AE$3:$AE$41</c:f>
              <c:numCache>
                <c:formatCode>0.00</c:formatCode>
                <c:ptCount val="39"/>
                <c:pt idx="6">
                  <c:v>4</c:v>
                </c:pt>
                <c:pt idx="11">
                  <c:v>2.5</c:v>
                </c:pt>
                <c:pt idx="25">
                  <c:v>2.31</c:v>
                </c:pt>
                <c:pt idx="37">
                  <c:v>4.74</c:v>
                </c:pt>
                <c:pt idx="38">
                  <c:v>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DC-4AF1-A59C-EF3C6DBA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accent5"/>
              </a:solidFill>
              <a:round/>
            </a:ln>
            <a:effectLst/>
          </c:spPr>
        </c:hiLowLine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'SDT-Station1 '!$Z$1:$Z$2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'SDT-Station1 '!$Z$3:$Z$41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0">
                        <c:v>2.1142857142857143</c:v>
                      </c:pt>
                      <c:pt idx="2">
                        <c:v>2.2000000000000002</c:v>
                      </c:pt>
                      <c:pt idx="3">
                        <c:v>1.7571428571428573</c:v>
                      </c:pt>
                      <c:pt idx="5">
                        <c:v>2.0249999999999999</c:v>
                      </c:pt>
                      <c:pt idx="6">
                        <c:v>2.4999999999999996</c:v>
                      </c:pt>
                      <c:pt idx="7">
                        <c:v>2.86</c:v>
                      </c:pt>
                      <c:pt idx="8">
                        <c:v>3.3947368421052633</c:v>
                      </c:pt>
                      <c:pt idx="9">
                        <c:v>2.5105263157894733</c:v>
                      </c:pt>
                      <c:pt idx="10">
                        <c:v>2.8944444444444448</c:v>
                      </c:pt>
                      <c:pt idx="11">
                        <c:v>3.1652173913043482</c:v>
                      </c:pt>
                      <c:pt idx="13">
                        <c:v>3.55</c:v>
                      </c:pt>
                      <c:pt idx="14">
                        <c:v>2.7222222222222223</c:v>
                      </c:pt>
                      <c:pt idx="15">
                        <c:v>2.29</c:v>
                      </c:pt>
                      <c:pt idx="16">
                        <c:v>2.9899999999999998</c:v>
                      </c:pt>
                      <c:pt idx="17">
                        <c:v>2.7454545454545456</c:v>
                      </c:pt>
                      <c:pt idx="18">
                        <c:v>2.6611111111111114</c:v>
                      </c:pt>
                      <c:pt idx="19">
                        <c:v>2.6272727272727274</c:v>
                      </c:pt>
                      <c:pt idx="20">
                        <c:v>2.2958333333333329</c:v>
                      </c:pt>
                      <c:pt idx="21">
                        <c:v>2.4524999999999997</c:v>
                      </c:pt>
                      <c:pt idx="22">
                        <c:v>2.6330769230769229</c:v>
                      </c:pt>
                      <c:pt idx="23">
                        <c:v>2.6777777777777776</c:v>
                      </c:pt>
                      <c:pt idx="24">
                        <c:v>2.8168750000000005</c:v>
                      </c:pt>
                      <c:pt idx="25">
                        <c:v>2.6111111111111112</c:v>
                      </c:pt>
                      <c:pt idx="26">
                        <c:v>2.7666666666666671</c:v>
                      </c:pt>
                      <c:pt idx="27">
                        <c:v>2.3833333333333333</c:v>
                      </c:pt>
                      <c:pt idx="28">
                        <c:v>2.6228571428571428</c:v>
                      </c:pt>
                      <c:pt idx="35">
                        <c:v>2.8899999999999997</c:v>
                      </c:pt>
                      <c:pt idx="36">
                        <c:v>2.52</c:v>
                      </c:pt>
                      <c:pt idx="37">
                        <c:v>3.1416666666666671</c:v>
                      </c:pt>
                      <c:pt idx="38">
                        <c:v>2.988666666666667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0DC-4AF1-A59C-EF3C6DBAAD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'!$AA$1:$AA$2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'!$AA$3:$AA$41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0">
                        <c:v>1.8</c:v>
                      </c:pt>
                      <c:pt idx="2">
                        <c:v>2.2000000000000002</c:v>
                      </c:pt>
                      <c:pt idx="3">
                        <c:v>0.9</c:v>
                      </c:pt>
                      <c:pt idx="5">
                        <c:v>1.3</c:v>
                      </c:pt>
                      <c:pt idx="6">
                        <c:v>1.7</c:v>
                      </c:pt>
                      <c:pt idx="7">
                        <c:v>2</c:v>
                      </c:pt>
                      <c:pt idx="8">
                        <c:v>2.5</c:v>
                      </c:pt>
                      <c:pt idx="9">
                        <c:v>1.6</c:v>
                      </c:pt>
                      <c:pt idx="10">
                        <c:v>2.4</c:v>
                      </c:pt>
                      <c:pt idx="11">
                        <c:v>2.2999999999999998</c:v>
                      </c:pt>
                      <c:pt idx="13">
                        <c:v>3.3</c:v>
                      </c:pt>
                      <c:pt idx="14">
                        <c:v>2.2999999999999998</c:v>
                      </c:pt>
                      <c:pt idx="15">
                        <c:v>1.6</c:v>
                      </c:pt>
                      <c:pt idx="16">
                        <c:v>2.4</c:v>
                      </c:pt>
                      <c:pt idx="17">
                        <c:v>2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1.7</c:v>
                      </c:pt>
                      <c:pt idx="21">
                        <c:v>1.7</c:v>
                      </c:pt>
                      <c:pt idx="22">
                        <c:v>2.1</c:v>
                      </c:pt>
                      <c:pt idx="23">
                        <c:v>1.8</c:v>
                      </c:pt>
                      <c:pt idx="24">
                        <c:v>2.1</c:v>
                      </c:pt>
                      <c:pt idx="25">
                        <c:v>2.2999999999999998</c:v>
                      </c:pt>
                      <c:pt idx="26">
                        <c:v>1.9</c:v>
                      </c:pt>
                      <c:pt idx="27">
                        <c:v>2.2999999999999998</c:v>
                      </c:pt>
                      <c:pt idx="28">
                        <c:v>2</c:v>
                      </c:pt>
                      <c:pt idx="35">
                        <c:v>2.84</c:v>
                      </c:pt>
                      <c:pt idx="36">
                        <c:v>2.52</c:v>
                      </c:pt>
                      <c:pt idx="37">
                        <c:v>2.61</c:v>
                      </c:pt>
                      <c:pt idx="38">
                        <c:v>1.76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0DC-4AF1-A59C-EF3C6DBAAD1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'!$AB$1:$AB$2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'!$AB$3:$AB$41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0">
                        <c:v>2.5</c:v>
                      </c:pt>
                      <c:pt idx="2">
                        <c:v>2.2000000000000002</c:v>
                      </c:pt>
                      <c:pt idx="3">
                        <c:v>3</c:v>
                      </c:pt>
                      <c:pt idx="5">
                        <c:v>3.5</c:v>
                      </c:pt>
                      <c:pt idx="6">
                        <c:v>3.5</c:v>
                      </c:pt>
                      <c:pt idx="7">
                        <c:v>6</c:v>
                      </c:pt>
                      <c:pt idx="8">
                        <c:v>5.5</c:v>
                      </c:pt>
                      <c:pt idx="9">
                        <c:v>3.6</c:v>
                      </c:pt>
                      <c:pt idx="10">
                        <c:v>3.2</c:v>
                      </c:pt>
                      <c:pt idx="11">
                        <c:v>3.5</c:v>
                      </c:pt>
                      <c:pt idx="13">
                        <c:v>3.8</c:v>
                      </c:pt>
                      <c:pt idx="14">
                        <c:v>3.2</c:v>
                      </c:pt>
                      <c:pt idx="15">
                        <c:v>3.1</c:v>
                      </c:pt>
                      <c:pt idx="16">
                        <c:v>3.9</c:v>
                      </c:pt>
                      <c:pt idx="17">
                        <c:v>3.7</c:v>
                      </c:pt>
                      <c:pt idx="18">
                        <c:v>3.5</c:v>
                      </c:pt>
                      <c:pt idx="19">
                        <c:v>3.3</c:v>
                      </c:pt>
                      <c:pt idx="20">
                        <c:v>3.1</c:v>
                      </c:pt>
                      <c:pt idx="21">
                        <c:v>3.2</c:v>
                      </c:pt>
                      <c:pt idx="22">
                        <c:v>3.3</c:v>
                      </c:pt>
                      <c:pt idx="23">
                        <c:v>3.5</c:v>
                      </c:pt>
                      <c:pt idx="24">
                        <c:v>3.4</c:v>
                      </c:pt>
                      <c:pt idx="25">
                        <c:v>3.05</c:v>
                      </c:pt>
                      <c:pt idx="26">
                        <c:v>3.2</c:v>
                      </c:pt>
                      <c:pt idx="27">
                        <c:v>2.4500000000000002</c:v>
                      </c:pt>
                      <c:pt idx="28">
                        <c:v>3.4</c:v>
                      </c:pt>
                      <c:pt idx="35">
                        <c:v>2.94</c:v>
                      </c:pt>
                      <c:pt idx="36">
                        <c:v>2.52</c:v>
                      </c:pt>
                      <c:pt idx="37">
                        <c:v>4.95</c:v>
                      </c:pt>
                      <c:pt idx="38">
                        <c:v>4.43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0DC-4AF1-A59C-EF3C6DBAAD1A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Cross Lake (MIDAS 1674) Water Clarity (SDT) Annual Average, Minimum, &amp; Maximum 1981-2020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'SDT-Station1 '!$AF$1:$AF$2</c:f>
              <c:strCache>
                <c:ptCount val="2"/>
                <c:pt idx="0">
                  <c:v>SDT - STATION #3</c:v>
                </c:pt>
                <c:pt idx="1">
                  <c:v>annual 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38"/>
            <c:marker>
              <c:symbol val="square"/>
              <c:size val="5"/>
              <c:spPr>
                <a:solidFill>
                  <a:schemeClr val="accent3"/>
                </a:solidFill>
                <a:ln w="635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6C2-43B1-89E7-97E770E66136}"/>
              </c:ext>
            </c:extLst>
          </c:dPt>
          <c:cat>
            <c:numRef>
              <c:f>'SDT-Station1 '!$Y$3:$Y$42</c:f>
              <c:numCache>
                <c:formatCode>0</c:formatCode>
                <c:ptCount val="4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</c:numCache>
            </c:numRef>
          </c:cat>
          <c:val>
            <c:numRef>
              <c:f>'SDT-Station1 '!$AF$3:$AF$42</c:f>
              <c:numCache>
                <c:formatCode>0.00</c:formatCode>
                <c:ptCount val="40"/>
                <c:pt idx="38">
                  <c:v>2.9016666666666668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C2-43B1-89E7-97E770E66136}"/>
            </c:ext>
          </c:extLst>
        </c:ser>
        <c:ser>
          <c:idx val="7"/>
          <c:order val="7"/>
          <c:tx>
            <c:strRef>
              <c:f>'SDT-Station1 '!$AG$1:$AG$2</c:f>
              <c:strCache>
                <c:ptCount val="2"/>
                <c:pt idx="0">
                  <c:v>SDT - STATION #3</c:v>
                </c:pt>
                <c:pt idx="1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3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A6C2-43B1-89E7-97E770E66136}"/>
              </c:ext>
            </c:extLst>
          </c:dPt>
          <c:cat>
            <c:numRef>
              <c:f>'SDT-Station1 '!$Y$3:$Y$42</c:f>
              <c:numCache>
                <c:formatCode>0</c:formatCode>
                <c:ptCount val="4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</c:numCache>
            </c:numRef>
          </c:cat>
          <c:val>
            <c:numRef>
              <c:f>'SDT-Station1 '!$AG$3:$AG$42</c:f>
              <c:numCache>
                <c:formatCode>0.00</c:formatCode>
                <c:ptCount val="40"/>
                <c:pt idx="38">
                  <c:v>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C2-43B1-89E7-97E770E66136}"/>
            </c:ext>
          </c:extLst>
        </c:ser>
        <c:ser>
          <c:idx val="8"/>
          <c:order val="8"/>
          <c:tx>
            <c:strRef>
              <c:f>'SDT-Station1 '!$AH$1:$AH$2</c:f>
              <c:strCache>
                <c:ptCount val="2"/>
                <c:pt idx="0">
                  <c:v>SDT - STATION #3</c:v>
                </c:pt>
                <c:pt idx="1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'SDT-Station1 '!$Y$3:$Y$42</c:f>
              <c:numCache>
                <c:formatCode>0</c:formatCode>
                <c:ptCount val="4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</c:numCache>
            </c:numRef>
          </c:cat>
          <c:val>
            <c:numRef>
              <c:f>'SDT-Station1 '!$AH$3:$AH$42</c:f>
              <c:numCache>
                <c:formatCode>0.00</c:formatCode>
                <c:ptCount val="40"/>
                <c:pt idx="38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C2-43B1-89E7-97E770E6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</c:hiLowLine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'SDT-Station1 '!$Z$1:$Z$2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'SDT-Station1 '!$Z$3:$Z$42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0">
                        <c:v>2.1142857142857143</c:v>
                      </c:pt>
                      <c:pt idx="2">
                        <c:v>2.2000000000000002</c:v>
                      </c:pt>
                      <c:pt idx="3">
                        <c:v>1.7571428571428573</c:v>
                      </c:pt>
                      <c:pt idx="5">
                        <c:v>2.0249999999999999</c:v>
                      </c:pt>
                      <c:pt idx="6">
                        <c:v>2.4999999999999996</c:v>
                      </c:pt>
                      <c:pt idx="7">
                        <c:v>2.86</c:v>
                      </c:pt>
                      <c:pt idx="8">
                        <c:v>3.3947368421052633</c:v>
                      </c:pt>
                      <c:pt idx="9">
                        <c:v>2.5105263157894733</c:v>
                      </c:pt>
                      <c:pt idx="10">
                        <c:v>2.8944444444444448</c:v>
                      </c:pt>
                      <c:pt idx="11">
                        <c:v>3.1652173913043482</c:v>
                      </c:pt>
                      <c:pt idx="13">
                        <c:v>3.55</c:v>
                      </c:pt>
                      <c:pt idx="14">
                        <c:v>2.7222222222222223</c:v>
                      </c:pt>
                      <c:pt idx="15">
                        <c:v>2.29</c:v>
                      </c:pt>
                      <c:pt idx="16">
                        <c:v>2.9899999999999998</c:v>
                      </c:pt>
                      <c:pt idx="17">
                        <c:v>2.7454545454545456</c:v>
                      </c:pt>
                      <c:pt idx="18">
                        <c:v>2.6611111111111114</c:v>
                      </c:pt>
                      <c:pt idx="19">
                        <c:v>2.6272727272727274</c:v>
                      </c:pt>
                      <c:pt idx="20">
                        <c:v>2.2958333333333329</c:v>
                      </c:pt>
                      <c:pt idx="21">
                        <c:v>2.4524999999999997</c:v>
                      </c:pt>
                      <c:pt idx="22">
                        <c:v>2.6330769230769229</c:v>
                      </c:pt>
                      <c:pt idx="23">
                        <c:v>2.6777777777777776</c:v>
                      </c:pt>
                      <c:pt idx="24">
                        <c:v>2.8168750000000005</c:v>
                      </c:pt>
                      <c:pt idx="25">
                        <c:v>2.6111111111111112</c:v>
                      </c:pt>
                      <c:pt idx="26">
                        <c:v>2.7666666666666671</c:v>
                      </c:pt>
                      <c:pt idx="27">
                        <c:v>2.3833333333333333</c:v>
                      </c:pt>
                      <c:pt idx="28">
                        <c:v>2.6228571428571428</c:v>
                      </c:pt>
                      <c:pt idx="35">
                        <c:v>2.8899999999999997</c:v>
                      </c:pt>
                      <c:pt idx="36">
                        <c:v>2.52</c:v>
                      </c:pt>
                      <c:pt idx="37">
                        <c:v>3.1416666666666671</c:v>
                      </c:pt>
                      <c:pt idx="38">
                        <c:v>2.988666666666667</c:v>
                      </c:pt>
                      <c:pt idx="39">
                        <c:v>3.2617647058823529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C2-43B1-89E7-97E770E661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'!$AA$1:$AA$2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'!$AA$3:$AA$42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0">
                        <c:v>1.8</c:v>
                      </c:pt>
                      <c:pt idx="2">
                        <c:v>2.2000000000000002</c:v>
                      </c:pt>
                      <c:pt idx="3">
                        <c:v>0.9</c:v>
                      </c:pt>
                      <c:pt idx="5">
                        <c:v>1.3</c:v>
                      </c:pt>
                      <c:pt idx="6">
                        <c:v>1.7</c:v>
                      </c:pt>
                      <c:pt idx="7">
                        <c:v>2</c:v>
                      </c:pt>
                      <c:pt idx="8">
                        <c:v>2.5</c:v>
                      </c:pt>
                      <c:pt idx="9">
                        <c:v>1.6</c:v>
                      </c:pt>
                      <c:pt idx="10">
                        <c:v>2.4</c:v>
                      </c:pt>
                      <c:pt idx="11">
                        <c:v>2.2999999999999998</c:v>
                      </c:pt>
                      <c:pt idx="13">
                        <c:v>3.3</c:v>
                      </c:pt>
                      <c:pt idx="14">
                        <c:v>2.2999999999999998</c:v>
                      </c:pt>
                      <c:pt idx="15">
                        <c:v>1.6</c:v>
                      </c:pt>
                      <c:pt idx="16">
                        <c:v>2.4</c:v>
                      </c:pt>
                      <c:pt idx="17">
                        <c:v>2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1.7</c:v>
                      </c:pt>
                      <c:pt idx="21">
                        <c:v>1.7</c:v>
                      </c:pt>
                      <c:pt idx="22">
                        <c:v>2.1</c:v>
                      </c:pt>
                      <c:pt idx="23">
                        <c:v>1.8</c:v>
                      </c:pt>
                      <c:pt idx="24">
                        <c:v>2.1</c:v>
                      </c:pt>
                      <c:pt idx="25">
                        <c:v>2.2999999999999998</c:v>
                      </c:pt>
                      <c:pt idx="26">
                        <c:v>1.9</c:v>
                      </c:pt>
                      <c:pt idx="27">
                        <c:v>2.2999999999999998</c:v>
                      </c:pt>
                      <c:pt idx="28">
                        <c:v>2</c:v>
                      </c:pt>
                      <c:pt idx="35">
                        <c:v>2.84</c:v>
                      </c:pt>
                      <c:pt idx="36">
                        <c:v>2.52</c:v>
                      </c:pt>
                      <c:pt idx="37">
                        <c:v>2.61</c:v>
                      </c:pt>
                      <c:pt idx="38">
                        <c:v>1.76</c:v>
                      </c:pt>
                      <c:pt idx="39">
                        <c:v>2.25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C2-43B1-89E7-97E770E661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'!$AB$1:$AB$2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'!$AB$3:$AB$42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0">
                        <c:v>2.5</c:v>
                      </c:pt>
                      <c:pt idx="2">
                        <c:v>2.2000000000000002</c:v>
                      </c:pt>
                      <c:pt idx="3">
                        <c:v>3</c:v>
                      </c:pt>
                      <c:pt idx="5">
                        <c:v>3.5</c:v>
                      </c:pt>
                      <c:pt idx="6">
                        <c:v>3.5</c:v>
                      </c:pt>
                      <c:pt idx="7">
                        <c:v>6</c:v>
                      </c:pt>
                      <c:pt idx="8">
                        <c:v>5.5</c:v>
                      </c:pt>
                      <c:pt idx="9">
                        <c:v>3.6</c:v>
                      </c:pt>
                      <c:pt idx="10">
                        <c:v>3.2</c:v>
                      </c:pt>
                      <c:pt idx="11">
                        <c:v>3.5</c:v>
                      </c:pt>
                      <c:pt idx="13">
                        <c:v>3.8</c:v>
                      </c:pt>
                      <c:pt idx="14">
                        <c:v>3.2</c:v>
                      </c:pt>
                      <c:pt idx="15">
                        <c:v>3.1</c:v>
                      </c:pt>
                      <c:pt idx="16">
                        <c:v>3.9</c:v>
                      </c:pt>
                      <c:pt idx="17">
                        <c:v>3.7</c:v>
                      </c:pt>
                      <c:pt idx="18">
                        <c:v>3.5</c:v>
                      </c:pt>
                      <c:pt idx="19">
                        <c:v>3.3</c:v>
                      </c:pt>
                      <c:pt idx="20">
                        <c:v>3.1</c:v>
                      </c:pt>
                      <c:pt idx="21">
                        <c:v>3.2</c:v>
                      </c:pt>
                      <c:pt idx="22">
                        <c:v>3.3</c:v>
                      </c:pt>
                      <c:pt idx="23">
                        <c:v>3.5</c:v>
                      </c:pt>
                      <c:pt idx="24">
                        <c:v>3.4</c:v>
                      </c:pt>
                      <c:pt idx="25">
                        <c:v>3.05</c:v>
                      </c:pt>
                      <c:pt idx="26">
                        <c:v>3.2</c:v>
                      </c:pt>
                      <c:pt idx="27">
                        <c:v>2.4500000000000002</c:v>
                      </c:pt>
                      <c:pt idx="28">
                        <c:v>3.4</c:v>
                      </c:pt>
                      <c:pt idx="35">
                        <c:v>2.94</c:v>
                      </c:pt>
                      <c:pt idx="36">
                        <c:v>2.52</c:v>
                      </c:pt>
                      <c:pt idx="37">
                        <c:v>4.95</c:v>
                      </c:pt>
                      <c:pt idx="38">
                        <c:v>4.43</c:v>
                      </c:pt>
                      <c:pt idx="39">
                        <c:v>4.53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C2-43B1-89E7-97E770E661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'!$AC$1:$AC$2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'!$AC$3:$AC$42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6">
                        <c:v>2.6166666666666663</c:v>
                      </c:pt>
                      <c:pt idx="11">
                        <c:v>2.5</c:v>
                      </c:pt>
                      <c:pt idx="25">
                        <c:v>2.2999999999999998</c:v>
                      </c:pt>
                      <c:pt idx="37">
                        <c:v>3.6083333333333338</c:v>
                      </c:pt>
                      <c:pt idx="38">
                        <c:v>3.22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C2-43B1-89E7-97E770E661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'!$AD$1:$AD$2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'!$AD$3:$AD$42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6">
                        <c:v>1.5</c:v>
                      </c:pt>
                      <c:pt idx="11">
                        <c:v>2.5</c:v>
                      </c:pt>
                      <c:pt idx="25">
                        <c:v>2.29</c:v>
                      </c:pt>
                      <c:pt idx="37">
                        <c:v>2.73</c:v>
                      </c:pt>
                      <c:pt idx="38">
                        <c:v>2.56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C2-43B1-89E7-97E770E661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'!$AE$1:$AE$2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'!$Y$3:$Y$42</c15:sqref>
                        </c15:formulaRef>
                      </c:ext>
                    </c:extLst>
                    <c:numCache>
                      <c:formatCode>0</c:formatCode>
                      <c:ptCount val="40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'SDT-Station1 '!$AE$3:$AE$42</c15:sqref>
                        </c15:formulaRef>
                      </c:ext>
                    </c:extLst>
                    <c:numCache>
                      <c:formatCode>0.00</c:formatCode>
                      <c:ptCount val="40"/>
                      <c:pt idx="6">
                        <c:v>4</c:v>
                      </c:pt>
                      <c:pt idx="11">
                        <c:v>2.5</c:v>
                      </c:pt>
                      <c:pt idx="25">
                        <c:v>2.31</c:v>
                      </c:pt>
                      <c:pt idx="37">
                        <c:v>4.74</c:v>
                      </c:pt>
                      <c:pt idx="38">
                        <c:v>3.65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C2-43B1-89E7-97E770E66136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Cross Lake Average Annual Total Phosphorus (Epilimnetic Core Samples) 1981-2018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Station 1</c:v>
          </c:tx>
          <c:spPr>
            <a:solidFill>
              <a:schemeClr val="accent5">
                <a:tint val="65000"/>
              </a:schemeClr>
            </a:solidFill>
            <a:ln w="4127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'TP-Station 1 '!$AE$3:$AE$20</c:f>
              <c:numCache>
                <c:formatCode>General</c:formatCode>
                <c:ptCount val="1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1986</c:v>
                </c:pt>
                <c:pt idx="4">
                  <c:v>1987</c:v>
                </c:pt>
                <c:pt idx="5">
                  <c:v>1991</c:v>
                </c:pt>
                <c:pt idx="6">
                  <c:v>1992</c:v>
                </c:pt>
                <c:pt idx="7">
                  <c:v>1994</c:v>
                </c:pt>
                <c:pt idx="8">
                  <c:v>1997</c:v>
                </c:pt>
                <c:pt idx="9">
                  <c:v>2000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2009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'TP-Station 1 '!$AF$3:$AF$20</c:f>
              <c:numCache>
                <c:formatCode>0</c:formatCode>
                <c:ptCount val="18"/>
                <c:pt idx="0">
                  <c:v>19</c:v>
                </c:pt>
                <c:pt idx="1">
                  <c:v>23</c:v>
                </c:pt>
                <c:pt idx="2">
                  <c:v>13</c:v>
                </c:pt>
                <c:pt idx="3">
                  <c:v>22</c:v>
                </c:pt>
                <c:pt idx="4">
                  <c:v>14</c:v>
                </c:pt>
                <c:pt idx="5">
                  <c:v>16.5</c:v>
                </c:pt>
                <c:pt idx="6">
                  <c:v>15</c:v>
                </c:pt>
                <c:pt idx="7">
                  <c:v>10</c:v>
                </c:pt>
                <c:pt idx="8">
                  <c:v>15</c:v>
                </c:pt>
                <c:pt idx="9">
                  <c:v>22.5</c:v>
                </c:pt>
                <c:pt idx="10">
                  <c:v>11.5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20</c:v>
                </c:pt>
                <c:pt idx="15">
                  <c:v>15</c:v>
                </c:pt>
                <c:pt idx="16">
                  <c:v>18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C-4F26-A256-BA853C905A12}"/>
            </c:ext>
          </c:extLst>
        </c:ser>
        <c:ser>
          <c:idx val="1"/>
          <c:order val="1"/>
          <c:tx>
            <c:v>Station 2</c:v>
          </c:tx>
          <c:spPr>
            <a:solidFill>
              <a:schemeClr val="accent5"/>
            </a:solidFill>
            <a:ln w="38100">
              <a:solidFill>
                <a:schemeClr val="accent5"/>
              </a:solidFill>
            </a:ln>
            <a:effectLst/>
          </c:spPr>
          <c:invertIfNegative val="0"/>
          <c:dLbls>
            <c:dLbl>
              <c:idx val="4"/>
              <c:layout>
                <c:manualLayout>
                  <c:x val="0"/>
                  <c:y val="-3.81315475002985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598-4F2F-BF64-CA27E9E275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'TP-Station 1 '!$AE$3:$AE$20</c:f>
              <c:numCache>
                <c:formatCode>General</c:formatCode>
                <c:ptCount val="1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1986</c:v>
                </c:pt>
                <c:pt idx="4">
                  <c:v>1987</c:v>
                </c:pt>
                <c:pt idx="5">
                  <c:v>1991</c:v>
                </c:pt>
                <c:pt idx="6">
                  <c:v>1992</c:v>
                </c:pt>
                <c:pt idx="7">
                  <c:v>1994</c:v>
                </c:pt>
                <c:pt idx="8">
                  <c:v>1997</c:v>
                </c:pt>
                <c:pt idx="9">
                  <c:v>2000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2009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'TP-Station 1 '!$AG$3:$AG$20</c:f>
              <c:numCache>
                <c:formatCode>0</c:formatCode>
                <c:ptCount val="18"/>
                <c:pt idx="4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A-41F3-BEC3-C7E9677ED657}"/>
            </c:ext>
          </c:extLst>
        </c:ser>
        <c:ser>
          <c:idx val="2"/>
          <c:order val="2"/>
          <c:tx>
            <c:v>Station 3</c:v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Pt>
            <c:idx val="17"/>
            <c:invertIfNegative val="0"/>
            <c:bubble3D val="0"/>
            <c:spPr>
              <a:solidFill>
                <a:schemeClr val="accent5">
                  <a:shade val="65000"/>
                </a:schemeClr>
              </a:solidFill>
              <a:ln w="38100">
                <a:solidFill>
                  <a:schemeClr val="accent5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AA-41F3-BEC3-C7E9677ED65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AA-41F3-BEC3-C7E9677ED6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'TP-Station 1 '!$AE$3:$AE$20</c:f>
              <c:numCache>
                <c:formatCode>General</c:formatCode>
                <c:ptCount val="18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1986</c:v>
                </c:pt>
                <c:pt idx="4">
                  <c:v>1987</c:v>
                </c:pt>
                <c:pt idx="5">
                  <c:v>1991</c:v>
                </c:pt>
                <c:pt idx="6">
                  <c:v>1992</c:v>
                </c:pt>
                <c:pt idx="7">
                  <c:v>1994</c:v>
                </c:pt>
                <c:pt idx="8">
                  <c:v>1997</c:v>
                </c:pt>
                <c:pt idx="9">
                  <c:v>2000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2009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'TP-Station 1 '!$AH$3:$AH$20</c:f>
              <c:numCache>
                <c:formatCode>0</c:formatCode>
                <c:ptCount val="18"/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A-41F3-BEC3-C7E9677ED6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639538624"/>
        <c:axId val="639538952"/>
      </c:barChart>
      <c:dateAx>
        <c:axId val="63953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8952"/>
        <c:crosses val="autoZero"/>
        <c:auto val="0"/>
        <c:lblOffset val="100"/>
        <c:baseTimeUnit val="days"/>
        <c:majorUnit val="1"/>
        <c:majorTimeUnit val="days"/>
      </c:dateAx>
      <c:valAx>
        <c:axId val="639538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Total Phosphorus (ppb)</a:t>
                </a:r>
              </a:p>
            </c:rich>
          </c:tx>
          <c:layout>
            <c:manualLayout>
              <c:xMode val="edge"/>
              <c:yMode val="edge"/>
              <c:x val="1.7104500688247086E-2"/>
              <c:y val="0.25004820654955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LAKE AVERAGE</a:t>
            </a:r>
            <a:r>
              <a:rPr lang="en-US" baseline="0"/>
              <a:t> ANNUAL &amp; </a:t>
            </a:r>
            <a:br>
              <a:rPr lang="en-US" baseline="0"/>
            </a:br>
            <a:r>
              <a:rPr lang="en-US" baseline="0"/>
              <a:t>PEAK </a:t>
            </a:r>
            <a:r>
              <a:rPr lang="en-US"/>
              <a:t>CHL-A at STATION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95868093234712E-2"/>
          <c:y val="0.22793495673077244"/>
          <c:w val="0.87622936152561515"/>
          <c:h val="0.634308307971214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'CHL-A'!$P$2</c:f>
              <c:strCache>
                <c:ptCount val="1"/>
                <c:pt idx="0">
                  <c:v> Avg Chl-a (ppb)</c:v>
                </c:pt>
              </c:strCache>
            </c:strRef>
          </c:tx>
          <c:spPr>
            <a:solidFill>
              <a:srgbClr val="66FF66"/>
            </a:solidFill>
            <a:ln w="38100">
              <a:solidFill>
                <a:srgbClr val="66FF66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'CHL-A'!$O$3:$O$25</c:f>
              <c:numCache>
                <c:formatCode>General</c:formatCode>
                <c:ptCount val="23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1994</c:v>
                </c:pt>
                <c:pt idx="12">
                  <c:v>1997</c:v>
                </c:pt>
                <c:pt idx="13">
                  <c:v>2000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2009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'CHL-A'!$P$3:$P$25</c:f>
              <c:numCache>
                <c:formatCode>0</c:formatCode>
                <c:ptCount val="23"/>
                <c:pt idx="0">
                  <c:v>9.3000000000000007</c:v>
                </c:pt>
                <c:pt idx="1">
                  <c:v>11.9</c:v>
                </c:pt>
                <c:pt idx="2">
                  <c:v>12.720000000000002</c:v>
                </c:pt>
                <c:pt idx="3">
                  <c:v>12.700000000000001</c:v>
                </c:pt>
                <c:pt idx="4">
                  <c:v>17.833333333333332</c:v>
                </c:pt>
                <c:pt idx="5">
                  <c:v>10.383333333333335</c:v>
                </c:pt>
                <c:pt idx="6">
                  <c:v>8.15</c:v>
                </c:pt>
                <c:pt idx="7">
                  <c:v>3.4833333333333329</c:v>
                </c:pt>
                <c:pt idx="8">
                  <c:v>7.25</c:v>
                </c:pt>
                <c:pt idx="9">
                  <c:v>7.7</c:v>
                </c:pt>
                <c:pt idx="10">
                  <c:v>6.0250000000000004</c:v>
                </c:pt>
                <c:pt idx="11">
                  <c:v>5</c:v>
                </c:pt>
                <c:pt idx="12">
                  <c:v>9.4</c:v>
                </c:pt>
                <c:pt idx="13">
                  <c:v>15</c:v>
                </c:pt>
                <c:pt idx="14">
                  <c:v>4.5333333333333332</c:v>
                </c:pt>
                <c:pt idx="15">
                  <c:v>9.9</c:v>
                </c:pt>
                <c:pt idx="16">
                  <c:v>19</c:v>
                </c:pt>
                <c:pt idx="17">
                  <c:v>13</c:v>
                </c:pt>
                <c:pt idx="18">
                  <c:v>7.5</c:v>
                </c:pt>
                <c:pt idx="19">
                  <c:v>17</c:v>
                </c:pt>
                <c:pt idx="20">
                  <c:v>6</c:v>
                </c:pt>
                <c:pt idx="21">
                  <c:v>9.2727272727272734</c:v>
                </c:pt>
                <c:pt idx="22">
                  <c:v>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1-47C0-AAB3-079A7ACF0A53}"/>
            </c:ext>
          </c:extLst>
        </c:ser>
        <c:ser>
          <c:idx val="1"/>
          <c:order val="1"/>
          <c:tx>
            <c:strRef>
              <c:f>'CHL-A'!$Q$2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00B050"/>
            </a:solidFill>
            <a:ln w="41275"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'CHL-A'!$O$3:$O$25</c:f>
              <c:numCache>
                <c:formatCode>General</c:formatCode>
                <c:ptCount val="23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1994</c:v>
                </c:pt>
                <c:pt idx="12">
                  <c:v>1997</c:v>
                </c:pt>
                <c:pt idx="13">
                  <c:v>2000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2009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'CHL-A'!$Q$3:$Q$25</c:f>
              <c:numCache>
                <c:formatCode>0</c:formatCode>
                <c:ptCount val="23"/>
                <c:pt idx="0">
                  <c:v>9.3000000000000007</c:v>
                </c:pt>
                <c:pt idx="1">
                  <c:v>11.9</c:v>
                </c:pt>
                <c:pt idx="2">
                  <c:v>31.8</c:v>
                </c:pt>
                <c:pt idx="3">
                  <c:v>48.4</c:v>
                </c:pt>
                <c:pt idx="4">
                  <c:v>53.4</c:v>
                </c:pt>
                <c:pt idx="5">
                  <c:v>20.100000000000001</c:v>
                </c:pt>
                <c:pt idx="6">
                  <c:v>14.9</c:v>
                </c:pt>
                <c:pt idx="7">
                  <c:v>6.8</c:v>
                </c:pt>
                <c:pt idx="8">
                  <c:v>14</c:v>
                </c:pt>
                <c:pt idx="9">
                  <c:v>9.3000000000000007</c:v>
                </c:pt>
                <c:pt idx="10">
                  <c:v>7.6</c:v>
                </c:pt>
                <c:pt idx="11">
                  <c:v>7</c:v>
                </c:pt>
                <c:pt idx="12">
                  <c:v>9.4</c:v>
                </c:pt>
                <c:pt idx="13">
                  <c:v>20</c:v>
                </c:pt>
                <c:pt idx="14">
                  <c:v>5.5</c:v>
                </c:pt>
                <c:pt idx="15">
                  <c:v>11</c:v>
                </c:pt>
                <c:pt idx="16">
                  <c:v>19</c:v>
                </c:pt>
                <c:pt idx="17">
                  <c:v>13</c:v>
                </c:pt>
                <c:pt idx="18">
                  <c:v>7.5</c:v>
                </c:pt>
                <c:pt idx="19">
                  <c:v>17</c:v>
                </c:pt>
                <c:pt idx="20">
                  <c:v>6</c:v>
                </c:pt>
                <c:pt idx="21">
                  <c:v>21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1-47C0-AAB3-079A7ACF0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90"/>
        <c:axId val="427317344"/>
        <c:axId val="427318656"/>
      </c:barChart>
      <c:dateAx>
        <c:axId val="4273173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18656"/>
        <c:crosses val="autoZero"/>
        <c:auto val="0"/>
        <c:lblOffset val="100"/>
        <c:baseTimeUnit val="days"/>
        <c:majorUnit val="1"/>
        <c:majorTimeUnit val="days"/>
      </c:dateAx>
      <c:valAx>
        <c:axId val="42731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cap="none" baseline="0"/>
                  <a:t>Chl-A (PPB)</a:t>
                </a:r>
              </a:p>
            </c:rich>
          </c:tx>
          <c:layout>
            <c:manualLayout>
              <c:xMode val="edge"/>
              <c:yMode val="edge"/>
              <c:x val="1.8018014822654676E-2"/>
              <c:y val="0.4536191309419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Cross Lake (MIDAS 1674) Water Clarity (SDT) Annual Average, Minimum, &amp; Maximum 1981-2019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'SDT-Stations2&amp;3'!$Z$1:$Z$2</c:f>
              <c:strCache>
                <c:ptCount val="2"/>
                <c:pt idx="0">
                  <c:v>SDT - STATION #1</c:v>
                </c:pt>
                <c:pt idx="1">
                  <c:v>annual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'SDT-Stations2&amp;3'!$Z$3:$Z$41</c:f>
            </c:numRef>
          </c:val>
          <c:smooth val="0"/>
          <c:extLst>
            <c:ext xmlns:c16="http://schemas.microsoft.com/office/drawing/2014/chart" uri="{C3380CC4-5D6E-409C-BE32-E72D297353CC}">
              <c16:uniqueId val="{00000000-A4E4-40DD-B44A-10628C309F76}"/>
            </c:ext>
          </c:extLst>
        </c:ser>
        <c:ser>
          <c:idx val="1"/>
          <c:order val="1"/>
          <c:tx>
            <c:strRef>
              <c:f>'SDT-Stations2&amp;3'!$AA$1:$AA$2</c:f>
              <c:strCache>
                <c:ptCount val="2"/>
                <c:pt idx="0">
                  <c:v>SDT - STATION #1</c:v>
                </c:pt>
                <c:pt idx="1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'SDT-Stations2&amp;3'!$AA$3:$AA$41</c:f>
            </c:numRef>
          </c:val>
          <c:smooth val="0"/>
          <c:extLst>
            <c:ext xmlns:c16="http://schemas.microsoft.com/office/drawing/2014/chart" uri="{C3380CC4-5D6E-409C-BE32-E72D297353CC}">
              <c16:uniqueId val="{00000001-A4E4-40DD-B44A-10628C309F76}"/>
            </c:ext>
          </c:extLst>
        </c:ser>
        <c:ser>
          <c:idx val="2"/>
          <c:order val="2"/>
          <c:tx>
            <c:strRef>
              <c:f>'SDT-Stations2&amp;3'!$AB$1:$AB$2</c:f>
              <c:strCache>
                <c:ptCount val="2"/>
                <c:pt idx="0">
                  <c:v>SDT - STATION #1</c:v>
                </c:pt>
                <c:pt idx="1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'SDT-Stations2&amp;3'!$AB$3:$AB$41</c:f>
            </c:numRef>
          </c:val>
          <c:smooth val="0"/>
          <c:extLst>
            <c:ext xmlns:c16="http://schemas.microsoft.com/office/drawing/2014/chart" uri="{C3380CC4-5D6E-409C-BE32-E72D297353CC}">
              <c16:uniqueId val="{00000002-A4E4-40DD-B44A-10628C309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'SDT-Stations2&amp;3'!$AC$1:$AC$2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'SDT-Stations2&amp;3'!$AC$3:$AC$41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2.6166666666666663</c:v>
                      </c:pt>
                      <c:pt idx="11">
                        <c:v>2.5</c:v>
                      </c:pt>
                      <c:pt idx="25">
                        <c:v>2.2999999999999998</c:v>
                      </c:pt>
                      <c:pt idx="37">
                        <c:v>3.6083333333333338</c:v>
                      </c:pt>
                      <c:pt idx="38">
                        <c:v>3.22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4E4-40DD-B44A-10628C309F7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'SDT-Stations2&amp;3'!$AD$1:$AD$2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'SDT-Stations2&amp;3'!$AD$3:$AD$41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1.5</c:v>
                      </c:pt>
                      <c:pt idx="11">
                        <c:v>2.5</c:v>
                      </c:pt>
                      <c:pt idx="25">
                        <c:v>2.29</c:v>
                      </c:pt>
                      <c:pt idx="37">
                        <c:v>2.73</c:v>
                      </c:pt>
                      <c:pt idx="38">
                        <c:v>2.56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4E4-40DD-B44A-10628C309F7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'SDT-Stations2&amp;3'!$AE$1:$AE$2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'SDT-Stations2&amp;3'!$AE$3:$AE$41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4</c:v>
                      </c:pt>
                      <c:pt idx="11">
                        <c:v>2.5</c:v>
                      </c:pt>
                      <c:pt idx="25">
                        <c:v>2.31</c:v>
                      </c:pt>
                      <c:pt idx="37">
                        <c:v>4.74</c:v>
                      </c:pt>
                      <c:pt idx="38">
                        <c:v>3.65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E4-40DD-B44A-10628C309F76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Cross Lake (MIDAS 1674) Water Clarity (SDT) 1981-2019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7171296296296296"/>
          <c:w val="0.9155301837270341"/>
          <c:h val="0.600517279090113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'SDT-Station1 '!$G$1</c:f>
              <c:strCache>
                <c:ptCount val="1"/>
                <c:pt idx="0">
                  <c:v>PROJECT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'!$G$2:$G$309</c:f>
              <c:numCache>
                <c:formatCode>General</c:formatCode>
                <c:ptCount val="30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2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2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3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4-40B4-A9AC-362A09742C27}"/>
            </c:ext>
          </c:extLst>
        </c:ser>
        <c:ser>
          <c:idx val="1"/>
          <c:order val="1"/>
          <c:tx>
            <c:strRef>
              <c:f>'SDT-Station1 '!$H$1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'!$H$2:$H$309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74-40B4-A9AC-362A09742C27}"/>
            </c:ext>
          </c:extLst>
        </c:ser>
        <c:ser>
          <c:idx val="2"/>
          <c:order val="2"/>
          <c:tx>
            <c:strRef>
              <c:f>'SDT-Station1 '!$I$1</c:f>
              <c:strCache>
                <c:ptCount val="1"/>
                <c:pt idx="0">
                  <c:v>SURVEYOR1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'!$I$2:$I$309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30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74-40B4-A9AC-362A09742C27}"/>
            </c:ext>
          </c:extLst>
        </c:ser>
        <c:ser>
          <c:idx val="3"/>
          <c:order val="3"/>
          <c:tx>
            <c:strRef>
              <c:f>'SDT-Station1 '!$J$1</c:f>
              <c:strCache>
                <c:ptCount val="1"/>
                <c:pt idx="0">
                  <c:v>SURVEYOR2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'!$J$2:$J$309</c:f>
              <c:numCache>
                <c:formatCode>General</c:formatCode>
                <c:ptCount val="308"/>
                <c:pt idx="4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1">
                  <c:v>0</c:v>
                </c:pt>
                <c:pt idx="52">
                  <c:v>0</c:v>
                </c:pt>
                <c:pt idx="55">
                  <c:v>0</c:v>
                </c:pt>
                <c:pt idx="59">
                  <c:v>0</c:v>
                </c:pt>
                <c:pt idx="60">
                  <c:v>0</c:v>
                </c:pt>
                <c:pt idx="64">
                  <c:v>0</c:v>
                </c:pt>
                <c:pt idx="66">
                  <c:v>0</c:v>
                </c:pt>
                <c:pt idx="78">
                  <c:v>0</c:v>
                </c:pt>
                <c:pt idx="85">
                  <c:v>0</c:v>
                </c:pt>
                <c:pt idx="92">
                  <c:v>0</c:v>
                </c:pt>
                <c:pt idx="94">
                  <c:v>0</c:v>
                </c:pt>
                <c:pt idx="98">
                  <c:v>0</c:v>
                </c:pt>
                <c:pt idx="109">
                  <c:v>0</c:v>
                </c:pt>
                <c:pt idx="115">
                  <c:v>0</c:v>
                </c:pt>
                <c:pt idx="117">
                  <c:v>0</c:v>
                </c:pt>
                <c:pt idx="121">
                  <c:v>0</c:v>
                </c:pt>
                <c:pt idx="12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215">
                  <c:v>0</c:v>
                </c:pt>
                <c:pt idx="233">
                  <c:v>0</c:v>
                </c:pt>
                <c:pt idx="235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74-40B4-A9AC-362A09742C27}"/>
            </c:ext>
          </c:extLst>
        </c:ser>
        <c:ser>
          <c:idx val="4"/>
          <c:order val="4"/>
          <c:tx>
            <c:strRef>
              <c:f>'SDT-Station1 '!$K$1</c:f>
              <c:strCache>
                <c:ptCount val="1"/>
                <c:pt idx="0">
                  <c:v>SURVEYOR3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'!$K$2:$K$309</c:f>
              <c:numCache>
                <c:formatCode>General</c:formatCode>
                <c:ptCount val="30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74-40B4-A9AC-362A09742C27}"/>
            </c:ext>
          </c:extLst>
        </c:ser>
        <c:ser>
          <c:idx val="5"/>
          <c:order val="5"/>
          <c:tx>
            <c:strRef>
              <c:f>'SDT-Station1 '!$L$1</c:f>
              <c:strCache>
                <c:ptCount val="1"/>
                <c:pt idx="0">
                  <c:v>SURVEYOR4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'!$L$2:$L$309</c:f>
              <c:numCache>
                <c:formatCode>General</c:formatCode>
                <c:ptCount val="30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74-40B4-A9AC-362A09742C27}"/>
            </c:ext>
          </c:extLst>
        </c:ser>
        <c:ser>
          <c:idx val="6"/>
          <c:order val="6"/>
          <c:tx>
            <c:strRef>
              <c:f>'SDT-Station1 '!$M$1</c:f>
              <c:strCache>
                <c:ptCount val="1"/>
                <c:pt idx="0">
                  <c:v>WINDVEL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'!$M$2:$M$309</c:f>
              <c:numCache>
                <c:formatCode>General</c:formatCode>
                <c:ptCount val="308"/>
                <c:pt idx="0">
                  <c:v>5</c:v>
                </c:pt>
                <c:pt idx="1">
                  <c:v>10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10</c:v>
                </c:pt>
                <c:pt idx="6">
                  <c:v>8</c:v>
                </c:pt>
                <c:pt idx="7">
                  <c:v>15</c:v>
                </c:pt>
                <c:pt idx="8">
                  <c:v>15</c:v>
                </c:pt>
                <c:pt idx="9">
                  <c:v>8</c:v>
                </c:pt>
                <c:pt idx="10">
                  <c:v>5</c:v>
                </c:pt>
                <c:pt idx="11">
                  <c:v>10</c:v>
                </c:pt>
                <c:pt idx="12">
                  <c:v>20</c:v>
                </c:pt>
                <c:pt idx="13">
                  <c:v>10</c:v>
                </c:pt>
                <c:pt idx="14">
                  <c:v>5</c:v>
                </c:pt>
                <c:pt idx="16">
                  <c:v>4</c:v>
                </c:pt>
                <c:pt idx="17">
                  <c:v>10</c:v>
                </c:pt>
                <c:pt idx="18">
                  <c:v>15</c:v>
                </c:pt>
                <c:pt idx="19">
                  <c:v>6</c:v>
                </c:pt>
                <c:pt idx="20">
                  <c:v>5</c:v>
                </c:pt>
                <c:pt idx="21">
                  <c:v>2</c:v>
                </c:pt>
                <c:pt idx="22">
                  <c:v>15</c:v>
                </c:pt>
                <c:pt idx="23">
                  <c:v>13</c:v>
                </c:pt>
                <c:pt idx="24">
                  <c:v>2</c:v>
                </c:pt>
                <c:pt idx="25">
                  <c:v>6</c:v>
                </c:pt>
                <c:pt idx="26">
                  <c:v>12</c:v>
                </c:pt>
                <c:pt idx="27">
                  <c:v>11</c:v>
                </c:pt>
                <c:pt idx="28">
                  <c:v>5</c:v>
                </c:pt>
                <c:pt idx="29">
                  <c:v>15</c:v>
                </c:pt>
                <c:pt idx="30">
                  <c:v>6</c:v>
                </c:pt>
                <c:pt idx="31">
                  <c:v>8</c:v>
                </c:pt>
                <c:pt idx="32">
                  <c:v>5</c:v>
                </c:pt>
                <c:pt idx="33">
                  <c:v>8</c:v>
                </c:pt>
                <c:pt idx="34">
                  <c:v>10</c:v>
                </c:pt>
                <c:pt idx="35">
                  <c:v>2</c:v>
                </c:pt>
                <c:pt idx="36">
                  <c:v>18</c:v>
                </c:pt>
                <c:pt idx="37">
                  <c:v>15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3</c:v>
                </c:pt>
                <c:pt idx="42">
                  <c:v>5</c:v>
                </c:pt>
                <c:pt idx="43">
                  <c:v>13</c:v>
                </c:pt>
                <c:pt idx="44">
                  <c:v>7</c:v>
                </c:pt>
                <c:pt idx="45">
                  <c:v>7</c:v>
                </c:pt>
                <c:pt idx="46">
                  <c:v>0</c:v>
                </c:pt>
                <c:pt idx="47">
                  <c:v>12</c:v>
                </c:pt>
                <c:pt idx="48">
                  <c:v>0</c:v>
                </c:pt>
                <c:pt idx="49">
                  <c:v>8</c:v>
                </c:pt>
                <c:pt idx="50">
                  <c:v>12</c:v>
                </c:pt>
                <c:pt idx="51">
                  <c:v>10</c:v>
                </c:pt>
                <c:pt idx="54">
                  <c:v>7</c:v>
                </c:pt>
                <c:pt idx="55">
                  <c:v>3</c:v>
                </c:pt>
                <c:pt idx="56">
                  <c:v>7</c:v>
                </c:pt>
                <c:pt idx="58">
                  <c:v>2</c:v>
                </c:pt>
                <c:pt idx="59">
                  <c:v>10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20</c:v>
                </c:pt>
                <c:pt idx="65">
                  <c:v>7</c:v>
                </c:pt>
                <c:pt idx="66">
                  <c:v>5</c:v>
                </c:pt>
                <c:pt idx="67">
                  <c:v>5</c:v>
                </c:pt>
                <c:pt idx="70">
                  <c:v>7</c:v>
                </c:pt>
                <c:pt idx="71">
                  <c:v>7</c:v>
                </c:pt>
                <c:pt idx="72">
                  <c:v>10</c:v>
                </c:pt>
                <c:pt idx="73">
                  <c:v>8</c:v>
                </c:pt>
                <c:pt idx="74">
                  <c:v>7</c:v>
                </c:pt>
                <c:pt idx="75">
                  <c:v>10</c:v>
                </c:pt>
                <c:pt idx="76">
                  <c:v>7</c:v>
                </c:pt>
                <c:pt idx="77">
                  <c:v>7</c:v>
                </c:pt>
                <c:pt idx="78">
                  <c:v>0</c:v>
                </c:pt>
                <c:pt idx="79">
                  <c:v>7</c:v>
                </c:pt>
                <c:pt idx="80">
                  <c:v>7</c:v>
                </c:pt>
                <c:pt idx="81">
                  <c:v>0</c:v>
                </c:pt>
                <c:pt idx="82">
                  <c:v>0</c:v>
                </c:pt>
                <c:pt idx="83">
                  <c:v>9</c:v>
                </c:pt>
                <c:pt idx="84">
                  <c:v>7</c:v>
                </c:pt>
                <c:pt idx="85">
                  <c:v>20</c:v>
                </c:pt>
                <c:pt idx="86">
                  <c:v>0</c:v>
                </c:pt>
                <c:pt idx="87">
                  <c:v>4</c:v>
                </c:pt>
                <c:pt idx="88">
                  <c:v>5</c:v>
                </c:pt>
                <c:pt idx="89">
                  <c:v>7</c:v>
                </c:pt>
                <c:pt idx="90">
                  <c:v>0</c:v>
                </c:pt>
                <c:pt idx="91">
                  <c:v>11</c:v>
                </c:pt>
                <c:pt idx="92">
                  <c:v>10</c:v>
                </c:pt>
                <c:pt idx="93">
                  <c:v>8</c:v>
                </c:pt>
                <c:pt idx="95">
                  <c:v>7</c:v>
                </c:pt>
                <c:pt idx="96">
                  <c:v>8</c:v>
                </c:pt>
                <c:pt idx="97">
                  <c:v>10</c:v>
                </c:pt>
                <c:pt idx="98">
                  <c:v>5</c:v>
                </c:pt>
                <c:pt idx="99">
                  <c:v>10</c:v>
                </c:pt>
                <c:pt idx="100">
                  <c:v>7</c:v>
                </c:pt>
                <c:pt idx="102">
                  <c:v>1</c:v>
                </c:pt>
                <c:pt idx="103">
                  <c:v>7</c:v>
                </c:pt>
                <c:pt idx="104">
                  <c:v>7</c:v>
                </c:pt>
                <c:pt idx="105">
                  <c:v>10</c:v>
                </c:pt>
                <c:pt idx="106">
                  <c:v>10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7</c:v>
                </c:pt>
                <c:pt idx="111">
                  <c:v>7</c:v>
                </c:pt>
                <c:pt idx="112">
                  <c:v>10</c:v>
                </c:pt>
                <c:pt idx="113">
                  <c:v>9</c:v>
                </c:pt>
                <c:pt idx="114">
                  <c:v>4</c:v>
                </c:pt>
                <c:pt idx="115">
                  <c:v>7</c:v>
                </c:pt>
                <c:pt idx="116">
                  <c:v>6</c:v>
                </c:pt>
                <c:pt idx="117">
                  <c:v>3</c:v>
                </c:pt>
                <c:pt idx="118">
                  <c:v>5</c:v>
                </c:pt>
                <c:pt idx="119">
                  <c:v>15</c:v>
                </c:pt>
                <c:pt idx="120">
                  <c:v>7</c:v>
                </c:pt>
                <c:pt idx="121">
                  <c:v>10</c:v>
                </c:pt>
                <c:pt idx="122">
                  <c:v>9</c:v>
                </c:pt>
                <c:pt idx="123">
                  <c:v>6</c:v>
                </c:pt>
                <c:pt idx="124">
                  <c:v>6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6</c:v>
                </c:pt>
                <c:pt idx="130">
                  <c:v>7</c:v>
                </c:pt>
                <c:pt idx="131">
                  <c:v>12</c:v>
                </c:pt>
                <c:pt idx="132">
                  <c:v>12</c:v>
                </c:pt>
                <c:pt idx="133">
                  <c:v>7</c:v>
                </c:pt>
                <c:pt idx="134">
                  <c:v>5</c:v>
                </c:pt>
                <c:pt idx="135">
                  <c:v>1</c:v>
                </c:pt>
                <c:pt idx="136">
                  <c:v>3</c:v>
                </c:pt>
                <c:pt idx="137">
                  <c:v>5</c:v>
                </c:pt>
                <c:pt idx="138">
                  <c:v>7</c:v>
                </c:pt>
                <c:pt idx="139">
                  <c:v>6</c:v>
                </c:pt>
                <c:pt idx="140">
                  <c:v>12</c:v>
                </c:pt>
                <c:pt idx="141">
                  <c:v>8</c:v>
                </c:pt>
                <c:pt idx="142">
                  <c:v>5</c:v>
                </c:pt>
                <c:pt idx="143">
                  <c:v>15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5</c:v>
                </c:pt>
                <c:pt idx="152">
                  <c:v>3</c:v>
                </c:pt>
                <c:pt idx="153">
                  <c:v>3</c:v>
                </c:pt>
                <c:pt idx="154">
                  <c:v>5</c:v>
                </c:pt>
                <c:pt idx="155">
                  <c:v>7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5</c:v>
                </c:pt>
                <c:pt idx="160">
                  <c:v>2</c:v>
                </c:pt>
                <c:pt idx="161">
                  <c:v>5</c:v>
                </c:pt>
                <c:pt idx="162">
                  <c:v>2</c:v>
                </c:pt>
                <c:pt idx="163">
                  <c:v>7</c:v>
                </c:pt>
                <c:pt idx="164">
                  <c:v>5</c:v>
                </c:pt>
                <c:pt idx="165">
                  <c:v>15</c:v>
                </c:pt>
                <c:pt idx="166">
                  <c:v>2</c:v>
                </c:pt>
                <c:pt idx="167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12</c:v>
                </c:pt>
                <c:pt idx="171">
                  <c:v>3</c:v>
                </c:pt>
                <c:pt idx="172">
                  <c:v>10</c:v>
                </c:pt>
                <c:pt idx="173">
                  <c:v>5</c:v>
                </c:pt>
                <c:pt idx="174">
                  <c:v>3</c:v>
                </c:pt>
                <c:pt idx="175">
                  <c:v>15</c:v>
                </c:pt>
                <c:pt idx="176">
                  <c:v>5</c:v>
                </c:pt>
                <c:pt idx="177">
                  <c:v>5</c:v>
                </c:pt>
                <c:pt idx="178">
                  <c:v>9</c:v>
                </c:pt>
                <c:pt idx="179">
                  <c:v>5</c:v>
                </c:pt>
                <c:pt idx="180">
                  <c:v>5</c:v>
                </c:pt>
                <c:pt idx="181">
                  <c:v>3</c:v>
                </c:pt>
                <c:pt idx="182">
                  <c:v>10</c:v>
                </c:pt>
                <c:pt idx="183">
                  <c:v>7</c:v>
                </c:pt>
                <c:pt idx="184">
                  <c:v>8</c:v>
                </c:pt>
                <c:pt idx="185">
                  <c:v>5</c:v>
                </c:pt>
                <c:pt idx="186">
                  <c:v>0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5</c:v>
                </c:pt>
                <c:pt idx="191">
                  <c:v>0</c:v>
                </c:pt>
                <c:pt idx="192">
                  <c:v>5</c:v>
                </c:pt>
                <c:pt idx="193">
                  <c:v>7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7</c:v>
                </c:pt>
                <c:pt idx="198">
                  <c:v>4</c:v>
                </c:pt>
                <c:pt idx="199">
                  <c:v>7</c:v>
                </c:pt>
                <c:pt idx="200">
                  <c:v>3</c:v>
                </c:pt>
                <c:pt idx="201">
                  <c:v>4</c:v>
                </c:pt>
                <c:pt idx="202">
                  <c:v>7</c:v>
                </c:pt>
                <c:pt idx="203">
                  <c:v>7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3</c:v>
                </c:pt>
                <c:pt idx="208">
                  <c:v>10</c:v>
                </c:pt>
                <c:pt idx="209">
                  <c:v>5</c:v>
                </c:pt>
                <c:pt idx="210">
                  <c:v>2</c:v>
                </c:pt>
                <c:pt idx="211">
                  <c:v>5</c:v>
                </c:pt>
                <c:pt idx="212">
                  <c:v>8</c:v>
                </c:pt>
                <c:pt idx="213">
                  <c:v>3</c:v>
                </c:pt>
                <c:pt idx="214">
                  <c:v>3</c:v>
                </c:pt>
                <c:pt idx="215">
                  <c:v>0</c:v>
                </c:pt>
                <c:pt idx="216">
                  <c:v>8</c:v>
                </c:pt>
                <c:pt idx="217">
                  <c:v>5</c:v>
                </c:pt>
                <c:pt idx="218">
                  <c:v>6</c:v>
                </c:pt>
                <c:pt idx="219">
                  <c:v>12</c:v>
                </c:pt>
                <c:pt idx="220">
                  <c:v>3</c:v>
                </c:pt>
                <c:pt idx="221">
                  <c:v>5</c:v>
                </c:pt>
                <c:pt idx="222">
                  <c:v>5</c:v>
                </c:pt>
                <c:pt idx="223">
                  <c:v>15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7</c:v>
                </c:pt>
                <c:pt idx="230">
                  <c:v>7</c:v>
                </c:pt>
                <c:pt idx="231">
                  <c:v>3</c:v>
                </c:pt>
                <c:pt idx="232">
                  <c:v>7</c:v>
                </c:pt>
                <c:pt idx="233">
                  <c:v>10</c:v>
                </c:pt>
                <c:pt idx="234">
                  <c:v>3</c:v>
                </c:pt>
                <c:pt idx="235">
                  <c:v>10</c:v>
                </c:pt>
                <c:pt idx="236">
                  <c:v>9</c:v>
                </c:pt>
                <c:pt idx="237">
                  <c:v>5</c:v>
                </c:pt>
                <c:pt idx="238">
                  <c:v>25</c:v>
                </c:pt>
                <c:pt idx="239">
                  <c:v>11</c:v>
                </c:pt>
                <c:pt idx="240">
                  <c:v>5</c:v>
                </c:pt>
                <c:pt idx="241">
                  <c:v>7</c:v>
                </c:pt>
                <c:pt idx="242">
                  <c:v>4</c:v>
                </c:pt>
                <c:pt idx="243">
                  <c:v>3</c:v>
                </c:pt>
                <c:pt idx="244">
                  <c:v>5</c:v>
                </c:pt>
                <c:pt idx="245">
                  <c:v>3</c:v>
                </c:pt>
                <c:pt idx="246">
                  <c:v>3</c:v>
                </c:pt>
                <c:pt idx="247">
                  <c:v>10</c:v>
                </c:pt>
                <c:pt idx="249">
                  <c:v>7</c:v>
                </c:pt>
                <c:pt idx="250">
                  <c:v>4</c:v>
                </c:pt>
                <c:pt idx="251">
                  <c:v>7</c:v>
                </c:pt>
                <c:pt idx="252">
                  <c:v>3</c:v>
                </c:pt>
                <c:pt idx="253">
                  <c:v>7</c:v>
                </c:pt>
                <c:pt idx="254">
                  <c:v>5</c:v>
                </c:pt>
                <c:pt idx="255">
                  <c:v>5</c:v>
                </c:pt>
                <c:pt idx="256">
                  <c:v>2</c:v>
                </c:pt>
                <c:pt idx="257">
                  <c:v>5</c:v>
                </c:pt>
                <c:pt idx="258">
                  <c:v>7</c:v>
                </c:pt>
                <c:pt idx="259">
                  <c:v>3</c:v>
                </c:pt>
                <c:pt idx="260">
                  <c:v>5</c:v>
                </c:pt>
                <c:pt idx="261">
                  <c:v>7</c:v>
                </c:pt>
                <c:pt idx="262">
                  <c:v>3</c:v>
                </c:pt>
                <c:pt idx="263">
                  <c:v>5</c:v>
                </c:pt>
                <c:pt idx="264">
                  <c:v>5</c:v>
                </c:pt>
                <c:pt idx="265">
                  <c:v>0</c:v>
                </c:pt>
                <c:pt idx="266">
                  <c:v>5</c:v>
                </c:pt>
                <c:pt idx="267">
                  <c:v>3</c:v>
                </c:pt>
                <c:pt idx="268">
                  <c:v>5</c:v>
                </c:pt>
                <c:pt idx="269">
                  <c:v>8</c:v>
                </c:pt>
                <c:pt idx="270">
                  <c:v>0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4</c:v>
                </c:pt>
                <c:pt idx="275">
                  <c:v>0</c:v>
                </c:pt>
                <c:pt idx="276">
                  <c:v>7</c:v>
                </c:pt>
                <c:pt idx="277">
                  <c:v>3</c:v>
                </c:pt>
                <c:pt idx="278">
                  <c:v>8</c:v>
                </c:pt>
                <c:pt idx="279">
                  <c:v>8</c:v>
                </c:pt>
                <c:pt idx="280">
                  <c:v>2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2</c:v>
                </c:pt>
                <c:pt idx="285">
                  <c:v>0</c:v>
                </c:pt>
                <c:pt idx="286">
                  <c:v>8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74-40B4-A9AC-362A09742C27}"/>
            </c:ext>
          </c:extLst>
        </c:ser>
        <c:ser>
          <c:idx val="7"/>
          <c:order val="7"/>
          <c:tx>
            <c:strRef>
              <c:f>'SDT-Station1 '!$N$1</c:f>
              <c:strCache>
                <c:ptCount val="1"/>
                <c:pt idx="0">
                  <c:v>WINDDIR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'!$N$2:$N$309</c:f>
              <c:numCache>
                <c:formatCode>General</c:formatCode>
                <c:ptCount val="30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8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4</c:v>
                </c:pt>
                <c:pt idx="20">
                  <c:v>8</c:v>
                </c:pt>
                <c:pt idx="21">
                  <c:v>4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6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2</c:v>
                </c:pt>
                <c:pt idx="32">
                  <c:v>5</c:v>
                </c:pt>
                <c:pt idx="33">
                  <c:v>6</c:v>
                </c:pt>
                <c:pt idx="34">
                  <c:v>1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8</c:v>
                </c:pt>
                <c:pt idx="40">
                  <c:v>4</c:v>
                </c:pt>
                <c:pt idx="41">
                  <c:v>8</c:v>
                </c:pt>
                <c:pt idx="42">
                  <c:v>1</c:v>
                </c:pt>
                <c:pt idx="43">
                  <c:v>8</c:v>
                </c:pt>
                <c:pt idx="44">
                  <c:v>5</c:v>
                </c:pt>
                <c:pt idx="45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5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8">
                  <c:v>6</c:v>
                </c:pt>
                <c:pt idx="59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6</c:v>
                </c:pt>
                <c:pt idx="75">
                  <c:v>4</c:v>
                </c:pt>
                <c:pt idx="76">
                  <c:v>7</c:v>
                </c:pt>
                <c:pt idx="77">
                  <c:v>8</c:v>
                </c:pt>
                <c:pt idx="78">
                  <c:v>0</c:v>
                </c:pt>
                <c:pt idx="79">
                  <c:v>5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8</c:v>
                </c:pt>
                <c:pt idx="84">
                  <c:v>7</c:v>
                </c:pt>
                <c:pt idx="85">
                  <c:v>8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8</c:v>
                </c:pt>
                <c:pt idx="93">
                  <c:v>8</c:v>
                </c:pt>
                <c:pt idx="95">
                  <c:v>6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6</c:v>
                </c:pt>
                <c:pt idx="102">
                  <c:v>6</c:v>
                </c:pt>
                <c:pt idx="103">
                  <c:v>8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5</c:v>
                </c:pt>
                <c:pt idx="108">
                  <c:v>8</c:v>
                </c:pt>
                <c:pt idx="109">
                  <c:v>6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5</c:v>
                </c:pt>
                <c:pt idx="114">
                  <c:v>4</c:v>
                </c:pt>
                <c:pt idx="115">
                  <c:v>6</c:v>
                </c:pt>
                <c:pt idx="116">
                  <c:v>7</c:v>
                </c:pt>
                <c:pt idx="117">
                  <c:v>4</c:v>
                </c:pt>
                <c:pt idx="118">
                  <c:v>6</c:v>
                </c:pt>
                <c:pt idx="119">
                  <c:v>2</c:v>
                </c:pt>
                <c:pt idx="120">
                  <c:v>7</c:v>
                </c:pt>
                <c:pt idx="121">
                  <c:v>7</c:v>
                </c:pt>
                <c:pt idx="122">
                  <c:v>5</c:v>
                </c:pt>
                <c:pt idx="123">
                  <c:v>5</c:v>
                </c:pt>
                <c:pt idx="124">
                  <c:v>7</c:v>
                </c:pt>
                <c:pt idx="125">
                  <c:v>6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7</c:v>
                </c:pt>
                <c:pt idx="131">
                  <c:v>4</c:v>
                </c:pt>
                <c:pt idx="132">
                  <c:v>8</c:v>
                </c:pt>
                <c:pt idx="133">
                  <c:v>6</c:v>
                </c:pt>
                <c:pt idx="134">
                  <c:v>6</c:v>
                </c:pt>
                <c:pt idx="135">
                  <c:v>1</c:v>
                </c:pt>
                <c:pt idx="136">
                  <c:v>4</c:v>
                </c:pt>
                <c:pt idx="137">
                  <c:v>6</c:v>
                </c:pt>
                <c:pt idx="138">
                  <c:v>1</c:v>
                </c:pt>
                <c:pt idx="139">
                  <c:v>1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5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5</c:v>
                </c:pt>
                <c:pt idx="154">
                  <c:v>4</c:v>
                </c:pt>
                <c:pt idx="155">
                  <c:v>2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5</c:v>
                </c:pt>
                <c:pt idx="161">
                  <c:v>8</c:v>
                </c:pt>
                <c:pt idx="162">
                  <c:v>8</c:v>
                </c:pt>
                <c:pt idx="163">
                  <c:v>7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4</c:v>
                </c:pt>
                <c:pt idx="168">
                  <c:v>8</c:v>
                </c:pt>
                <c:pt idx="169">
                  <c:v>8</c:v>
                </c:pt>
                <c:pt idx="170">
                  <c:v>7</c:v>
                </c:pt>
                <c:pt idx="171">
                  <c:v>6</c:v>
                </c:pt>
                <c:pt idx="172">
                  <c:v>8</c:v>
                </c:pt>
                <c:pt idx="173">
                  <c:v>5</c:v>
                </c:pt>
                <c:pt idx="174">
                  <c:v>6</c:v>
                </c:pt>
                <c:pt idx="175">
                  <c:v>5</c:v>
                </c:pt>
                <c:pt idx="176">
                  <c:v>5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7</c:v>
                </c:pt>
                <c:pt idx="183">
                  <c:v>8</c:v>
                </c:pt>
                <c:pt idx="184">
                  <c:v>7</c:v>
                </c:pt>
                <c:pt idx="185">
                  <c:v>7</c:v>
                </c:pt>
                <c:pt idx="186">
                  <c:v>0</c:v>
                </c:pt>
                <c:pt idx="187">
                  <c:v>1</c:v>
                </c:pt>
                <c:pt idx="188">
                  <c:v>5</c:v>
                </c:pt>
                <c:pt idx="189">
                  <c:v>8</c:v>
                </c:pt>
                <c:pt idx="190">
                  <c:v>8</c:v>
                </c:pt>
                <c:pt idx="191">
                  <c:v>0</c:v>
                </c:pt>
                <c:pt idx="192">
                  <c:v>8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8</c:v>
                </c:pt>
                <c:pt idx="198">
                  <c:v>6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5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8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0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8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8</c:v>
                </c:pt>
                <c:pt idx="230">
                  <c:v>8</c:v>
                </c:pt>
                <c:pt idx="231">
                  <c:v>5</c:v>
                </c:pt>
                <c:pt idx="232">
                  <c:v>5</c:v>
                </c:pt>
                <c:pt idx="233">
                  <c:v>6</c:v>
                </c:pt>
                <c:pt idx="234">
                  <c:v>5</c:v>
                </c:pt>
                <c:pt idx="235">
                  <c:v>8</c:v>
                </c:pt>
                <c:pt idx="236">
                  <c:v>7</c:v>
                </c:pt>
                <c:pt idx="237">
                  <c:v>3</c:v>
                </c:pt>
                <c:pt idx="238">
                  <c:v>8</c:v>
                </c:pt>
                <c:pt idx="239">
                  <c:v>5</c:v>
                </c:pt>
                <c:pt idx="240">
                  <c:v>7</c:v>
                </c:pt>
                <c:pt idx="241">
                  <c:v>6</c:v>
                </c:pt>
                <c:pt idx="242">
                  <c:v>8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5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5</c:v>
                </c:pt>
                <c:pt idx="257">
                  <c:v>5</c:v>
                </c:pt>
                <c:pt idx="258">
                  <c:v>4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4</c:v>
                </c:pt>
                <c:pt idx="263">
                  <c:v>5</c:v>
                </c:pt>
                <c:pt idx="264">
                  <c:v>4</c:v>
                </c:pt>
                <c:pt idx="265">
                  <c:v>0</c:v>
                </c:pt>
                <c:pt idx="266">
                  <c:v>6</c:v>
                </c:pt>
                <c:pt idx="267">
                  <c:v>7</c:v>
                </c:pt>
                <c:pt idx="268">
                  <c:v>5</c:v>
                </c:pt>
                <c:pt idx="269">
                  <c:v>6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0</c:v>
                </c:pt>
                <c:pt idx="276">
                  <c:v>5</c:v>
                </c:pt>
                <c:pt idx="277">
                  <c:v>5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5</c:v>
                </c:pt>
                <c:pt idx="285">
                  <c:v>0</c:v>
                </c:pt>
                <c:pt idx="286">
                  <c:v>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74-40B4-A9AC-362A09742C27}"/>
            </c:ext>
          </c:extLst>
        </c:ser>
        <c:ser>
          <c:idx val="8"/>
          <c:order val="8"/>
          <c:tx>
            <c:strRef>
              <c:f>'SDT-Station1 '!$O$1</c:f>
              <c:strCache>
                <c:ptCount val="1"/>
                <c:pt idx="0">
                  <c:v>CLOUDCVR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multiLvlStrRef>
              <c:f>'SDT-Station1 '!$D$2:$F$309</c:f>
              <c:multiLvlStrCache>
                <c:ptCount val="308"/>
                <c:lvl>
                  <c:pt idx="0">
                    <c:v>EI</c:v>
                  </c:pt>
                  <c:pt idx="1">
                    <c:v>EI</c:v>
                  </c:pt>
                  <c:pt idx="2">
                    <c:v>EI</c:v>
                  </c:pt>
                  <c:pt idx="3">
                    <c:v>EI</c:v>
                  </c:pt>
                  <c:pt idx="4">
                    <c:v>EI</c:v>
                  </c:pt>
                  <c:pt idx="5">
                    <c:v>EI</c:v>
                  </c:pt>
                  <c:pt idx="6">
                    <c:v>EI</c:v>
                  </c:pt>
                  <c:pt idx="7">
                    <c:v>EI</c:v>
                  </c:pt>
                  <c:pt idx="8">
                    <c:v>EI</c:v>
                  </c:pt>
                  <c:pt idx="9">
                    <c:v>EI</c:v>
                  </c:pt>
                  <c:pt idx="10">
                    <c:v>EI</c:v>
                  </c:pt>
                  <c:pt idx="11">
                    <c:v>EI</c:v>
                  </c:pt>
                  <c:pt idx="12">
                    <c:v>EI</c:v>
                  </c:pt>
                  <c:pt idx="13">
                    <c:v>EI</c:v>
                  </c:pt>
                  <c:pt idx="14">
                    <c:v>EI</c:v>
                  </c:pt>
                  <c:pt idx="15">
                    <c:v>EI</c:v>
                  </c:pt>
                  <c:pt idx="16">
                    <c:v>EI</c:v>
                  </c:pt>
                  <c:pt idx="17">
                    <c:v>EI</c:v>
                  </c:pt>
                  <c:pt idx="18">
                    <c:v>EI</c:v>
                  </c:pt>
                  <c:pt idx="19">
                    <c:v>EI</c:v>
                  </c:pt>
                  <c:pt idx="20">
                    <c:v>EI</c:v>
                  </c:pt>
                  <c:pt idx="21">
                    <c:v>EI</c:v>
                  </c:pt>
                  <c:pt idx="22">
                    <c:v>EI</c:v>
                  </c:pt>
                  <c:pt idx="23">
                    <c:v>EI</c:v>
                  </c:pt>
                  <c:pt idx="24">
                    <c:v>EI</c:v>
                  </c:pt>
                  <c:pt idx="25">
                    <c:v>EI</c:v>
                  </c:pt>
                  <c:pt idx="26">
                    <c:v>EI</c:v>
                  </c:pt>
                  <c:pt idx="27">
                    <c:v>EI</c:v>
                  </c:pt>
                  <c:pt idx="28">
                    <c:v>EI</c:v>
                  </c:pt>
                  <c:pt idx="29">
                    <c:v>EI</c:v>
                  </c:pt>
                  <c:pt idx="30">
                    <c:v>EI</c:v>
                  </c:pt>
                  <c:pt idx="31">
                    <c:v>EI</c:v>
                  </c:pt>
                  <c:pt idx="32">
                    <c:v>EI</c:v>
                  </c:pt>
                  <c:pt idx="33">
                    <c:v>EI</c:v>
                  </c:pt>
                  <c:pt idx="34">
                    <c:v>EI</c:v>
                  </c:pt>
                  <c:pt idx="35">
                    <c:v>EI</c:v>
                  </c:pt>
                  <c:pt idx="36">
                    <c:v>EI</c:v>
                  </c:pt>
                  <c:pt idx="37">
                    <c:v>EI</c:v>
                  </c:pt>
                  <c:pt idx="38">
                    <c:v>EI</c:v>
                  </c:pt>
                  <c:pt idx="39">
                    <c:v>EI</c:v>
                  </c:pt>
                  <c:pt idx="40">
                    <c:v>EI</c:v>
                  </c:pt>
                  <c:pt idx="41">
                    <c:v>EI</c:v>
                  </c:pt>
                  <c:pt idx="42">
                    <c:v>EI</c:v>
                  </c:pt>
                  <c:pt idx="43">
                    <c:v>EI</c:v>
                  </c:pt>
                  <c:pt idx="44">
                    <c:v>EI</c:v>
                  </c:pt>
                  <c:pt idx="45">
                    <c:v>EI</c:v>
                  </c:pt>
                  <c:pt idx="46">
                    <c:v>EI</c:v>
                  </c:pt>
                  <c:pt idx="47">
                    <c:v>EI</c:v>
                  </c:pt>
                  <c:pt idx="48">
                    <c:v>EI</c:v>
                  </c:pt>
                  <c:pt idx="49">
                    <c:v>EI</c:v>
                  </c:pt>
                  <c:pt idx="50">
                    <c:v>EI</c:v>
                  </c:pt>
                  <c:pt idx="51">
                    <c:v>EI</c:v>
                  </c:pt>
                  <c:pt idx="52">
                    <c:v>EI</c:v>
                  </c:pt>
                  <c:pt idx="53">
                    <c:v>EI</c:v>
                  </c:pt>
                  <c:pt idx="54">
                    <c:v>EI</c:v>
                  </c:pt>
                  <c:pt idx="55">
                    <c:v>EI</c:v>
                  </c:pt>
                  <c:pt idx="56">
                    <c:v>EI</c:v>
                  </c:pt>
                  <c:pt idx="57">
                    <c:v>EI</c:v>
                  </c:pt>
                  <c:pt idx="58">
                    <c:v>EI</c:v>
                  </c:pt>
                  <c:pt idx="59">
                    <c:v>EI</c:v>
                  </c:pt>
                  <c:pt idx="60">
                    <c:v>EI</c:v>
                  </c:pt>
                  <c:pt idx="61">
                    <c:v>EI</c:v>
                  </c:pt>
                  <c:pt idx="62">
                    <c:v>EI</c:v>
                  </c:pt>
                  <c:pt idx="63">
                    <c:v>EI</c:v>
                  </c:pt>
                  <c:pt idx="64">
                    <c:v>EI</c:v>
                  </c:pt>
                  <c:pt idx="65">
                    <c:v>EI</c:v>
                  </c:pt>
                  <c:pt idx="66">
                    <c:v>EI</c:v>
                  </c:pt>
                  <c:pt idx="67">
                    <c:v>EI</c:v>
                  </c:pt>
                  <c:pt idx="68">
                    <c:v>EI</c:v>
                  </c:pt>
                  <c:pt idx="69">
                    <c:v>EI</c:v>
                  </c:pt>
                  <c:pt idx="70">
                    <c:v>EI</c:v>
                  </c:pt>
                  <c:pt idx="71">
                    <c:v>EI</c:v>
                  </c:pt>
                  <c:pt idx="72">
                    <c:v>EI</c:v>
                  </c:pt>
                  <c:pt idx="73">
                    <c:v>EI</c:v>
                  </c:pt>
                  <c:pt idx="74">
                    <c:v>EI</c:v>
                  </c:pt>
                  <c:pt idx="75">
                    <c:v>EI</c:v>
                  </c:pt>
                  <c:pt idx="76">
                    <c:v>EI</c:v>
                  </c:pt>
                  <c:pt idx="77">
                    <c:v>EI</c:v>
                  </c:pt>
                  <c:pt idx="78">
                    <c:v>EI</c:v>
                  </c:pt>
                  <c:pt idx="79">
                    <c:v>EI</c:v>
                  </c:pt>
                  <c:pt idx="80">
                    <c:v>EI</c:v>
                  </c:pt>
                  <c:pt idx="81">
                    <c:v>EI</c:v>
                  </c:pt>
                  <c:pt idx="82">
                    <c:v>EI</c:v>
                  </c:pt>
                  <c:pt idx="83">
                    <c:v>EI</c:v>
                  </c:pt>
                  <c:pt idx="84">
                    <c:v>EI</c:v>
                  </c:pt>
                  <c:pt idx="85">
                    <c:v>EI</c:v>
                  </c:pt>
                  <c:pt idx="86">
                    <c:v>EI</c:v>
                  </c:pt>
                  <c:pt idx="87">
                    <c:v>EI</c:v>
                  </c:pt>
                  <c:pt idx="88">
                    <c:v>EI</c:v>
                  </c:pt>
                  <c:pt idx="89">
                    <c:v>EI</c:v>
                  </c:pt>
                  <c:pt idx="90">
                    <c:v>EI</c:v>
                  </c:pt>
                  <c:pt idx="91">
                    <c:v>EI</c:v>
                  </c:pt>
                  <c:pt idx="92">
                    <c:v>EI</c:v>
                  </c:pt>
                  <c:pt idx="93">
                    <c:v>EI</c:v>
                  </c:pt>
                  <c:pt idx="94">
                    <c:v>EI</c:v>
                  </c:pt>
                  <c:pt idx="95">
                    <c:v>EI</c:v>
                  </c:pt>
                  <c:pt idx="96">
                    <c:v>EI</c:v>
                  </c:pt>
                  <c:pt idx="97">
                    <c:v>EI</c:v>
                  </c:pt>
                  <c:pt idx="98">
                    <c:v>EI</c:v>
                  </c:pt>
                  <c:pt idx="99">
                    <c:v>EI</c:v>
                  </c:pt>
                  <c:pt idx="100">
                    <c:v>EI</c:v>
                  </c:pt>
                  <c:pt idx="101">
                    <c:v>EI</c:v>
                  </c:pt>
                  <c:pt idx="102">
                    <c:v>EI</c:v>
                  </c:pt>
                  <c:pt idx="103">
                    <c:v>EI</c:v>
                  </c:pt>
                  <c:pt idx="104">
                    <c:v>EI</c:v>
                  </c:pt>
                  <c:pt idx="105">
                    <c:v>EI</c:v>
                  </c:pt>
                  <c:pt idx="106">
                    <c:v>EI</c:v>
                  </c:pt>
                  <c:pt idx="107">
                    <c:v>EI</c:v>
                  </c:pt>
                  <c:pt idx="108">
                    <c:v>EI</c:v>
                  </c:pt>
                  <c:pt idx="109">
                    <c:v>EI</c:v>
                  </c:pt>
                  <c:pt idx="110">
                    <c:v>EI</c:v>
                  </c:pt>
                  <c:pt idx="111">
                    <c:v>EI</c:v>
                  </c:pt>
                  <c:pt idx="112">
                    <c:v>EI</c:v>
                  </c:pt>
                  <c:pt idx="113">
                    <c:v>EI</c:v>
                  </c:pt>
                  <c:pt idx="114">
                    <c:v>EI</c:v>
                  </c:pt>
                  <c:pt idx="115">
                    <c:v>EI</c:v>
                  </c:pt>
                  <c:pt idx="116">
                    <c:v>EI</c:v>
                  </c:pt>
                  <c:pt idx="117">
                    <c:v>EI</c:v>
                  </c:pt>
                  <c:pt idx="118">
                    <c:v>EI</c:v>
                  </c:pt>
                  <c:pt idx="119">
                    <c:v>EI</c:v>
                  </c:pt>
                  <c:pt idx="120">
                    <c:v>EI</c:v>
                  </c:pt>
                  <c:pt idx="121">
                    <c:v>EI</c:v>
                  </c:pt>
                  <c:pt idx="122">
                    <c:v>EI</c:v>
                  </c:pt>
                  <c:pt idx="123">
                    <c:v>EI</c:v>
                  </c:pt>
                  <c:pt idx="124">
                    <c:v>EI</c:v>
                  </c:pt>
                  <c:pt idx="125">
                    <c:v>EI</c:v>
                  </c:pt>
                  <c:pt idx="126">
                    <c:v>EI</c:v>
                  </c:pt>
                  <c:pt idx="127">
                    <c:v>EI</c:v>
                  </c:pt>
                  <c:pt idx="128">
                    <c:v>EI</c:v>
                  </c:pt>
                  <c:pt idx="129">
                    <c:v>EI</c:v>
                  </c:pt>
                  <c:pt idx="130">
                    <c:v>EI</c:v>
                  </c:pt>
                  <c:pt idx="131">
                    <c:v>EI</c:v>
                  </c:pt>
                  <c:pt idx="132">
                    <c:v>EI</c:v>
                  </c:pt>
                  <c:pt idx="133">
                    <c:v>EI</c:v>
                  </c:pt>
                  <c:pt idx="134">
                    <c:v>EI</c:v>
                  </c:pt>
                  <c:pt idx="135">
                    <c:v>EI</c:v>
                  </c:pt>
                  <c:pt idx="136">
                    <c:v>EI</c:v>
                  </c:pt>
                  <c:pt idx="137">
                    <c:v>EI</c:v>
                  </c:pt>
                  <c:pt idx="138">
                    <c:v>EI</c:v>
                  </c:pt>
                  <c:pt idx="139">
                    <c:v>EI</c:v>
                  </c:pt>
                  <c:pt idx="140">
                    <c:v>EI</c:v>
                  </c:pt>
                  <c:pt idx="141">
                    <c:v>EI</c:v>
                  </c:pt>
                  <c:pt idx="142">
                    <c:v>EI</c:v>
                  </c:pt>
                  <c:pt idx="143">
                    <c:v>EI</c:v>
                  </c:pt>
                  <c:pt idx="144">
                    <c:v>EI</c:v>
                  </c:pt>
                  <c:pt idx="145">
                    <c:v>EI</c:v>
                  </c:pt>
                  <c:pt idx="146">
                    <c:v>EI</c:v>
                  </c:pt>
                  <c:pt idx="147">
                    <c:v>EI</c:v>
                  </c:pt>
                  <c:pt idx="148">
                    <c:v>EI</c:v>
                  </c:pt>
                  <c:pt idx="149">
                    <c:v>EI</c:v>
                  </c:pt>
                  <c:pt idx="150">
                    <c:v>EI</c:v>
                  </c:pt>
                  <c:pt idx="151">
                    <c:v>EI</c:v>
                  </c:pt>
                  <c:pt idx="152">
                    <c:v>EI</c:v>
                  </c:pt>
                  <c:pt idx="153">
                    <c:v>EI</c:v>
                  </c:pt>
                  <c:pt idx="154">
                    <c:v>EI</c:v>
                  </c:pt>
                  <c:pt idx="155">
                    <c:v>EI</c:v>
                  </c:pt>
                  <c:pt idx="156">
                    <c:v>EI</c:v>
                  </c:pt>
                  <c:pt idx="157">
                    <c:v>EI</c:v>
                  </c:pt>
                  <c:pt idx="158">
                    <c:v>EI</c:v>
                  </c:pt>
                  <c:pt idx="159">
                    <c:v>EI</c:v>
                  </c:pt>
                  <c:pt idx="160">
                    <c:v>EI</c:v>
                  </c:pt>
                  <c:pt idx="161">
                    <c:v>EI</c:v>
                  </c:pt>
                  <c:pt idx="162">
                    <c:v>EI</c:v>
                  </c:pt>
                  <c:pt idx="163">
                    <c:v>EI</c:v>
                  </c:pt>
                  <c:pt idx="164">
                    <c:v>EI</c:v>
                  </c:pt>
                  <c:pt idx="165">
                    <c:v>EI</c:v>
                  </c:pt>
                  <c:pt idx="166">
                    <c:v>EI</c:v>
                  </c:pt>
                  <c:pt idx="167">
                    <c:v>EI</c:v>
                  </c:pt>
                  <c:pt idx="168">
                    <c:v>EI</c:v>
                  </c:pt>
                  <c:pt idx="169">
                    <c:v>EI</c:v>
                  </c:pt>
                  <c:pt idx="170">
                    <c:v>EI</c:v>
                  </c:pt>
                  <c:pt idx="171">
                    <c:v>EI</c:v>
                  </c:pt>
                  <c:pt idx="172">
                    <c:v>EI</c:v>
                  </c:pt>
                  <c:pt idx="173">
                    <c:v>EI</c:v>
                  </c:pt>
                  <c:pt idx="174">
                    <c:v>EI</c:v>
                  </c:pt>
                  <c:pt idx="175">
                    <c:v>EI</c:v>
                  </c:pt>
                  <c:pt idx="176">
                    <c:v>EI</c:v>
                  </c:pt>
                  <c:pt idx="177">
                    <c:v>EI</c:v>
                  </c:pt>
                  <c:pt idx="178">
                    <c:v>EI</c:v>
                  </c:pt>
                  <c:pt idx="179">
                    <c:v>EI</c:v>
                  </c:pt>
                  <c:pt idx="180">
                    <c:v>EI</c:v>
                  </c:pt>
                  <c:pt idx="181">
                    <c:v>EI</c:v>
                  </c:pt>
                  <c:pt idx="182">
                    <c:v>EI</c:v>
                  </c:pt>
                  <c:pt idx="183">
                    <c:v>EI</c:v>
                  </c:pt>
                  <c:pt idx="184">
                    <c:v>EI</c:v>
                  </c:pt>
                  <c:pt idx="185">
                    <c:v>EI</c:v>
                  </c:pt>
                  <c:pt idx="186">
                    <c:v>EI</c:v>
                  </c:pt>
                  <c:pt idx="187">
                    <c:v>EI</c:v>
                  </c:pt>
                  <c:pt idx="188">
                    <c:v>EI</c:v>
                  </c:pt>
                  <c:pt idx="189">
                    <c:v>EI</c:v>
                  </c:pt>
                  <c:pt idx="190">
                    <c:v>EI</c:v>
                  </c:pt>
                  <c:pt idx="191">
                    <c:v>EI</c:v>
                  </c:pt>
                  <c:pt idx="192">
                    <c:v>EI</c:v>
                  </c:pt>
                  <c:pt idx="193">
                    <c:v>EI</c:v>
                  </c:pt>
                  <c:pt idx="194">
                    <c:v>EI</c:v>
                  </c:pt>
                  <c:pt idx="195">
                    <c:v>EI</c:v>
                  </c:pt>
                  <c:pt idx="196">
                    <c:v>EI</c:v>
                  </c:pt>
                  <c:pt idx="197">
                    <c:v>EI</c:v>
                  </c:pt>
                  <c:pt idx="198">
                    <c:v>EI</c:v>
                  </c:pt>
                  <c:pt idx="199">
                    <c:v>EI</c:v>
                  </c:pt>
                  <c:pt idx="200">
                    <c:v>EI</c:v>
                  </c:pt>
                  <c:pt idx="201">
                    <c:v>EI</c:v>
                  </c:pt>
                  <c:pt idx="202">
                    <c:v>EI</c:v>
                  </c:pt>
                  <c:pt idx="203">
                    <c:v>EI</c:v>
                  </c:pt>
                  <c:pt idx="204">
                    <c:v>EI</c:v>
                  </c:pt>
                  <c:pt idx="205">
                    <c:v>EI</c:v>
                  </c:pt>
                  <c:pt idx="206">
                    <c:v>EI</c:v>
                  </c:pt>
                  <c:pt idx="207">
                    <c:v>EI</c:v>
                  </c:pt>
                  <c:pt idx="208">
                    <c:v>EI</c:v>
                  </c:pt>
                  <c:pt idx="209">
                    <c:v>EI</c:v>
                  </c:pt>
                  <c:pt idx="210">
                    <c:v>EI</c:v>
                  </c:pt>
                  <c:pt idx="211">
                    <c:v>EI</c:v>
                  </c:pt>
                  <c:pt idx="212">
                    <c:v>EI</c:v>
                  </c:pt>
                  <c:pt idx="213">
                    <c:v>EI</c:v>
                  </c:pt>
                  <c:pt idx="214">
                    <c:v>EI</c:v>
                  </c:pt>
                  <c:pt idx="215">
                    <c:v>EI</c:v>
                  </c:pt>
                  <c:pt idx="216">
                    <c:v>EI</c:v>
                  </c:pt>
                  <c:pt idx="217">
                    <c:v>EI</c:v>
                  </c:pt>
                  <c:pt idx="218">
                    <c:v>EI</c:v>
                  </c:pt>
                  <c:pt idx="219">
                    <c:v>EI</c:v>
                  </c:pt>
                  <c:pt idx="220">
                    <c:v>EI</c:v>
                  </c:pt>
                  <c:pt idx="221">
                    <c:v>EI</c:v>
                  </c:pt>
                  <c:pt idx="222">
                    <c:v>EI</c:v>
                  </c:pt>
                  <c:pt idx="223">
                    <c:v>EI</c:v>
                  </c:pt>
                  <c:pt idx="224">
                    <c:v>EI</c:v>
                  </c:pt>
                  <c:pt idx="225">
                    <c:v>EI</c:v>
                  </c:pt>
                  <c:pt idx="226">
                    <c:v>EI</c:v>
                  </c:pt>
                  <c:pt idx="227">
                    <c:v>EI</c:v>
                  </c:pt>
                  <c:pt idx="228">
                    <c:v>EI</c:v>
                  </c:pt>
                  <c:pt idx="229">
                    <c:v>EI</c:v>
                  </c:pt>
                  <c:pt idx="230">
                    <c:v>EI</c:v>
                  </c:pt>
                  <c:pt idx="231">
                    <c:v>EI</c:v>
                  </c:pt>
                  <c:pt idx="232">
                    <c:v>EI</c:v>
                  </c:pt>
                  <c:pt idx="233">
                    <c:v>EI</c:v>
                  </c:pt>
                  <c:pt idx="234">
                    <c:v>EI</c:v>
                  </c:pt>
                  <c:pt idx="235">
                    <c:v>EI</c:v>
                  </c:pt>
                  <c:pt idx="236">
                    <c:v>EI</c:v>
                  </c:pt>
                  <c:pt idx="237">
                    <c:v>EI</c:v>
                  </c:pt>
                  <c:pt idx="238">
                    <c:v>EI</c:v>
                  </c:pt>
                  <c:pt idx="239">
                    <c:v>EI</c:v>
                  </c:pt>
                  <c:pt idx="240">
                    <c:v>EI</c:v>
                  </c:pt>
                  <c:pt idx="241">
                    <c:v>EI</c:v>
                  </c:pt>
                  <c:pt idx="242">
                    <c:v>EI</c:v>
                  </c:pt>
                  <c:pt idx="243">
                    <c:v>EI</c:v>
                  </c:pt>
                  <c:pt idx="244">
                    <c:v>EI</c:v>
                  </c:pt>
                  <c:pt idx="245">
                    <c:v>EI</c:v>
                  </c:pt>
                  <c:pt idx="246">
                    <c:v>EI</c:v>
                  </c:pt>
                  <c:pt idx="247">
                    <c:v>EI</c:v>
                  </c:pt>
                  <c:pt idx="248">
                    <c:v>EI</c:v>
                  </c:pt>
                  <c:pt idx="249">
                    <c:v>EI</c:v>
                  </c:pt>
                  <c:pt idx="250">
                    <c:v>EI</c:v>
                  </c:pt>
                  <c:pt idx="251">
                    <c:v>EI</c:v>
                  </c:pt>
                  <c:pt idx="252">
                    <c:v>EI</c:v>
                  </c:pt>
                  <c:pt idx="253">
                    <c:v>EI</c:v>
                  </c:pt>
                  <c:pt idx="254">
                    <c:v>EI</c:v>
                  </c:pt>
                  <c:pt idx="255">
                    <c:v>EI</c:v>
                  </c:pt>
                  <c:pt idx="256">
                    <c:v>EI</c:v>
                  </c:pt>
                  <c:pt idx="257">
                    <c:v>EI</c:v>
                  </c:pt>
                  <c:pt idx="258">
                    <c:v>EI</c:v>
                  </c:pt>
                  <c:pt idx="259">
                    <c:v>EI</c:v>
                  </c:pt>
                  <c:pt idx="260">
                    <c:v>EI</c:v>
                  </c:pt>
                  <c:pt idx="261">
                    <c:v>EI</c:v>
                  </c:pt>
                  <c:pt idx="262">
                    <c:v>EI</c:v>
                  </c:pt>
                  <c:pt idx="263">
                    <c:v>EI</c:v>
                  </c:pt>
                  <c:pt idx="264">
                    <c:v>EI</c:v>
                  </c:pt>
                  <c:pt idx="265">
                    <c:v>EI</c:v>
                  </c:pt>
                  <c:pt idx="266">
                    <c:v>EI</c:v>
                  </c:pt>
                  <c:pt idx="267">
                    <c:v>EI</c:v>
                  </c:pt>
                  <c:pt idx="268">
                    <c:v>EI</c:v>
                  </c:pt>
                  <c:pt idx="269">
                    <c:v>EI</c:v>
                  </c:pt>
                  <c:pt idx="270">
                    <c:v>EI</c:v>
                  </c:pt>
                  <c:pt idx="271">
                    <c:v>EI</c:v>
                  </c:pt>
                  <c:pt idx="272">
                    <c:v>EI</c:v>
                  </c:pt>
                  <c:pt idx="273">
                    <c:v>EI</c:v>
                  </c:pt>
                  <c:pt idx="274">
                    <c:v>EI</c:v>
                  </c:pt>
                  <c:pt idx="275">
                    <c:v>EI</c:v>
                  </c:pt>
                  <c:pt idx="276">
                    <c:v>EI</c:v>
                  </c:pt>
                  <c:pt idx="277">
                    <c:v>EI</c:v>
                  </c:pt>
                  <c:pt idx="278">
                    <c:v>EI</c:v>
                  </c:pt>
                  <c:pt idx="279">
                    <c:v>EI</c:v>
                  </c:pt>
                  <c:pt idx="280">
                    <c:v>EI</c:v>
                  </c:pt>
                  <c:pt idx="281">
                    <c:v>EI</c:v>
                  </c:pt>
                  <c:pt idx="282">
                    <c:v>EI</c:v>
                  </c:pt>
                  <c:pt idx="283">
                    <c:v>EI</c:v>
                  </c:pt>
                  <c:pt idx="284">
                    <c:v>EI</c:v>
                  </c:pt>
                  <c:pt idx="285">
                    <c:v>EI</c:v>
                  </c:pt>
                  <c:pt idx="286">
                    <c:v>EI</c:v>
                  </c:pt>
                  <c:pt idx="287">
                    <c:v>EI</c:v>
                  </c:pt>
                  <c:pt idx="288">
                    <c:v>EI</c:v>
                  </c:pt>
                  <c:pt idx="289">
                    <c:v>EI</c:v>
                  </c:pt>
                  <c:pt idx="290">
                    <c:v>EI</c:v>
                  </c:pt>
                  <c:pt idx="291">
                    <c:v>FOCL</c:v>
                  </c:pt>
                  <c:pt idx="292">
                    <c:v>FOCL</c:v>
                  </c:pt>
                  <c:pt idx="293">
                    <c:v>FOCL</c:v>
                  </c:pt>
                  <c:pt idx="294">
                    <c:v>FOCL</c:v>
                  </c:pt>
                  <c:pt idx="295">
                    <c:v>FOCL</c:v>
                  </c:pt>
                  <c:pt idx="296">
                    <c:v>FOCL</c:v>
                  </c:pt>
                  <c:pt idx="297">
                    <c:v>FOCL</c:v>
                  </c:pt>
                  <c:pt idx="298">
                    <c:v>FOCL</c:v>
                  </c:pt>
                  <c:pt idx="299">
                    <c:v>FOCL</c:v>
                  </c:pt>
                  <c:pt idx="300">
                    <c:v>EI</c:v>
                  </c:pt>
                  <c:pt idx="301">
                    <c:v>EI</c:v>
                  </c:pt>
                  <c:pt idx="302">
                    <c:v>FOCL</c:v>
                  </c:pt>
                  <c:pt idx="303">
                    <c:v>FOCL</c:v>
                  </c:pt>
                  <c:pt idx="304">
                    <c:v>FOCL</c:v>
                  </c:pt>
                  <c:pt idx="305">
                    <c:v>FOCL</c:v>
                  </c:pt>
                  <c:pt idx="306">
                    <c:v>FOCL</c:v>
                  </c:pt>
                  <c:pt idx="307">
                    <c:v>FOCL</c:v>
                  </c:pt>
                </c:lvl>
                <c:lvl>
                  <c:pt idx="0">
                    <c:v>1981</c:v>
                  </c:pt>
                  <c:pt idx="1">
                    <c:v>1981</c:v>
                  </c:pt>
                  <c:pt idx="2">
                    <c:v>1981</c:v>
                  </c:pt>
                  <c:pt idx="3">
                    <c:v>1981</c:v>
                  </c:pt>
                  <c:pt idx="4">
                    <c:v>1981</c:v>
                  </c:pt>
                  <c:pt idx="5">
                    <c:v>1981</c:v>
                  </c:pt>
                  <c:pt idx="6">
                    <c:v>1981</c:v>
                  </c:pt>
                  <c:pt idx="7">
                    <c:v>1983</c:v>
                  </c:pt>
                  <c:pt idx="8">
                    <c:v>1983</c:v>
                  </c:pt>
                  <c:pt idx="9">
                    <c:v>1984</c:v>
                  </c:pt>
                  <c:pt idx="10">
                    <c:v>1984</c:v>
                  </c:pt>
                  <c:pt idx="11">
                    <c:v>1984</c:v>
                  </c:pt>
                  <c:pt idx="12">
                    <c:v>1984</c:v>
                  </c:pt>
                  <c:pt idx="13">
                    <c:v>1984</c:v>
                  </c:pt>
                  <c:pt idx="14">
                    <c:v>1984</c:v>
                  </c:pt>
                  <c:pt idx="15">
                    <c:v>1984</c:v>
                  </c:pt>
                  <c:pt idx="16">
                    <c:v>1986</c:v>
                  </c:pt>
                  <c:pt idx="17">
                    <c:v>1986</c:v>
                  </c:pt>
                  <c:pt idx="18">
                    <c:v>1986</c:v>
                  </c:pt>
                  <c:pt idx="19">
                    <c:v>1986</c:v>
                  </c:pt>
                  <c:pt idx="20">
                    <c:v>1986</c:v>
                  </c:pt>
                  <c:pt idx="21">
                    <c:v>1986</c:v>
                  </c:pt>
                  <c:pt idx="22">
                    <c:v>1986</c:v>
                  </c:pt>
                  <c:pt idx="23">
                    <c:v>1986</c:v>
                  </c:pt>
                  <c:pt idx="24">
                    <c:v>1986</c:v>
                  </c:pt>
                  <c:pt idx="25">
                    <c:v>1986</c:v>
                  </c:pt>
                  <c:pt idx="26">
                    <c:v>1986</c:v>
                  </c:pt>
                  <c:pt idx="27">
                    <c:v>1986</c:v>
                  </c:pt>
                  <c:pt idx="28">
                    <c:v>1987</c:v>
                  </c:pt>
                  <c:pt idx="29">
                    <c:v>1987</c:v>
                  </c:pt>
                  <c:pt idx="30">
                    <c:v>1987</c:v>
                  </c:pt>
                  <c:pt idx="31">
                    <c:v>1987</c:v>
                  </c:pt>
                  <c:pt idx="32">
                    <c:v>1987</c:v>
                  </c:pt>
                  <c:pt idx="33">
                    <c:v>1987</c:v>
                  </c:pt>
                  <c:pt idx="34">
                    <c:v>1987</c:v>
                  </c:pt>
                  <c:pt idx="35">
                    <c:v>1987</c:v>
                  </c:pt>
                  <c:pt idx="36">
                    <c:v>1987</c:v>
                  </c:pt>
                  <c:pt idx="37">
                    <c:v>1987</c:v>
                  </c:pt>
                  <c:pt idx="38">
                    <c:v>1987</c:v>
                  </c:pt>
                  <c:pt idx="39">
                    <c:v>1987</c:v>
                  </c:pt>
                  <c:pt idx="40">
                    <c:v>1987</c:v>
                  </c:pt>
                  <c:pt idx="41">
                    <c:v>1988</c:v>
                  </c:pt>
                  <c:pt idx="42">
                    <c:v>1988</c:v>
                  </c:pt>
                  <c:pt idx="43">
                    <c:v>1988</c:v>
                  </c:pt>
                  <c:pt idx="44">
                    <c:v>1988</c:v>
                  </c:pt>
                  <c:pt idx="45">
                    <c:v>1988</c:v>
                  </c:pt>
                  <c:pt idx="46">
                    <c:v>1988</c:v>
                  </c:pt>
                  <c:pt idx="47">
                    <c:v>1988</c:v>
                  </c:pt>
                  <c:pt idx="48">
                    <c:v>1988</c:v>
                  </c:pt>
                  <c:pt idx="49">
                    <c:v>1988</c:v>
                  </c:pt>
                  <c:pt idx="50">
                    <c:v>1988</c:v>
                  </c:pt>
                  <c:pt idx="51">
                    <c:v>1989</c:v>
                  </c:pt>
                  <c:pt idx="52">
                    <c:v>1989</c:v>
                  </c:pt>
                  <c:pt idx="53">
                    <c:v>1989</c:v>
                  </c:pt>
                  <c:pt idx="54">
                    <c:v>1989</c:v>
                  </c:pt>
                  <c:pt idx="55">
                    <c:v>1989</c:v>
                  </c:pt>
                  <c:pt idx="56">
                    <c:v>1989</c:v>
                  </c:pt>
                  <c:pt idx="57">
                    <c:v>1989</c:v>
                  </c:pt>
                  <c:pt idx="58">
                    <c:v>1989</c:v>
                  </c:pt>
                  <c:pt idx="59">
                    <c:v>1989</c:v>
                  </c:pt>
                  <c:pt idx="60">
                    <c:v>1989</c:v>
                  </c:pt>
                  <c:pt idx="61">
                    <c:v>1989</c:v>
                  </c:pt>
                  <c:pt idx="62">
                    <c:v>1989</c:v>
                  </c:pt>
                  <c:pt idx="63">
                    <c:v>1989</c:v>
                  </c:pt>
                  <c:pt idx="64">
                    <c:v>1989</c:v>
                  </c:pt>
                  <c:pt idx="65">
                    <c:v>1989</c:v>
                  </c:pt>
                  <c:pt idx="66">
                    <c:v>1989</c:v>
                  </c:pt>
                  <c:pt idx="67">
                    <c:v>1989</c:v>
                  </c:pt>
                  <c:pt idx="68">
                    <c:v>1989</c:v>
                  </c:pt>
                  <c:pt idx="69">
                    <c:v>1989</c:v>
                  </c:pt>
                  <c:pt idx="70">
                    <c:v>1990</c:v>
                  </c:pt>
                  <c:pt idx="71">
                    <c:v>1990</c:v>
                  </c:pt>
                  <c:pt idx="72">
                    <c:v>1990</c:v>
                  </c:pt>
                  <c:pt idx="73">
                    <c:v>1990</c:v>
                  </c:pt>
                  <c:pt idx="74">
                    <c:v>1990</c:v>
                  </c:pt>
                  <c:pt idx="75">
                    <c:v>1990</c:v>
                  </c:pt>
                  <c:pt idx="76">
                    <c:v>1990</c:v>
                  </c:pt>
                  <c:pt idx="77">
                    <c:v>1990</c:v>
                  </c:pt>
                  <c:pt idx="78">
                    <c:v>1990</c:v>
                  </c:pt>
                  <c:pt idx="79">
                    <c:v>1990</c:v>
                  </c:pt>
                  <c:pt idx="80">
                    <c:v>1990</c:v>
                  </c:pt>
                  <c:pt idx="81">
                    <c:v>1990</c:v>
                  </c:pt>
                  <c:pt idx="82">
                    <c:v>1990</c:v>
                  </c:pt>
                  <c:pt idx="83">
                    <c:v>1990</c:v>
                  </c:pt>
                  <c:pt idx="84">
                    <c:v>1990</c:v>
                  </c:pt>
                  <c:pt idx="85">
                    <c:v>1990</c:v>
                  </c:pt>
                  <c:pt idx="86">
                    <c:v>1990</c:v>
                  </c:pt>
                  <c:pt idx="87">
                    <c:v>1990</c:v>
                  </c:pt>
                  <c:pt idx="88">
                    <c:v>1990</c:v>
                  </c:pt>
                  <c:pt idx="89">
                    <c:v>1991</c:v>
                  </c:pt>
                  <c:pt idx="90">
                    <c:v>1991</c:v>
                  </c:pt>
                  <c:pt idx="91">
                    <c:v>1991</c:v>
                  </c:pt>
                  <c:pt idx="92">
                    <c:v>1991</c:v>
                  </c:pt>
                  <c:pt idx="93">
                    <c:v>1991</c:v>
                  </c:pt>
                  <c:pt idx="94">
                    <c:v>1991</c:v>
                  </c:pt>
                  <c:pt idx="95">
                    <c:v>1991</c:v>
                  </c:pt>
                  <c:pt idx="96">
                    <c:v>1991</c:v>
                  </c:pt>
                  <c:pt idx="97">
                    <c:v>1991</c:v>
                  </c:pt>
                  <c:pt idx="98">
                    <c:v>1991</c:v>
                  </c:pt>
                  <c:pt idx="99">
                    <c:v>1991</c:v>
                  </c:pt>
                  <c:pt idx="100">
                    <c:v>1991</c:v>
                  </c:pt>
                  <c:pt idx="101">
                    <c:v>1991</c:v>
                  </c:pt>
                  <c:pt idx="102">
                    <c:v>1991</c:v>
                  </c:pt>
                  <c:pt idx="103">
                    <c:v>1991</c:v>
                  </c:pt>
                  <c:pt idx="104">
                    <c:v>1991</c:v>
                  </c:pt>
                  <c:pt idx="105">
                    <c:v>1991</c:v>
                  </c:pt>
                  <c:pt idx="106">
                    <c:v>1991</c:v>
                  </c:pt>
                  <c:pt idx="107">
                    <c:v>1991</c:v>
                  </c:pt>
                  <c:pt idx="108">
                    <c:v>1992</c:v>
                  </c:pt>
                  <c:pt idx="109">
                    <c:v>1992</c:v>
                  </c:pt>
                  <c:pt idx="110">
                    <c:v>1992</c:v>
                  </c:pt>
                  <c:pt idx="111">
                    <c:v>1992</c:v>
                  </c:pt>
                  <c:pt idx="112">
                    <c:v>1992</c:v>
                  </c:pt>
                  <c:pt idx="113">
                    <c:v>1992</c:v>
                  </c:pt>
                  <c:pt idx="114">
                    <c:v>1992</c:v>
                  </c:pt>
                  <c:pt idx="115">
                    <c:v>1992</c:v>
                  </c:pt>
                  <c:pt idx="116">
                    <c:v>1992</c:v>
                  </c:pt>
                  <c:pt idx="117">
                    <c:v>1992</c:v>
                  </c:pt>
                  <c:pt idx="118">
                    <c:v>1992</c:v>
                  </c:pt>
                  <c:pt idx="119">
                    <c:v>1992</c:v>
                  </c:pt>
                  <c:pt idx="120">
                    <c:v>1992</c:v>
                  </c:pt>
                  <c:pt idx="121">
                    <c:v>1992</c:v>
                  </c:pt>
                  <c:pt idx="122">
                    <c:v>1992</c:v>
                  </c:pt>
                  <c:pt idx="123">
                    <c:v>1992</c:v>
                  </c:pt>
                  <c:pt idx="124">
                    <c:v>1992</c:v>
                  </c:pt>
                  <c:pt idx="125">
                    <c:v>1992</c:v>
                  </c:pt>
                  <c:pt idx="126">
                    <c:v>1992</c:v>
                  </c:pt>
                  <c:pt idx="127">
                    <c:v>1992</c:v>
                  </c:pt>
                  <c:pt idx="128">
                    <c:v>1992</c:v>
                  </c:pt>
                  <c:pt idx="129">
                    <c:v>1992</c:v>
                  </c:pt>
                  <c:pt idx="130">
                    <c:v>1992</c:v>
                  </c:pt>
                  <c:pt idx="131">
                    <c:v>1994</c:v>
                  </c:pt>
                  <c:pt idx="132">
                    <c:v>1994</c:v>
                  </c:pt>
                  <c:pt idx="133">
                    <c:v>1995</c:v>
                  </c:pt>
                  <c:pt idx="134">
                    <c:v>1995</c:v>
                  </c:pt>
                  <c:pt idx="135">
                    <c:v>1995</c:v>
                  </c:pt>
                  <c:pt idx="136">
                    <c:v>1995</c:v>
                  </c:pt>
                  <c:pt idx="137">
                    <c:v>1995</c:v>
                  </c:pt>
                  <c:pt idx="138">
                    <c:v>1995</c:v>
                  </c:pt>
                  <c:pt idx="139">
                    <c:v>1995</c:v>
                  </c:pt>
                  <c:pt idx="140">
                    <c:v>1995</c:v>
                  </c:pt>
                  <c:pt idx="141">
                    <c:v>1995</c:v>
                  </c:pt>
                  <c:pt idx="142">
                    <c:v>1996</c:v>
                  </c:pt>
                  <c:pt idx="143">
                    <c:v>1996</c:v>
                  </c:pt>
                  <c:pt idx="144">
                    <c:v>1996</c:v>
                  </c:pt>
                  <c:pt idx="145">
                    <c:v>1996</c:v>
                  </c:pt>
                  <c:pt idx="146">
                    <c:v>1996</c:v>
                  </c:pt>
                  <c:pt idx="147">
                    <c:v>1996</c:v>
                  </c:pt>
                  <c:pt idx="148">
                    <c:v>1996</c:v>
                  </c:pt>
                  <c:pt idx="149">
                    <c:v>1996</c:v>
                  </c:pt>
                  <c:pt idx="150">
                    <c:v>1996</c:v>
                  </c:pt>
                  <c:pt idx="151">
                    <c:v>1996</c:v>
                  </c:pt>
                  <c:pt idx="152">
                    <c:v>1997</c:v>
                  </c:pt>
                  <c:pt idx="153">
                    <c:v>1997</c:v>
                  </c:pt>
                  <c:pt idx="154">
                    <c:v>1997</c:v>
                  </c:pt>
                  <c:pt idx="155">
                    <c:v>1997</c:v>
                  </c:pt>
                  <c:pt idx="156">
                    <c:v>1997</c:v>
                  </c:pt>
                  <c:pt idx="157">
                    <c:v>1997</c:v>
                  </c:pt>
                  <c:pt idx="158">
                    <c:v>1997</c:v>
                  </c:pt>
                  <c:pt idx="159">
                    <c:v>1997</c:v>
                  </c:pt>
                  <c:pt idx="160">
                    <c:v>1997</c:v>
                  </c:pt>
                  <c:pt idx="161">
                    <c:v>1997</c:v>
                  </c:pt>
                  <c:pt idx="162">
                    <c:v>1997</c:v>
                  </c:pt>
                  <c:pt idx="163">
                    <c:v>1997</c:v>
                  </c:pt>
                  <c:pt idx="164">
                    <c:v>1998</c:v>
                  </c:pt>
                  <c:pt idx="165">
                    <c:v>1998</c:v>
                  </c:pt>
                  <c:pt idx="166">
                    <c:v>1998</c:v>
                  </c:pt>
                  <c:pt idx="167">
                    <c:v>1998</c:v>
                  </c:pt>
                  <c:pt idx="168">
                    <c:v>1998</c:v>
                  </c:pt>
                  <c:pt idx="169">
                    <c:v>1998</c:v>
                  </c:pt>
                  <c:pt idx="170">
                    <c:v>1998</c:v>
                  </c:pt>
                  <c:pt idx="171">
                    <c:v>1998</c:v>
                  </c:pt>
                  <c:pt idx="172">
                    <c:v>1998</c:v>
                  </c:pt>
                  <c:pt idx="173">
                    <c:v>1998</c:v>
                  </c:pt>
                  <c:pt idx="174">
                    <c:v>1998</c:v>
                  </c:pt>
                  <c:pt idx="175">
                    <c:v>1999</c:v>
                  </c:pt>
                  <c:pt idx="176">
                    <c:v>1999</c:v>
                  </c:pt>
                  <c:pt idx="177">
                    <c:v>1999</c:v>
                  </c:pt>
                  <c:pt idx="178">
                    <c:v>1999</c:v>
                  </c:pt>
                  <c:pt idx="179">
                    <c:v>1999</c:v>
                  </c:pt>
                  <c:pt idx="180">
                    <c:v>1999</c:v>
                  </c:pt>
                  <c:pt idx="181">
                    <c:v>1999</c:v>
                  </c:pt>
                  <c:pt idx="182">
                    <c:v>1999</c:v>
                  </c:pt>
                  <c:pt idx="183">
                    <c:v>1999</c:v>
                  </c:pt>
                  <c:pt idx="184">
                    <c:v>2000</c:v>
                  </c:pt>
                  <c:pt idx="185">
                    <c:v>2000</c:v>
                  </c:pt>
                  <c:pt idx="186">
                    <c:v>2000</c:v>
                  </c:pt>
                  <c:pt idx="187">
                    <c:v>2000</c:v>
                  </c:pt>
                  <c:pt idx="188">
                    <c:v>2000</c:v>
                  </c:pt>
                  <c:pt idx="189">
                    <c:v>2000</c:v>
                  </c:pt>
                  <c:pt idx="190">
                    <c:v>2000</c:v>
                  </c:pt>
                  <c:pt idx="191">
                    <c:v>2000</c:v>
                  </c:pt>
                  <c:pt idx="192">
                    <c:v>2000</c:v>
                  </c:pt>
                  <c:pt idx="193">
                    <c:v>2000</c:v>
                  </c:pt>
                  <c:pt idx="194">
                    <c:v>2000</c:v>
                  </c:pt>
                  <c:pt idx="195">
                    <c:v>2001</c:v>
                  </c:pt>
                  <c:pt idx="196">
                    <c:v>2001</c:v>
                  </c:pt>
                  <c:pt idx="197">
                    <c:v>2001</c:v>
                  </c:pt>
                  <c:pt idx="198">
                    <c:v>2001</c:v>
                  </c:pt>
                  <c:pt idx="199">
                    <c:v>2001</c:v>
                  </c:pt>
                  <c:pt idx="200">
                    <c:v>2001</c:v>
                  </c:pt>
                  <c:pt idx="201">
                    <c:v>2001</c:v>
                  </c:pt>
                  <c:pt idx="202">
                    <c:v>2001</c:v>
                  </c:pt>
                  <c:pt idx="203">
                    <c:v>2001</c:v>
                  </c:pt>
                  <c:pt idx="204">
                    <c:v>2001</c:v>
                  </c:pt>
                  <c:pt idx="205">
                    <c:v>2001</c:v>
                  </c:pt>
                  <c:pt idx="206">
                    <c:v>2001</c:v>
                  </c:pt>
                  <c:pt idx="207">
                    <c:v>2002</c:v>
                  </c:pt>
                  <c:pt idx="208">
                    <c:v>2002</c:v>
                  </c:pt>
                  <c:pt idx="209">
                    <c:v>2002</c:v>
                  </c:pt>
                  <c:pt idx="210">
                    <c:v>2002</c:v>
                  </c:pt>
                  <c:pt idx="211">
                    <c:v>2002</c:v>
                  </c:pt>
                  <c:pt idx="212">
                    <c:v>2002</c:v>
                  </c:pt>
                  <c:pt idx="213">
                    <c:v>2002</c:v>
                  </c:pt>
                  <c:pt idx="214">
                    <c:v>2002</c:v>
                  </c:pt>
                  <c:pt idx="215">
                    <c:v>2003</c:v>
                  </c:pt>
                  <c:pt idx="216">
                    <c:v>2003</c:v>
                  </c:pt>
                  <c:pt idx="217">
                    <c:v>2003</c:v>
                  </c:pt>
                  <c:pt idx="218">
                    <c:v>2003</c:v>
                  </c:pt>
                  <c:pt idx="219">
                    <c:v>2003</c:v>
                  </c:pt>
                  <c:pt idx="220">
                    <c:v>2003</c:v>
                  </c:pt>
                  <c:pt idx="221">
                    <c:v>2003</c:v>
                  </c:pt>
                  <c:pt idx="222">
                    <c:v>2003</c:v>
                  </c:pt>
                  <c:pt idx="223">
                    <c:v>2003</c:v>
                  </c:pt>
                  <c:pt idx="224">
                    <c:v>2003</c:v>
                  </c:pt>
                  <c:pt idx="225">
                    <c:v>2003</c:v>
                  </c:pt>
                  <c:pt idx="226">
                    <c:v>2003</c:v>
                  </c:pt>
                  <c:pt idx="227">
                    <c:v>2003</c:v>
                  </c:pt>
                  <c:pt idx="228">
                    <c:v>2004</c:v>
                  </c:pt>
                  <c:pt idx="229">
                    <c:v>2004</c:v>
                  </c:pt>
                  <c:pt idx="230">
                    <c:v>2004</c:v>
                  </c:pt>
                  <c:pt idx="231">
                    <c:v>2004</c:v>
                  </c:pt>
                  <c:pt idx="232">
                    <c:v>2004</c:v>
                  </c:pt>
                  <c:pt idx="233">
                    <c:v>2004</c:v>
                  </c:pt>
                  <c:pt idx="234">
                    <c:v>2004</c:v>
                  </c:pt>
                  <c:pt idx="235">
                    <c:v>2004</c:v>
                  </c:pt>
                  <c:pt idx="236">
                    <c:v>2004</c:v>
                  </c:pt>
                  <c:pt idx="237">
                    <c:v>2004</c:v>
                  </c:pt>
                  <c:pt idx="238">
                    <c:v>2004</c:v>
                  </c:pt>
                  <c:pt idx="239">
                    <c:v>2004</c:v>
                  </c:pt>
                  <c:pt idx="240">
                    <c:v>2005</c:v>
                  </c:pt>
                  <c:pt idx="241">
                    <c:v>2005</c:v>
                  </c:pt>
                  <c:pt idx="242">
                    <c:v>2005</c:v>
                  </c:pt>
                  <c:pt idx="243">
                    <c:v>2005</c:v>
                  </c:pt>
                  <c:pt idx="244">
                    <c:v>2005</c:v>
                  </c:pt>
                  <c:pt idx="245">
                    <c:v>2005</c:v>
                  </c:pt>
                  <c:pt idx="246">
                    <c:v>2005</c:v>
                  </c:pt>
                  <c:pt idx="247">
                    <c:v>2005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2006</c:v>
                  </c:pt>
                  <c:pt idx="251">
                    <c:v>2006</c:v>
                  </c:pt>
                  <c:pt idx="252">
                    <c:v>2006</c:v>
                  </c:pt>
                  <c:pt idx="253">
                    <c:v>2006</c:v>
                  </c:pt>
                  <c:pt idx="254">
                    <c:v>2006</c:v>
                  </c:pt>
                  <c:pt idx="255">
                    <c:v>2006</c:v>
                  </c:pt>
                  <c:pt idx="256">
                    <c:v>2006</c:v>
                  </c:pt>
                  <c:pt idx="257">
                    <c:v>2006</c:v>
                  </c:pt>
                  <c:pt idx="258">
                    <c:v>2007</c:v>
                  </c:pt>
                  <c:pt idx="259">
                    <c:v>2007</c:v>
                  </c:pt>
                  <c:pt idx="260">
                    <c:v>2007</c:v>
                  </c:pt>
                  <c:pt idx="261">
                    <c:v>2007</c:v>
                  </c:pt>
                  <c:pt idx="262">
                    <c:v>2007</c:v>
                  </c:pt>
                  <c:pt idx="263">
                    <c:v>2007</c:v>
                  </c:pt>
                  <c:pt idx="264">
                    <c:v>2007</c:v>
                  </c:pt>
                  <c:pt idx="265">
                    <c:v>2007</c:v>
                  </c:pt>
                  <c:pt idx="266">
                    <c:v>2007</c:v>
                  </c:pt>
                  <c:pt idx="267">
                    <c:v>2008</c:v>
                  </c:pt>
                  <c:pt idx="268">
                    <c:v>2008</c:v>
                  </c:pt>
                  <c:pt idx="269">
                    <c:v>2008</c:v>
                  </c:pt>
                  <c:pt idx="270">
                    <c:v>2009</c:v>
                  </c:pt>
                  <c:pt idx="271">
                    <c:v>2009</c:v>
                  </c:pt>
                  <c:pt idx="272">
                    <c:v>2009</c:v>
                  </c:pt>
                  <c:pt idx="273">
                    <c:v>2009</c:v>
                  </c:pt>
                  <c:pt idx="274">
                    <c:v>2009</c:v>
                  </c:pt>
                  <c:pt idx="275">
                    <c:v>2009</c:v>
                  </c:pt>
                  <c:pt idx="276">
                    <c:v>2009</c:v>
                  </c:pt>
                  <c:pt idx="277">
                    <c:v>2009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2017</c:v>
                  </c:pt>
                  <c:pt idx="281">
                    <c:v>2018</c:v>
                  </c:pt>
                  <c:pt idx="282">
                    <c:v>2018</c:v>
                  </c:pt>
                  <c:pt idx="283">
                    <c:v>2018</c:v>
                  </c:pt>
                  <c:pt idx="284">
                    <c:v>2018</c:v>
                  </c:pt>
                  <c:pt idx="285">
                    <c:v>2018</c:v>
                  </c:pt>
                  <c:pt idx="286">
                    <c:v>2018</c:v>
                  </c:pt>
                  <c:pt idx="287">
                    <c:v>2018</c:v>
                  </c:pt>
                  <c:pt idx="288">
                    <c:v>2018</c:v>
                  </c:pt>
                  <c:pt idx="289">
                    <c:v>2018</c:v>
                  </c:pt>
                  <c:pt idx="290">
                    <c:v>2018</c:v>
                  </c:pt>
                  <c:pt idx="291">
                    <c:v>2019</c:v>
                  </c:pt>
                  <c:pt idx="292">
                    <c:v>2019</c:v>
                  </c:pt>
                  <c:pt idx="293">
                    <c:v>2019</c:v>
                  </c:pt>
                  <c:pt idx="294">
                    <c:v>2019</c:v>
                  </c:pt>
                  <c:pt idx="295">
                    <c:v>2019</c:v>
                  </c:pt>
                  <c:pt idx="296">
                    <c:v>2019</c:v>
                  </c:pt>
                  <c:pt idx="297">
                    <c:v>2019</c:v>
                  </c:pt>
                  <c:pt idx="298">
                    <c:v>2019</c:v>
                  </c:pt>
                  <c:pt idx="299">
                    <c:v>2019</c:v>
                  </c:pt>
                  <c:pt idx="300">
                    <c:v>2020</c:v>
                  </c:pt>
                  <c:pt idx="301">
                    <c:v>2020</c:v>
                  </c:pt>
                  <c:pt idx="302">
                    <c:v>2019</c:v>
                  </c:pt>
                  <c:pt idx="303">
                    <c:v>2019</c:v>
                  </c:pt>
                  <c:pt idx="304">
                    <c:v>2019</c:v>
                  </c:pt>
                  <c:pt idx="305">
                    <c:v>2019</c:v>
                  </c:pt>
                  <c:pt idx="306">
                    <c:v>2019</c:v>
                  </c:pt>
                  <c:pt idx="307">
                    <c:v>2019</c:v>
                  </c:pt>
                </c:lvl>
                <c:lvl>
                  <c:pt idx="0">
                    <c:v>05/31/1981</c:v>
                  </c:pt>
                  <c:pt idx="1">
                    <c:v>06/08/1981</c:v>
                  </c:pt>
                  <c:pt idx="2">
                    <c:v>06/23/1981</c:v>
                  </c:pt>
                  <c:pt idx="3">
                    <c:v>07/16/1981</c:v>
                  </c:pt>
                  <c:pt idx="4">
                    <c:v>08/19/1981</c:v>
                  </c:pt>
                  <c:pt idx="5">
                    <c:v>09/12/1981</c:v>
                  </c:pt>
                  <c:pt idx="6">
                    <c:v>09/28/1981</c:v>
                  </c:pt>
                  <c:pt idx="7">
                    <c:v>03/30/1983</c:v>
                  </c:pt>
                  <c:pt idx="8">
                    <c:v>08/09/1983</c:v>
                  </c:pt>
                  <c:pt idx="9">
                    <c:v>06/21/1984</c:v>
                  </c:pt>
                  <c:pt idx="10">
                    <c:v>06/29/1984</c:v>
                  </c:pt>
                  <c:pt idx="11">
                    <c:v>07/10/1984</c:v>
                  </c:pt>
                  <c:pt idx="12">
                    <c:v>07/19/1984</c:v>
                  </c:pt>
                  <c:pt idx="13">
                    <c:v>08/03/1984</c:v>
                  </c:pt>
                  <c:pt idx="14">
                    <c:v>08/14/1984</c:v>
                  </c:pt>
                  <c:pt idx="15">
                    <c:v>09/14/1984</c:v>
                  </c:pt>
                  <c:pt idx="16">
                    <c:v>05/09/1986</c:v>
                  </c:pt>
                  <c:pt idx="17">
                    <c:v>05/27/1986</c:v>
                  </c:pt>
                  <c:pt idx="18">
                    <c:v>06/10/1986</c:v>
                  </c:pt>
                  <c:pt idx="19">
                    <c:v>06/27/1986</c:v>
                  </c:pt>
                  <c:pt idx="20">
                    <c:v>07/16/1986</c:v>
                  </c:pt>
                  <c:pt idx="21">
                    <c:v>07/30/1986</c:v>
                  </c:pt>
                  <c:pt idx="22">
                    <c:v>08/12/1986</c:v>
                  </c:pt>
                  <c:pt idx="23">
                    <c:v>08/27/1986</c:v>
                  </c:pt>
                  <c:pt idx="24">
                    <c:v>09/08/1986</c:v>
                  </c:pt>
                  <c:pt idx="25">
                    <c:v>09/29/1986</c:v>
                  </c:pt>
                  <c:pt idx="26">
                    <c:v>10/14/1986</c:v>
                  </c:pt>
                  <c:pt idx="27">
                    <c:v>10/29/1986</c:v>
                  </c:pt>
                  <c:pt idx="28">
                    <c:v>02/26/1987</c:v>
                  </c:pt>
                  <c:pt idx="29">
                    <c:v>05/09/1987</c:v>
                  </c:pt>
                  <c:pt idx="30">
                    <c:v>05/28/1987</c:v>
                  </c:pt>
                  <c:pt idx="31">
                    <c:v>06/09/1987</c:v>
                  </c:pt>
                  <c:pt idx="32">
                    <c:v>06/23/1987</c:v>
                  </c:pt>
                  <c:pt idx="33">
                    <c:v>07/14/1987</c:v>
                  </c:pt>
                  <c:pt idx="34">
                    <c:v>07/29/1987</c:v>
                  </c:pt>
                  <c:pt idx="35">
                    <c:v>08/13/1987</c:v>
                  </c:pt>
                  <c:pt idx="36">
                    <c:v>08/25/1987</c:v>
                  </c:pt>
                  <c:pt idx="37">
                    <c:v>09/15/1987</c:v>
                  </c:pt>
                  <c:pt idx="38">
                    <c:v>09/28/1987</c:v>
                  </c:pt>
                  <c:pt idx="39">
                    <c:v>10/15/1987</c:v>
                  </c:pt>
                  <c:pt idx="40">
                    <c:v>10/28/1987</c:v>
                  </c:pt>
                  <c:pt idx="41">
                    <c:v>04/02/1988</c:v>
                  </c:pt>
                  <c:pt idx="42">
                    <c:v>05/10/1988</c:v>
                  </c:pt>
                  <c:pt idx="43">
                    <c:v>06/02/1988</c:v>
                  </c:pt>
                  <c:pt idx="44">
                    <c:v>06/16/1988</c:v>
                  </c:pt>
                  <c:pt idx="45">
                    <c:v>06/28/1988</c:v>
                  </c:pt>
                  <c:pt idx="46">
                    <c:v>07/22/1988</c:v>
                  </c:pt>
                  <c:pt idx="47">
                    <c:v>08/02/1988</c:v>
                  </c:pt>
                  <c:pt idx="48">
                    <c:v>08/22/1988</c:v>
                  </c:pt>
                  <c:pt idx="49">
                    <c:v>09/08/1988</c:v>
                  </c:pt>
                  <c:pt idx="50">
                    <c:v>10/06/1988</c:v>
                  </c:pt>
                  <c:pt idx="51">
                    <c:v>03/15/1989</c:v>
                  </c:pt>
                  <c:pt idx="52">
                    <c:v>05/18/1989</c:v>
                  </c:pt>
                  <c:pt idx="53">
                    <c:v>06/03/1989</c:v>
                  </c:pt>
                  <c:pt idx="54">
                    <c:v>06/19/1989</c:v>
                  </c:pt>
                  <c:pt idx="55">
                    <c:v>06/22/1989</c:v>
                  </c:pt>
                  <c:pt idx="56">
                    <c:v>07/03/1989</c:v>
                  </c:pt>
                  <c:pt idx="57">
                    <c:v>07/06/1989</c:v>
                  </c:pt>
                  <c:pt idx="58">
                    <c:v>07/17/1989</c:v>
                  </c:pt>
                  <c:pt idx="59">
                    <c:v>07/18/1989</c:v>
                  </c:pt>
                  <c:pt idx="60">
                    <c:v>07/31/1989</c:v>
                  </c:pt>
                  <c:pt idx="61">
                    <c:v>08/01/1989</c:v>
                  </c:pt>
                  <c:pt idx="62">
                    <c:v>08/14/1989</c:v>
                  </c:pt>
                  <c:pt idx="63">
                    <c:v>08/28/1989</c:v>
                  </c:pt>
                  <c:pt idx="64">
                    <c:v>08/31/1989</c:v>
                  </c:pt>
                  <c:pt idx="65">
                    <c:v>09/11/1989</c:v>
                  </c:pt>
                  <c:pt idx="66">
                    <c:v>09/17/1989</c:v>
                  </c:pt>
                  <c:pt idx="67">
                    <c:v>09/25/1989</c:v>
                  </c:pt>
                  <c:pt idx="68">
                    <c:v>10/09/1989</c:v>
                  </c:pt>
                  <c:pt idx="69">
                    <c:v>10/23/1989</c:v>
                  </c:pt>
                  <c:pt idx="70">
                    <c:v>05/07/1990</c:v>
                  </c:pt>
                  <c:pt idx="71">
                    <c:v>05/21/1990</c:v>
                  </c:pt>
                  <c:pt idx="72">
                    <c:v>05/28/1990</c:v>
                  </c:pt>
                  <c:pt idx="73">
                    <c:v>06/05/1990</c:v>
                  </c:pt>
                  <c:pt idx="74">
                    <c:v>06/18/1990</c:v>
                  </c:pt>
                  <c:pt idx="75">
                    <c:v>06/27/1990</c:v>
                  </c:pt>
                  <c:pt idx="76">
                    <c:v>07/02/1990</c:v>
                  </c:pt>
                  <c:pt idx="77">
                    <c:v>07/16/1990</c:v>
                  </c:pt>
                  <c:pt idx="78">
                    <c:v>07/24/1990</c:v>
                  </c:pt>
                  <c:pt idx="79">
                    <c:v>07/30/1990</c:v>
                  </c:pt>
                  <c:pt idx="80">
                    <c:v>08/13/1990</c:v>
                  </c:pt>
                  <c:pt idx="81">
                    <c:v>08/21/1990</c:v>
                  </c:pt>
                  <c:pt idx="82">
                    <c:v>08/27/1990</c:v>
                  </c:pt>
                  <c:pt idx="83">
                    <c:v>09/09/1990</c:v>
                  </c:pt>
                  <c:pt idx="84">
                    <c:v>09/22/1990</c:v>
                  </c:pt>
                  <c:pt idx="85">
                    <c:v>09/24/1990</c:v>
                  </c:pt>
                  <c:pt idx="86">
                    <c:v>09/30/1990</c:v>
                  </c:pt>
                  <c:pt idx="87">
                    <c:v>10/12/1990</c:v>
                  </c:pt>
                  <c:pt idx="88">
                    <c:v>10/25/1990</c:v>
                  </c:pt>
                  <c:pt idx="89">
                    <c:v>05/11/1991</c:v>
                  </c:pt>
                  <c:pt idx="90">
                    <c:v>05/25/1991</c:v>
                  </c:pt>
                  <c:pt idx="91">
                    <c:v>06/03/1991</c:v>
                  </c:pt>
                  <c:pt idx="92">
                    <c:v>06/06/1991</c:v>
                  </c:pt>
                  <c:pt idx="93">
                    <c:v>06/15/1991</c:v>
                  </c:pt>
                  <c:pt idx="94">
                    <c:v>06/18/1991</c:v>
                  </c:pt>
                  <c:pt idx="95">
                    <c:v>06/23/1991</c:v>
                  </c:pt>
                  <c:pt idx="96">
                    <c:v>07/04/1991</c:v>
                  </c:pt>
                  <c:pt idx="97">
                    <c:v>07/18/1991</c:v>
                  </c:pt>
                  <c:pt idx="98">
                    <c:v>07/18/1991</c:v>
                  </c:pt>
                  <c:pt idx="99">
                    <c:v>07/29/1991</c:v>
                  </c:pt>
                  <c:pt idx="100">
                    <c:v>08/13/1991</c:v>
                  </c:pt>
                  <c:pt idx="101">
                    <c:v>08/21/1991</c:v>
                  </c:pt>
                  <c:pt idx="102">
                    <c:v>08/25/1991</c:v>
                  </c:pt>
                  <c:pt idx="103">
                    <c:v>09/05/1991</c:v>
                  </c:pt>
                  <c:pt idx="104">
                    <c:v>09/16/1991</c:v>
                  </c:pt>
                  <c:pt idx="105">
                    <c:v>09/28/1991</c:v>
                  </c:pt>
                  <c:pt idx="106">
                    <c:v>09/29/1991</c:v>
                  </c:pt>
                  <c:pt idx="107">
                    <c:v>10/03/1991</c:v>
                  </c:pt>
                  <c:pt idx="108">
                    <c:v>05/21/1992</c:v>
                  </c:pt>
                  <c:pt idx="109">
                    <c:v>05/28/1992</c:v>
                  </c:pt>
                  <c:pt idx="110">
                    <c:v>05/31/1992</c:v>
                  </c:pt>
                  <c:pt idx="111">
                    <c:v>06/07/1992</c:v>
                  </c:pt>
                  <c:pt idx="112">
                    <c:v>06/11/1992</c:v>
                  </c:pt>
                  <c:pt idx="113">
                    <c:v>06/21/1992</c:v>
                  </c:pt>
                  <c:pt idx="114">
                    <c:v>06/30/1992</c:v>
                  </c:pt>
                  <c:pt idx="115">
                    <c:v>07/08/1992</c:v>
                  </c:pt>
                  <c:pt idx="116">
                    <c:v>07/14/1992</c:v>
                  </c:pt>
                  <c:pt idx="117">
                    <c:v>07/20/1992</c:v>
                  </c:pt>
                  <c:pt idx="118">
                    <c:v>07/27/1992</c:v>
                  </c:pt>
                  <c:pt idx="119">
                    <c:v>07/30/1992</c:v>
                  </c:pt>
                  <c:pt idx="120">
                    <c:v>08/10/1992</c:v>
                  </c:pt>
                  <c:pt idx="121">
                    <c:v>08/13/1992</c:v>
                  </c:pt>
                  <c:pt idx="122">
                    <c:v>08/24/1992</c:v>
                  </c:pt>
                  <c:pt idx="123">
                    <c:v>09/07/1992</c:v>
                  </c:pt>
                  <c:pt idx="124">
                    <c:v>09/14/1992</c:v>
                  </c:pt>
                  <c:pt idx="125">
                    <c:v>09/15/1992</c:v>
                  </c:pt>
                  <c:pt idx="126">
                    <c:v>09/30/1992</c:v>
                  </c:pt>
                  <c:pt idx="127">
                    <c:v>10/10/1992</c:v>
                  </c:pt>
                  <c:pt idx="128">
                    <c:v>10/20/1992</c:v>
                  </c:pt>
                  <c:pt idx="129">
                    <c:v>10/31/1992</c:v>
                  </c:pt>
                  <c:pt idx="130">
                    <c:v>11/14/1992</c:v>
                  </c:pt>
                  <c:pt idx="131">
                    <c:v>06/26/1994</c:v>
                  </c:pt>
                  <c:pt idx="132">
                    <c:v>08/27/1994</c:v>
                  </c:pt>
                  <c:pt idx="133">
                    <c:v>05/20/1995</c:v>
                  </c:pt>
                  <c:pt idx="134">
                    <c:v>05/26/1995</c:v>
                  </c:pt>
                  <c:pt idx="135">
                    <c:v>06/10/1995</c:v>
                  </c:pt>
                  <c:pt idx="136">
                    <c:v>06/29/1995</c:v>
                  </c:pt>
                  <c:pt idx="137">
                    <c:v>07/31/1995</c:v>
                  </c:pt>
                  <c:pt idx="138">
                    <c:v>08/14/1995</c:v>
                  </c:pt>
                  <c:pt idx="139">
                    <c:v>08/28/1995</c:v>
                  </c:pt>
                  <c:pt idx="140">
                    <c:v>09/12/1995</c:v>
                  </c:pt>
                  <c:pt idx="141">
                    <c:v>09/24/1995</c:v>
                  </c:pt>
                  <c:pt idx="142">
                    <c:v>06/14/1996</c:v>
                  </c:pt>
                  <c:pt idx="143">
                    <c:v>06/29/1996</c:v>
                  </c:pt>
                  <c:pt idx="144">
                    <c:v>07/13/1996</c:v>
                  </c:pt>
                  <c:pt idx="145">
                    <c:v>07/25/1996</c:v>
                  </c:pt>
                  <c:pt idx="146">
                    <c:v>08/08/1996</c:v>
                  </c:pt>
                  <c:pt idx="147">
                    <c:v>08/15/1996</c:v>
                  </c:pt>
                  <c:pt idx="148">
                    <c:v>09/01/1996</c:v>
                  </c:pt>
                  <c:pt idx="149">
                    <c:v>09/17/1996</c:v>
                  </c:pt>
                  <c:pt idx="150">
                    <c:v>10/02/1996</c:v>
                  </c:pt>
                  <c:pt idx="151">
                    <c:v>10/08/1996</c:v>
                  </c:pt>
                  <c:pt idx="152">
                    <c:v>06/28/1997</c:v>
                  </c:pt>
                  <c:pt idx="153">
                    <c:v>07/12/1997</c:v>
                  </c:pt>
                  <c:pt idx="154">
                    <c:v>07/24/1997</c:v>
                  </c:pt>
                  <c:pt idx="155">
                    <c:v>08/08/1997</c:v>
                  </c:pt>
                  <c:pt idx="156">
                    <c:v>08/12/1997</c:v>
                  </c:pt>
                  <c:pt idx="157">
                    <c:v>08/12/1997</c:v>
                  </c:pt>
                  <c:pt idx="158">
                    <c:v>08/12/1997</c:v>
                  </c:pt>
                  <c:pt idx="159">
                    <c:v>08/26/1997</c:v>
                  </c:pt>
                  <c:pt idx="160">
                    <c:v>09/14/1997</c:v>
                  </c:pt>
                  <c:pt idx="161">
                    <c:v>09/28/1997</c:v>
                  </c:pt>
                  <c:pt idx="162">
                    <c:v>10/13/1997</c:v>
                  </c:pt>
                  <c:pt idx="163">
                    <c:v>10/23/1997</c:v>
                  </c:pt>
                  <c:pt idx="164">
                    <c:v>05/14/1998</c:v>
                  </c:pt>
                  <c:pt idx="165">
                    <c:v>06/02/1998</c:v>
                  </c:pt>
                  <c:pt idx="166">
                    <c:v>06/18/1998</c:v>
                  </c:pt>
                  <c:pt idx="167">
                    <c:v>07/06/1998</c:v>
                  </c:pt>
                  <c:pt idx="168">
                    <c:v>07/30/1998</c:v>
                  </c:pt>
                  <c:pt idx="169">
                    <c:v>08/04/1998</c:v>
                  </c:pt>
                  <c:pt idx="170">
                    <c:v>08/15/1998</c:v>
                  </c:pt>
                  <c:pt idx="171">
                    <c:v>09/03/1998</c:v>
                  </c:pt>
                  <c:pt idx="172">
                    <c:v>09/17/1998</c:v>
                  </c:pt>
                  <c:pt idx="173">
                    <c:v>09/26/1998</c:v>
                  </c:pt>
                  <c:pt idx="174">
                    <c:v>10/09/1998</c:v>
                  </c:pt>
                  <c:pt idx="175">
                    <c:v>05/17/1999</c:v>
                  </c:pt>
                  <c:pt idx="176">
                    <c:v>06/09/1999</c:v>
                  </c:pt>
                  <c:pt idx="177">
                    <c:v>06/22/1999</c:v>
                  </c:pt>
                  <c:pt idx="178">
                    <c:v>07/06/1999</c:v>
                  </c:pt>
                  <c:pt idx="179">
                    <c:v>07/22/1999</c:v>
                  </c:pt>
                  <c:pt idx="180">
                    <c:v>08/06/1999</c:v>
                  </c:pt>
                  <c:pt idx="181">
                    <c:v>08/23/1999</c:v>
                  </c:pt>
                  <c:pt idx="182">
                    <c:v>09/15/1999</c:v>
                  </c:pt>
                  <c:pt idx="183">
                    <c:v>10/01/1999</c:v>
                  </c:pt>
                  <c:pt idx="184">
                    <c:v>05/16/2000</c:v>
                  </c:pt>
                  <c:pt idx="185">
                    <c:v>05/30/2000</c:v>
                  </c:pt>
                  <c:pt idx="186">
                    <c:v>06/12/2000</c:v>
                  </c:pt>
                  <c:pt idx="187">
                    <c:v>06/13/2000</c:v>
                  </c:pt>
                  <c:pt idx="188">
                    <c:v>07/03/2000</c:v>
                  </c:pt>
                  <c:pt idx="189">
                    <c:v>07/21/2000</c:v>
                  </c:pt>
                  <c:pt idx="190">
                    <c:v>08/08/2000</c:v>
                  </c:pt>
                  <c:pt idx="191">
                    <c:v>08/14/2000</c:v>
                  </c:pt>
                  <c:pt idx="192">
                    <c:v>08/22/2000</c:v>
                  </c:pt>
                  <c:pt idx="193">
                    <c:v>09/20/2000</c:v>
                  </c:pt>
                  <c:pt idx="194">
                    <c:v>10/03/2000</c:v>
                  </c:pt>
                  <c:pt idx="195">
                    <c:v>05/09/2001</c:v>
                  </c:pt>
                  <c:pt idx="196">
                    <c:v>05/26/2001</c:v>
                  </c:pt>
                  <c:pt idx="197">
                    <c:v>06/08/2001</c:v>
                  </c:pt>
                  <c:pt idx="198">
                    <c:v>06/25/2001</c:v>
                  </c:pt>
                  <c:pt idx="199">
                    <c:v>07/03/2001</c:v>
                  </c:pt>
                  <c:pt idx="200">
                    <c:v>07/18/2001</c:v>
                  </c:pt>
                  <c:pt idx="201">
                    <c:v>07/31/2001</c:v>
                  </c:pt>
                  <c:pt idx="202">
                    <c:v>08/14/2001</c:v>
                  </c:pt>
                  <c:pt idx="203">
                    <c:v>08/30/2001</c:v>
                  </c:pt>
                  <c:pt idx="204">
                    <c:v>09/19/2001</c:v>
                  </c:pt>
                  <c:pt idx="205">
                    <c:v>10/03/2001</c:v>
                  </c:pt>
                  <c:pt idx="206">
                    <c:v>10/16/2001</c:v>
                  </c:pt>
                  <c:pt idx="207">
                    <c:v>05/18/2002</c:v>
                  </c:pt>
                  <c:pt idx="208">
                    <c:v>06/06/2002</c:v>
                  </c:pt>
                  <c:pt idx="209">
                    <c:v>06/20/2002</c:v>
                  </c:pt>
                  <c:pt idx="210">
                    <c:v>07/14/2002</c:v>
                  </c:pt>
                  <c:pt idx="211">
                    <c:v>08/05/2002</c:v>
                  </c:pt>
                  <c:pt idx="212">
                    <c:v>08/21/2002</c:v>
                  </c:pt>
                  <c:pt idx="213">
                    <c:v>09/02/2002</c:v>
                  </c:pt>
                  <c:pt idx="214">
                    <c:v>09/12/2002</c:v>
                  </c:pt>
                  <c:pt idx="215">
                    <c:v>05/28/2003</c:v>
                  </c:pt>
                  <c:pt idx="216">
                    <c:v>06/03/2003</c:v>
                  </c:pt>
                  <c:pt idx="217">
                    <c:v>06/17/2003</c:v>
                  </c:pt>
                  <c:pt idx="218">
                    <c:v>06/26/2003</c:v>
                  </c:pt>
                  <c:pt idx="219">
                    <c:v>07/15/2003</c:v>
                  </c:pt>
                  <c:pt idx="220">
                    <c:v>07/31/2003</c:v>
                  </c:pt>
                  <c:pt idx="221">
                    <c:v>08/14/2003</c:v>
                  </c:pt>
                  <c:pt idx="222">
                    <c:v>08/21/2003</c:v>
                  </c:pt>
                  <c:pt idx="223">
                    <c:v>08/24/2003</c:v>
                  </c:pt>
                  <c:pt idx="224">
                    <c:v>09/02/2003</c:v>
                  </c:pt>
                  <c:pt idx="225">
                    <c:v>09/17/2003</c:v>
                  </c:pt>
                  <c:pt idx="226">
                    <c:v>09/30/2003</c:v>
                  </c:pt>
                  <c:pt idx="227">
                    <c:v>10/09/2003</c:v>
                  </c:pt>
                  <c:pt idx="228">
                    <c:v>05/31/2004</c:v>
                  </c:pt>
                  <c:pt idx="229">
                    <c:v>06/03/2004</c:v>
                  </c:pt>
                  <c:pt idx="230">
                    <c:v>06/03/2004</c:v>
                  </c:pt>
                  <c:pt idx="231">
                    <c:v>06/29/2004</c:v>
                  </c:pt>
                  <c:pt idx="232">
                    <c:v>07/01/2004</c:v>
                  </c:pt>
                  <c:pt idx="233">
                    <c:v>07/01/2004</c:v>
                  </c:pt>
                  <c:pt idx="234">
                    <c:v>07/12/2004</c:v>
                  </c:pt>
                  <c:pt idx="235">
                    <c:v>08/04/2004</c:v>
                  </c:pt>
                  <c:pt idx="236">
                    <c:v>08/06/2004</c:v>
                  </c:pt>
                  <c:pt idx="237">
                    <c:v>08/17/2004</c:v>
                  </c:pt>
                  <c:pt idx="238">
                    <c:v>08/24/2004</c:v>
                  </c:pt>
                  <c:pt idx="239">
                    <c:v>09/07/2004</c:v>
                  </c:pt>
                  <c:pt idx="240">
                    <c:v>05/31/2005</c:v>
                  </c:pt>
                  <c:pt idx="241">
                    <c:v>06/15/2005</c:v>
                  </c:pt>
                  <c:pt idx="242">
                    <c:v>07/07/2005</c:v>
                  </c:pt>
                  <c:pt idx="243">
                    <c:v>07/21/2005</c:v>
                  </c:pt>
                  <c:pt idx="244">
                    <c:v>08/02/2005</c:v>
                  </c:pt>
                  <c:pt idx="245">
                    <c:v>08/19/2005</c:v>
                  </c:pt>
                  <c:pt idx="246">
                    <c:v>08/19/2005</c:v>
                  </c:pt>
                  <c:pt idx="247">
                    <c:v>08/30/2005</c:v>
                  </c:pt>
                  <c:pt idx="248">
                    <c:v>09/16/2005</c:v>
                  </c:pt>
                  <c:pt idx="249">
                    <c:v>05/26/2006</c:v>
                  </c:pt>
                  <c:pt idx="250">
                    <c:v>06/15/2006</c:v>
                  </c:pt>
                  <c:pt idx="251">
                    <c:v>07/01/2006</c:v>
                  </c:pt>
                  <c:pt idx="252">
                    <c:v>07/10/2006</c:v>
                  </c:pt>
                  <c:pt idx="253">
                    <c:v>07/19/2006</c:v>
                  </c:pt>
                  <c:pt idx="254">
                    <c:v>07/31/2006</c:v>
                  </c:pt>
                  <c:pt idx="255">
                    <c:v>08/16/2006</c:v>
                  </c:pt>
                  <c:pt idx="256">
                    <c:v>09/02/2006</c:v>
                  </c:pt>
                  <c:pt idx="257">
                    <c:v>09/27/2006</c:v>
                  </c:pt>
                  <c:pt idx="258">
                    <c:v>05/24/2007</c:v>
                  </c:pt>
                  <c:pt idx="259">
                    <c:v>06/08/2007</c:v>
                  </c:pt>
                  <c:pt idx="260">
                    <c:v>06/16/2007</c:v>
                  </c:pt>
                  <c:pt idx="261">
                    <c:v>06/28/2007</c:v>
                  </c:pt>
                  <c:pt idx="262">
                    <c:v>07/14/2007</c:v>
                  </c:pt>
                  <c:pt idx="263">
                    <c:v>07/24/2007</c:v>
                  </c:pt>
                  <c:pt idx="264">
                    <c:v>08/11/2007</c:v>
                  </c:pt>
                  <c:pt idx="265">
                    <c:v>08/22/2007</c:v>
                  </c:pt>
                  <c:pt idx="266">
                    <c:v>09/10/2007</c:v>
                  </c:pt>
                  <c:pt idx="267">
                    <c:v>08/05/2008</c:v>
                  </c:pt>
                  <c:pt idx="268">
                    <c:v>08/22/2008</c:v>
                  </c:pt>
                  <c:pt idx="269">
                    <c:v>09/16/2008</c:v>
                  </c:pt>
                  <c:pt idx="270">
                    <c:v>06/14/2009</c:v>
                  </c:pt>
                  <c:pt idx="271">
                    <c:v>07/10/2009</c:v>
                  </c:pt>
                  <c:pt idx="272">
                    <c:v>07/10/2009</c:v>
                  </c:pt>
                  <c:pt idx="273">
                    <c:v>07/28/2009</c:v>
                  </c:pt>
                  <c:pt idx="274">
                    <c:v>08/19/2009</c:v>
                  </c:pt>
                  <c:pt idx="275">
                    <c:v>08/20/2009</c:v>
                  </c:pt>
                  <c:pt idx="276">
                    <c:v>08/28/2009</c:v>
                  </c:pt>
                  <c:pt idx="277">
                    <c:v>09/10/2009</c:v>
                  </c:pt>
                  <c:pt idx="278">
                    <c:v>08/22/2016</c:v>
                  </c:pt>
                  <c:pt idx="279">
                    <c:v>08/22/2016</c:v>
                  </c:pt>
                  <c:pt idx="280">
                    <c:v>09/18/2017</c:v>
                  </c:pt>
                  <c:pt idx="281">
                    <c:v>07/03/2018</c:v>
                  </c:pt>
                  <c:pt idx="282">
                    <c:v>07/03/2018</c:v>
                  </c:pt>
                  <c:pt idx="283">
                    <c:v>07/16/2018</c:v>
                  </c:pt>
                  <c:pt idx="284">
                    <c:v>08/01/2018</c:v>
                  </c:pt>
                  <c:pt idx="285">
                    <c:v>08/13/2018</c:v>
                  </c:pt>
                  <c:pt idx="286">
                    <c:v>08/22/2018</c:v>
                  </c:pt>
                  <c:pt idx="287">
                    <c:v>08/29/2018</c:v>
                  </c:pt>
                  <c:pt idx="288">
                    <c:v>09/14/2018</c:v>
                  </c:pt>
                  <c:pt idx="289">
                    <c:v>09/14/2018</c:v>
                  </c:pt>
                  <c:pt idx="290">
                    <c:v>10/08/2018</c:v>
                  </c:pt>
                  <c:pt idx="291">
                    <c:v>05/13/2019</c:v>
                  </c:pt>
                  <c:pt idx="292">
                    <c:v>05/25/2019</c:v>
                  </c:pt>
                  <c:pt idx="293">
                    <c:v>06/06/2019</c:v>
                  </c:pt>
                  <c:pt idx="294">
                    <c:v>06/21/2019</c:v>
                  </c:pt>
                  <c:pt idx="295">
                    <c:v>07/04/2019</c:v>
                  </c:pt>
                  <c:pt idx="296">
                    <c:v>07/18/2019</c:v>
                  </c:pt>
                  <c:pt idx="297">
                    <c:v>08/01/2019</c:v>
                  </c:pt>
                  <c:pt idx="298">
                    <c:v>08/14/2019</c:v>
                  </c:pt>
                  <c:pt idx="299">
                    <c:v>08/28/2019</c:v>
                  </c:pt>
                  <c:pt idx="300">
                    <c:v>08/28/2019</c:v>
                  </c:pt>
                  <c:pt idx="301">
                    <c:v>08/28/2019</c:v>
                  </c:pt>
                  <c:pt idx="302">
                    <c:v>09/13/2019</c:v>
                  </c:pt>
                  <c:pt idx="303">
                    <c:v>09/19/2019</c:v>
                  </c:pt>
                  <c:pt idx="304">
                    <c:v>09/25/2019</c:v>
                  </c:pt>
                  <c:pt idx="305">
                    <c:v>10/09/2019</c:v>
                  </c:pt>
                  <c:pt idx="306">
                    <c:v>10/21/2019</c:v>
                  </c:pt>
                  <c:pt idx="307">
                    <c:v>11/02/2019</c:v>
                  </c:pt>
                </c:lvl>
              </c:multiLvlStrCache>
            </c:multiLvlStrRef>
          </c:xVal>
          <c:yVal>
            <c:numRef>
              <c:f>'SDT-Station1 '!$O$2:$O$309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3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F74-40B4-A9AC-362A09742C27}"/>
            </c:ext>
          </c:extLst>
        </c:ser>
        <c:ser>
          <c:idx val="9"/>
          <c:order val="9"/>
          <c:tx>
            <c:v>Station 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'SDT-Stations2&amp;3'!$D$2:$F$307</c:f>
              <c:numCache>
                <c:formatCode>m/d/yy</c:formatCode>
                <c:ptCount val="306"/>
                <c:pt idx="0">
                  <c:v>31834</c:v>
                </c:pt>
                <c:pt idx="1">
                  <c:v>31906</c:v>
                </c:pt>
                <c:pt idx="2">
                  <c:v>31925</c:v>
                </c:pt>
                <c:pt idx="3">
                  <c:v>31937</c:v>
                </c:pt>
                <c:pt idx="4">
                  <c:v>31951</c:v>
                </c:pt>
                <c:pt idx="5">
                  <c:v>31971</c:v>
                </c:pt>
                <c:pt idx="6">
                  <c:v>31987</c:v>
                </c:pt>
                <c:pt idx="7">
                  <c:v>32001</c:v>
                </c:pt>
                <c:pt idx="8">
                  <c:v>32015</c:v>
                </c:pt>
                <c:pt idx="9">
                  <c:v>32035</c:v>
                </c:pt>
                <c:pt idx="10">
                  <c:v>32048</c:v>
                </c:pt>
                <c:pt idx="11">
                  <c:v>32065</c:v>
                </c:pt>
                <c:pt idx="12">
                  <c:v>33829</c:v>
                </c:pt>
                <c:pt idx="13">
                  <c:v>38913</c:v>
                </c:pt>
                <c:pt idx="14">
                  <c:v>38913</c:v>
                </c:pt>
                <c:pt idx="15">
                  <c:v>43284</c:v>
                </c:pt>
                <c:pt idx="16">
                  <c:v>43284</c:v>
                </c:pt>
                <c:pt idx="17">
                  <c:v>43297</c:v>
                </c:pt>
                <c:pt idx="18">
                  <c:v>43313</c:v>
                </c:pt>
                <c:pt idx="19">
                  <c:v>43325</c:v>
                </c:pt>
                <c:pt idx="20">
                  <c:v>43341</c:v>
                </c:pt>
                <c:pt idx="21">
                  <c:v>43357</c:v>
                </c:pt>
                <c:pt idx="22">
                  <c:v>43357</c:v>
                </c:pt>
                <c:pt idx="23">
                  <c:v>43381</c:v>
                </c:pt>
                <c:pt idx="24">
                  <c:v>43598</c:v>
                </c:pt>
                <c:pt idx="25">
                  <c:v>43610</c:v>
                </c:pt>
                <c:pt idx="26">
                  <c:v>43622</c:v>
                </c:pt>
                <c:pt idx="27">
                  <c:v>43637</c:v>
                </c:pt>
                <c:pt idx="28">
                  <c:v>43651</c:v>
                </c:pt>
                <c:pt idx="29">
                  <c:v>43664</c:v>
                </c:pt>
                <c:pt idx="30">
                  <c:v>43678</c:v>
                </c:pt>
                <c:pt idx="31">
                  <c:v>43691</c:v>
                </c:pt>
                <c:pt idx="32">
                  <c:v>43705</c:v>
                </c:pt>
                <c:pt idx="33">
                  <c:v>43721</c:v>
                </c:pt>
                <c:pt idx="34">
                  <c:v>43727</c:v>
                </c:pt>
                <c:pt idx="35">
                  <c:v>43733</c:v>
                </c:pt>
                <c:pt idx="36">
                  <c:v>43747</c:v>
                </c:pt>
                <c:pt idx="37">
                  <c:v>43759</c:v>
                </c:pt>
                <c:pt idx="38">
                  <c:v>43771</c:v>
                </c:pt>
              </c:numCache>
            </c:numRef>
          </c:xVal>
          <c:yVal>
            <c:numRef>
              <c:f>'SDT-Stations2&amp;3'!$P$2:$P$307</c:f>
              <c:numCache>
                <c:formatCode>General</c:formatCode>
                <c:ptCount val="306"/>
                <c:pt idx="0">
                  <c:v>2.9</c:v>
                </c:pt>
                <c:pt idx="1">
                  <c:v>2.8</c:v>
                </c:pt>
                <c:pt idx="2">
                  <c:v>4</c:v>
                </c:pt>
                <c:pt idx="3">
                  <c:v>3</c:v>
                </c:pt>
                <c:pt idx="4">
                  <c:v>3.4</c:v>
                </c:pt>
                <c:pt idx="5">
                  <c:v>3.7</c:v>
                </c:pt>
                <c:pt idx="6">
                  <c:v>2.4</c:v>
                </c:pt>
                <c:pt idx="7">
                  <c:v>2</c:v>
                </c:pt>
                <c:pt idx="8">
                  <c:v>1.7</c:v>
                </c:pt>
                <c:pt idx="9">
                  <c:v>1.5</c:v>
                </c:pt>
                <c:pt idx="10">
                  <c:v>1.9</c:v>
                </c:pt>
                <c:pt idx="11">
                  <c:v>2.1</c:v>
                </c:pt>
                <c:pt idx="12">
                  <c:v>2.5</c:v>
                </c:pt>
                <c:pt idx="13">
                  <c:v>2.31</c:v>
                </c:pt>
                <c:pt idx="14">
                  <c:v>2.29</c:v>
                </c:pt>
                <c:pt idx="15">
                  <c:v>3.05</c:v>
                </c:pt>
                <c:pt idx="16">
                  <c:v>3.07</c:v>
                </c:pt>
                <c:pt idx="17">
                  <c:v>4.54</c:v>
                </c:pt>
                <c:pt idx="18">
                  <c:v>4.74</c:v>
                </c:pt>
                <c:pt idx="19">
                  <c:v>3.43</c:v>
                </c:pt>
                <c:pt idx="20">
                  <c:v>3.13</c:v>
                </c:pt>
                <c:pt idx="21">
                  <c:v>3.03</c:v>
                </c:pt>
                <c:pt idx="22">
                  <c:v>3.13</c:v>
                </c:pt>
                <c:pt idx="23">
                  <c:v>2.73</c:v>
                </c:pt>
                <c:pt idx="24">
                  <c:v>2.56</c:v>
                </c:pt>
                <c:pt idx="25">
                  <c:v>3.45</c:v>
                </c:pt>
                <c:pt idx="26">
                  <c:v>3.65</c:v>
                </c:pt>
                <c:pt idx="27" formatCode="0.00">
                  <c:v>4.25</c:v>
                </c:pt>
                <c:pt idx="28" formatCode="0.00">
                  <c:v>3.46</c:v>
                </c:pt>
                <c:pt idx="29" formatCode="0.00">
                  <c:v>3.83</c:v>
                </c:pt>
                <c:pt idx="30" formatCode="0.00">
                  <c:v>4.28</c:v>
                </c:pt>
                <c:pt idx="31" formatCode="0.00">
                  <c:v>2.3199999999999998</c:v>
                </c:pt>
                <c:pt idx="32" formatCode="0.00">
                  <c:v>3.28</c:v>
                </c:pt>
                <c:pt idx="33" formatCode="0.00">
                  <c:v>1.88</c:v>
                </c:pt>
                <c:pt idx="34" formatCode="0.00">
                  <c:v>1.79</c:v>
                </c:pt>
                <c:pt idx="35" formatCode="0.00">
                  <c:v>1.84</c:v>
                </c:pt>
                <c:pt idx="36" formatCode="0.00">
                  <c:v>2.62</c:v>
                </c:pt>
                <c:pt idx="37" formatCode="0.00">
                  <c:v>3.2</c:v>
                </c:pt>
                <c:pt idx="38" formatCode="0.00">
                  <c:v>2.0699999999999998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74-40B4-A9AC-362A09742C27}"/>
            </c:ext>
          </c:extLst>
        </c:ser>
        <c:ser>
          <c:idx val="10"/>
          <c:order val="10"/>
          <c:tx>
            <c:v>Station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'SDT-Stations2&amp;3'!$D$2:$D$28</c:f>
              <c:numCache>
                <c:formatCode>m/d/yy</c:formatCode>
                <c:ptCount val="27"/>
                <c:pt idx="0">
                  <c:v>31834</c:v>
                </c:pt>
                <c:pt idx="1">
                  <c:v>31906</c:v>
                </c:pt>
                <c:pt idx="2">
                  <c:v>31925</c:v>
                </c:pt>
                <c:pt idx="3">
                  <c:v>31937</c:v>
                </c:pt>
                <c:pt idx="4">
                  <c:v>31951</c:v>
                </c:pt>
                <c:pt idx="5">
                  <c:v>31971</c:v>
                </c:pt>
                <c:pt idx="6">
                  <c:v>31987</c:v>
                </c:pt>
                <c:pt idx="7">
                  <c:v>32001</c:v>
                </c:pt>
                <c:pt idx="8">
                  <c:v>32015</c:v>
                </c:pt>
                <c:pt idx="9">
                  <c:v>32035</c:v>
                </c:pt>
                <c:pt idx="10">
                  <c:v>32048</c:v>
                </c:pt>
                <c:pt idx="11">
                  <c:v>32065</c:v>
                </c:pt>
                <c:pt idx="12">
                  <c:v>33829</c:v>
                </c:pt>
                <c:pt idx="13">
                  <c:v>38913</c:v>
                </c:pt>
                <c:pt idx="14">
                  <c:v>38913</c:v>
                </c:pt>
                <c:pt idx="15">
                  <c:v>43284</c:v>
                </c:pt>
                <c:pt idx="16">
                  <c:v>43284</c:v>
                </c:pt>
                <c:pt idx="17">
                  <c:v>43297</c:v>
                </c:pt>
                <c:pt idx="18">
                  <c:v>43313</c:v>
                </c:pt>
                <c:pt idx="19">
                  <c:v>43325</c:v>
                </c:pt>
                <c:pt idx="20">
                  <c:v>43341</c:v>
                </c:pt>
                <c:pt idx="21">
                  <c:v>43357</c:v>
                </c:pt>
                <c:pt idx="22">
                  <c:v>43357</c:v>
                </c:pt>
                <c:pt idx="23">
                  <c:v>43381</c:v>
                </c:pt>
                <c:pt idx="24">
                  <c:v>43598</c:v>
                </c:pt>
                <c:pt idx="25">
                  <c:v>43610</c:v>
                </c:pt>
                <c:pt idx="26">
                  <c:v>43622</c:v>
                </c:pt>
              </c:numCache>
            </c:numRef>
          </c:xVal>
          <c:yVal>
            <c:numRef>
              <c:f>'SDT-Stations2&amp;3'!$P$2:$P$28</c:f>
              <c:numCache>
                <c:formatCode>General</c:formatCode>
                <c:ptCount val="27"/>
                <c:pt idx="0">
                  <c:v>2.9</c:v>
                </c:pt>
                <c:pt idx="1">
                  <c:v>2.8</c:v>
                </c:pt>
                <c:pt idx="2">
                  <c:v>4</c:v>
                </c:pt>
                <c:pt idx="3">
                  <c:v>3</c:v>
                </c:pt>
                <c:pt idx="4">
                  <c:v>3.4</c:v>
                </c:pt>
                <c:pt idx="5">
                  <c:v>3.7</c:v>
                </c:pt>
                <c:pt idx="6">
                  <c:v>2.4</c:v>
                </c:pt>
                <c:pt idx="7">
                  <c:v>2</c:v>
                </c:pt>
                <c:pt idx="8">
                  <c:v>1.7</c:v>
                </c:pt>
                <c:pt idx="9">
                  <c:v>1.5</c:v>
                </c:pt>
                <c:pt idx="10">
                  <c:v>1.9</c:v>
                </c:pt>
                <c:pt idx="11">
                  <c:v>2.1</c:v>
                </c:pt>
                <c:pt idx="12">
                  <c:v>2.5</c:v>
                </c:pt>
                <c:pt idx="13">
                  <c:v>2.31</c:v>
                </c:pt>
                <c:pt idx="14">
                  <c:v>2.29</c:v>
                </c:pt>
                <c:pt idx="15">
                  <c:v>3.05</c:v>
                </c:pt>
                <c:pt idx="16">
                  <c:v>3.07</c:v>
                </c:pt>
                <c:pt idx="17">
                  <c:v>4.54</c:v>
                </c:pt>
                <c:pt idx="18">
                  <c:v>4.74</c:v>
                </c:pt>
                <c:pt idx="19">
                  <c:v>3.43</c:v>
                </c:pt>
                <c:pt idx="20">
                  <c:v>3.13</c:v>
                </c:pt>
                <c:pt idx="21">
                  <c:v>3.03</c:v>
                </c:pt>
                <c:pt idx="22">
                  <c:v>3.13</c:v>
                </c:pt>
                <c:pt idx="23">
                  <c:v>2.73</c:v>
                </c:pt>
                <c:pt idx="24">
                  <c:v>2.56</c:v>
                </c:pt>
                <c:pt idx="25">
                  <c:v>3.45</c:v>
                </c:pt>
                <c:pt idx="26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F74-40B4-A9AC-362A09742C27}"/>
            </c:ext>
          </c:extLst>
        </c:ser>
        <c:ser>
          <c:idx val="11"/>
          <c:order val="11"/>
          <c:tx>
            <c:v>Station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'SDT-Stations2&amp;3'!$D$29:$D$40</c:f>
              <c:numCache>
                <c:formatCode>m/d/yy</c:formatCode>
                <c:ptCount val="12"/>
                <c:pt idx="0">
                  <c:v>43637</c:v>
                </c:pt>
                <c:pt idx="1">
                  <c:v>43651</c:v>
                </c:pt>
                <c:pt idx="2">
                  <c:v>43664</c:v>
                </c:pt>
                <c:pt idx="3">
                  <c:v>43678</c:v>
                </c:pt>
                <c:pt idx="4">
                  <c:v>43691</c:v>
                </c:pt>
                <c:pt idx="5">
                  <c:v>43705</c:v>
                </c:pt>
                <c:pt idx="6">
                  <c:v>43721</c:v>
                </c:pt>
                <c:pt idx="7">
                  <c:v>43727</c:v>
                </c:pt>
                <c:pt idx="8">
                  <c:v>43733</c:v>
                </c:pt>
                <c:pt idx="9">
                  <c:v>43747</c:v>
                </c:pt>
                <c:pt idx="10">
                  <c:v>43759</c:v>
                </c:pt>
                <c:pt idx="11">
                  <c:v>43771</c:v>
                </c:pt>
              </c:numCache>
            </c:numRef>
          </c:xVal>
          <c:yVal>
            <c:numRef>
              <c:f>'SDT-Stations2&amp;3'!$P$29:$P$40</c:f>
              <c:numCache>
                <c:formatCode>0.00</c:formatCode>
                <c:ptCount val="12"/>
                <c:pt idx="0">
                  <c:v>4.25</c:v>
                </c:pt>
                <c:pt idx="1">
                  <c:v>3.46</c:v>
                </c:pt>
                <c:pt idx="2">
                  <c:v>3.83</c:v>
                </c:pt>
                <c:pt idx="3">
                  <c:v>4.28</c:v>
                </c:pt>
                <c:pt idx="4">
                  <c:v>2.3199999999999998</c:v>
                </c:pt>
                <c:pt idx="5">
                  <c:v>3.28</c:v>
                </c:pt>
                <c:pt idx="6">
                  <c:v>1.88</c:v>
                </c:pt>
                <c:pt idx="7">
                  <c:v>1.79</c:v>
                </c:pt>
                <c:pt idx="8">
                  <c:v>1.84</c:v>
                </c:pt>
                <c:pt idx="9">
                  <c:v>2.62</c:v>
                </c:pt>
                <c:pt idx="10">
                  <c:v>3.2</c:v>
                </c:pt>
                <c:pt idx="11">
                  <c:v>2.0699999999999998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F74-40B4-A9AC-362A0974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87872"/>
        <c:axId val="480591152"/>
      </c:scatterChart>
      <c:valAx>
        <c:axId val="480587872"/>
        <c:scaling>
          <c:orientation val="minMax"/>
          <c:max val="44196"/>
          <c:min val="2958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91152"/>
        <c:crosses val="autoZero"/>
        <c:crossBetween val="midCat"/>
      </c:valAx>
      <c:valAx>
        <c:axId val="480591152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Cross Lake (MIDAS 1674) Annual Average, Minimum, &amp; Maximum Water Clarity (SDT) 1981-2019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'SDT-Stations2&amp;3'!$AC$1:$AC$2</c:f>
              <c:strCache>
                <c:ptCount val="2"/>
                <c:pt idx="0">
                  <c:v>SDT - STATION #2</c:v>
                </c:pt>
                <c:pt idx="1">
                  <c:v>annual avg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'SDT-Stations2&amp;3'!$AC$3:$AC$41</c:f>
              <c:numCache>
                <c:formatCode>0.00</c:formatCode>
                <c:ptCount val="39"/>
                <c:pt idx="6">
                  <c:v>2.6166666666666663</c:v>
                </c:pt>
                <c:pt idx="11">
                  <c:v>2.5</c:v>
                </c:pt>
                <c:pt idx="25">
                  <c:v>2.2999999999999998</c:v>
                </c:pt>
                <c:pt idx="37">
                  <c:v>3.6083333333333338</c:v>
                </c:pt>
                <c:pt idx="38">
                  <c:v>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7-4A43-9945-6D4B7C35081B}"/>
            </c:ext>
          </c:extLst>
        </c:ser>
        <c:ser>
          <c:idx val="4"/>
          <c:order val="4"/>
          <c:tx>
            <c:strRef>
              <c:f>'SDT-Stations2&amp;3'!$AD$1:$AD$2</c:f>
              <c:strCache>
                <c:ptCount val="2"/>
                <c:pt idx="0">
                  <c:v>SDT - STATION #2</c:v>
                </c:pt>
                <c:pt idx="1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'SDT-Stations2&amp;3'!$AD$3:$AD$41</c:f>
              <c:numCache>
                <c:formatCode>0.00</c:formatCode>
                <c:ptCount val="39"/>
                <c:pt idx="6">
                  <c:v>1.5</c:v>
                </c:pt>
                <c:pt idx="11">
                  <c:v>2.5</c:v>
                </c:pt>
                <c:pt idx="25">
                  <c:v>2.29</c:v>
                </c:pt>
                <c:pt idx="37">
                  <c:v>2.73</c:v>
                </c:pt>
                <c:pt idx="38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7-4A43-9945-6D4B7C35081B}"/>
            </c:ext>
          </c:extLst>
        </c:ser>
        <c:ser>
          <c:idx val="5"/>
          <c:order val="5"/>
          <c:tx>
            <c:strRef>
              <c:f>'SDT-Stations2&amp;3'!$AE$1:$AE$2</c:f>
              <c:strCache>
                <c:ptCount val="2"/>
                <c:pt idx="0">
                  <c:v>SDT - STATION #2</c:v>
                </c:pt>
                <c:pt idx="1">
                  <c:v>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'SDT-Stations2&amp;3'!$AE$3:$AE$41</c:f>
              <c:numCache>
                <c:formatCode>0.00</c:formatCode>
                <c:ptCount val="39"/>
                <c:pt idx="6">
                  <c:v>4</c:v>
                </c:pt>
                <c:pt idx="11">
                  <c:v>2.5</c:v>
                </c:pt>
                <c:pt idx="25">
                  <c:v>2.31</c:v>
                </c:pt>
                <c:pt idx="37">
                  <c:v>4.74</c:v>
                </c:pt>
                <c:pt idx="38">
                  <c:v>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7-4A43-9945-6D4B7C35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accent5"/>
              </a:solidFill>
              <a:round/>
            </a:ln>
            <a:effectLst/>
          </c:spPr>
        </c:hiLowLine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'SDT-Stations2&amp;3'!$Z$1:$Z$2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'SDT-Stations2&amp;3'!$Z$3:$Z$41</c15:sqref>
                        </c15:formulaRef>
                      </c:ext>
                    </c:extLst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F47-4A43-9945-6D4B7C35081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'SDT-Stations2&amp;3'!$AA$1:$AA$2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'SDT-Stations2&amp;3'!$AA$3:$AA$41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F47-4A43-9945-6D4B7C35081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'SDT-Stations2&amp;3'!$AB$1:$AB$2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'SDT-Stations2&amp;3'!$AB$3:$AB$41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F47-4A43-9945-6D4B7C35081B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Cross Lake (MIDAS 1674) Water Clarity (SDT) Annual Average, Minimum, &amp; Maximum 1981-2019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'SDT-Stations2&amp;3'!$AF$1:$AF$2</c:f>
              <c:strCache>
                <c:ptCount val="2"/>
                <c:pt idx="0">
                  <c:v>SDT - STATION #3</c:v>
                </c:pt>
                <c:pt idx="1">
                  <c:v>annual 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38"/>
            <c:marker>
              <c:symbol val="square"/>
              <c:size val="5"/>
              <c:spPr>
                <a:solidFill>
                  <a:schemeClr val="accent3"/>
                </a:solidFill>
                <a:ln w="6350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08-4B86-85DF-1F1F924C6A0D}"/>
              </c:ext>
            </c:extLst>
          </c:dPt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'SDT-Stations2&amp;3'!$AF$3:$AF$41</c:f>
              <c:numCache>
                <c:formatCode>0.00</c:formatCode>
                <c:ptCount val="39"/>
                <c:pt idx="38">
                  <c:v>2.9016666666666668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8-4B86-85DF-1F1F924C6A0D}"/>
            </c:ext>
          </c:extLst>
        </c:ser>
        <c:ser>
          <c:idx val="7"/>
          <c:order val="7"/>
          <c:tx>
            <c:strRef>
              <c:f>'SDT-Stations2&amp;3'!$AG$1:$AG$2</c:f>
              <c:strCache>
                <c:ptCount val="2"/>
                <c:pt idx="0">
                  <c:v>SDT - STATION #3</c:v>
                </c:pt>
                <c:pt idx="1">
                  <c:v>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3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C08-4B86-85DF-1F1F924C6A0D}"/>
              </c:ext>
            </c:extLst>
          </c:dPt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'SDT-Stations2&amp;3'!$AG$3:$AG$41</c:f>
              <c:numCache>
                <c:formatCode>0.00</c:formatCode>
                <c:ptCount val="39"/>
                <c:pt idx="38">
                  <c:v>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8-4B86-85DF-1F1F924C6A0D}"/>
            </c:ext>
          </c:extLst>
        </c:ser>
        <c:ser>
          <c:idx val="8"/>
          <c:order val="8"/>
          <c:tx>
            <c:strRef>
              <c:f>'SDT-Stations2&amp;3'!$AH$1:$AH$2</c:f>
              <c:strCache>
                <c:ptCount val="2"/>
                <c:pt idx="0">
                  <c:v>SDT - STATION #3</c:v>
                </c:pt>
                <c:pt idx="1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'SDT-Stations2&amp;3'!$Y$3:$Y$41</c:f>
              <c:numCache>
                <c:formatCode>0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'SDT-Stations2&amp;3'!$AH$3:$AH$41</c:f>
              <c:numCache>
                <c:formatCode>0.00</c:formatCode>
                <c:ptCount val="39"/>
                <c:pt idx="38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8-4B86-85DF-1F1F924C6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</c:hiLowLines>
        <c:marker val="1"/>
        <c:smooth val="0"/>
        <c:axId val="489488832"/>
        <c:axId val="489491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'SDT-Stations2&amp;3'!$Z$1:$Z$2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'SDT-Stations2&amp;3'!$Z$3:$Z$41</c15:sqref>
                        </c15:formulaRef>
                      </c:ext>
                    </c:extLst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C08-4B86-85DF-1F1F924C6A0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'SDT-Stations2&amp;3'!$AA$1:$AA$2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'SDT-Stations2&amp;3'!$AA$3:$AA$41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C08-4B86-85DF-1F1F924C6A0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'SDT-Stations2&amp;3'!$AB$1:$AB$2</c15:sqref>
                        </c15:formulaRef>
                      </c:ext>
                    </c:extLst>
                    <c:strCache>
                      <c:ptCount val="2"/>
                      <c:pt idx="0">
                        <c:v>SDT - STATION #1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'SDT-Stations2&amp;3'!$AB$3:$AB$41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C08-4B86-85DF-1F1F924C6A0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'SDT-Stations2&amp;3'!$AC$1:$AC$2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annual avg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'SDT-Stations2&amp;3'!$AC$3:$AC$41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2.6166666666666663</c:v>
                      </c:pt>
                      <c:pt idx="11">
                        <c:v>2.5</c:v>
                      </c:pt>
                      <c:pt idx="25">
                        <c:v>2.2999999999999998</c:v>
                      </c:pt>
                      <c:pt idx="37">
                        <c:v>3.6083333333333338</c:v>
                      </c:pt>
                      <c:pt idx="38">
                        <c:v>3.22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C08-4B86-85DF-1F1F924C6A0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'SDT-Stations2&amp;3'!$AD$1:$AD$2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min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'SDT-Stations2&amp;3'!$AD$3:$AD$41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1.5</c:v>
                      </c:pt>
                      <c:pt idx="11">
                        <c:v>2.5</c:v>
                      </c:pt>
                      <c:pt idx="25">
                        <c:v>2.29</c:v>
                      </c:pt>
                      <c:pt idx="37">
                        <c:v>2.73</c:v>
                      </c:pt>
                      <c:pt idx="38">
                        <c:v>2.56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C08-4B86-85DF-1F1F924C6A0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'SDT-Stations2&amp;3'!$AE$1:$AE$2</c15:sqref>
                        </c15:formulaRef>
                      </c:ext>
                    </c:extLst>
                    <c:strCache>
                      <c:ptCount val="2"/>
                      <c:pt idx="0">
                        <c:v>SDT - STATION #2</c:v>
                      </c:pt>
                      <c:pt idx="1">
                        <c:v>max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'SDT-Stations2&amp;3'!$Y$3:$Y$41</c15:sqref>
                        </c15:formulaRef>
                      </c:ext>
                    </c:extLst>
                    <c:numCache>
                      <c:formatCode>0</c:formatCode>
                      <c:ptCount val="39"/>
                      <c:pt idx="0">
                        <c:v>1981</c:v>
                      </c:pt>
                      <c:pt idx="1">
                        <c:v>1982</c:v>
                      </c:pt>
                      <c:pt idx="2">
                        <c:v>1983</c:v>
                      </c:pt>
                      <c:pt idx="3">
                        <c:v>1984</c:v>
                      </c:pt>
                      <c:pt idx="4">
                        <c:v>1985</c:v>
                      </c:pt>
                      <c:pt idx="5">
                        <c:v>1986</c:v>
                      </c:pt>
                      <c:pt idx="6">
                        <c:v>1987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'SDT-Stations2&amp;3'!$AE$3:$AE$41</c15:sqref>
                        </c15:formulaRef>
                      </c:ext>
                    </c:extLst>
                    <c:numCache>
                      <c:formatCode>0.00</c:formatCode>
                      <c:ptCount val="39"/>
                      <c:pt idx="6">
                        <c:v>4</c:v>
                      </c:pt>
                      <c:pt idx="11">
                        <c:v>2.5</c:v>
                      </c:pt>
                      <c:pt idx="25">
                        <c:v>2.31</c:v>
                      </c:pt>
                      <c:pt idx="37">
                        <c:v>4.74</c:v>
                      </c:pt>
                      <c:pt idx="38">
                        <c:v>3.65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C08-4B86-85DF-1F1F924C6A0D}"/>
                  </c:ext>
                </c:extLst>
              </c15:ser>
            </c15:filteredLineSeries>
          </c:ext>
        </c:extLst>
      </c:lineChart>
      <c:catAx>
        <c:axId val="489488832"/>
        <c:scaling>
          <c:orientation val="minMax"/>
        </c:scaling>
        <c:delete val="0"/>
        <c:axPos val="t"/>
        <c:numFmt formatCode="0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91128"/>
        <c:crosses val="autoZero"/>
        <c:auto val="1"/>
        <c:lblAlgn val="ctr"/>
        <c:lblOffset val="100"/>
        <c:noMultiLvlLbl val="0"/>
      </c:catAx>
      <c:valAx>
        <c:axId val="489491128"/>
        <c:scaling>
          <c:orientation val="maxMin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88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2.png"/><Relationship Id="rId1" Type="http://schemas.openxmlformats.org/officeDocument/2006/relationships/chart" Target="../charts/chart7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23150</xdr:colOff>
      <xdr:row>0</xdr:row>
      <xdr:rowOff>30480</xdr:rowOff>
    </xdr:from>
    <xdr:to>
      <xdr:col>6</xdr:col>
      <xdr:colOff>538464</xdr:colOff>
      <xdr:row>32</xdr:row>
      <xdr:rowOff>132505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F313F-D3C6-4847-8D9F-92434CF4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50" y="30480"/>
          <a:ext cx="4264354" cy="5535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266699</xdr:colOff>
      <xdr:row>1</xdr:row>
      <xdr:rowOff>4762</xdr:rowOff>
    </xdr:from>
    <xdr:to>
      <xdr:col>46</xdr:col>
      <xdr:colOff>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C59B2-87FB-4FE3-8506-171A4FA89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43</xdr:col>
      <xdr:colOff>581026</xdr:colOff>
      <xdr:row>4</xdr:row>
      <xdr:rowOff>114301</xdr:rowOff>
    </xdr:from>
    <xdr:to>
      <xdr:col>44</xdr:col>
      <xdr:colOff>325210</xdr:colOff>
      <xdr:row>9</xdr:row>
      <xdr:rowOff>104775</xdr:rowOff>
    </xdr:to>
    <xdr:pic>
      <xdr:nvPicPr>
        <xdr:cNvPr id="4" name="Picture 3" descr="http://ian.umces.edu/imagelibrary/albums/userpics/12789/normal_ian-symbol-secchi-disk.png">
          <a:extLst>
            <a:ext uri="{FF2B5EF4-FFF2-40B4-BE49-F238E27FC236}">
              <a16:creationId xmlns:a16="http://schemas.microsoft.com/office/drawing/2014/main" id="{A8C53C33-E2C4-4931-8D11-7B0E2539E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754226" y="876301"/>
          <a:ext cx="353784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4762</xdr:colOff>
      <xdr:row>19</xdr:row>
      <xdr:rowOff>185735</xdr:rowOff>
    </xdr:from>
    <xdr:to>
      <xdr:col>46</xdr:col>
      <xdr:colOff>0</xdr:colOff>
      <xdr:row>40</xdr:row>
      <xdr:rowOff>66674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AF1A93-A497-4E16-BABD-CFF485FC1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1</xdr:row>
      <xdr:rowOff>4762</xdr:rowOff>
    </xdr:from>
    <xdr:to>
      <xdr:col>46</xdr:col>
      <xdr:colOff>1</xdr:colOff>
      <xdr:row>19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51A64E-5BEF-4573-80CD-478978446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37</xdr:col>
      <xdr:colOff>38099</xdr:colOff>
      <xdr:row>13</xdr:row>
      <xdr:rowOff>104775</xdr:rowOff>
    </xdr:from>
    <xdr:ext cx="1847851" cy="56188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16C559C-4892-4147-8C62-F6FA68ED6380}"/>
            </a:ext>
          </a:extLst>
        </xdr:cNvPr>
        <xdr:cNvSpPr txBox="1"/>
      </xdr:nvSpPr>
      <xdr:spPr>
        <a:xfrm>
          <a:off x="10086974" y="2581275"/>
          <a:ext cx="1847851" cy="561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MEDEP SDT Standard = 2m</a:t>
          </a:r>
        </a:p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Annual Average SDT - Station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Annual Average SDT - Station 2</a:t>
          </a:r>
        </a:p>
      </xdr:txBody>
    </xdr:sp>
    <xdr:clientData/>
  </xdr:oneCellAnchor>
  <xdr:twoCellAnchor>
    <xdr:from>
      <xdr:col>36</xdr:col>
      <xdr:colOff>400050</xdr:colOff>
      <xdr:row>14</xdr:row>
      <xdr:rowOff>23813</xdr:rowOff>
    </xdr:from>
    <xdr:to>
      <xdr:col>37</xdr:col>
      <xdr:colOff>66674</xdr:colOff>
      <xdr:row>14</xdr:row>
      <xdr:rowOff>23813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BF87554-AAB7-4D08-A510-101DA33716EE}"/>
            </a:ext>
          </a:extLst>
        </xdr:cNvPr>
        <xdr:cNvCxnSpPr/>
      </xdr:nvCxnSpPr>
      <xdr:spPr>
        <a:xfrm>
          <a:off x="9839325" y="2690813"/>
          <a:ext cx="276224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504824</xdr:colOff>
      <xdr:row>14</xdr:row>
      <xdr:rowOff>123825</xdr:rowOff>
    </xdr:from>
    <xdr:to>
      <xdr:col>36</xdr:col>
      <xdr:colOff>577976</xdr:colOff>
      <xdr:row>15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14EB3A3-8601-402D-AC19-6F48FBB541F4}"/>
            </a:ext>
          </a:extLst>
        </xdr:cNvPr>
        <xdr:cNvSpPr/>
      </xdr:nvSpPr>
      <xdr:spPr>
        <a:xfrm>
          <a:off x="9944099" y="2790825"/>
          <a:ext cx="73152" cy="76200"/>
        </a:xfrm>
        <a:prstGeom prst="ellipse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514350</xdr:colOff>
      <xdr:row>15</xdr:row>
      <xdr:rowOff>114300</xdr:rowOff>
    </xdr:from>
    <xdr:to>
      <xdr:col>36</xdr:col>
      <xdr:colOff>587502</xdr:colOff>
      <xdr:row>15</xdr:row>
      <xdr:rowOff>187452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CEA0835C-22A2-4283-9E77-B7E4E488C31A}"/>
            </a:ext>
          </a:extLst>
        </xdr:cNvPr>
        <xdr:cNvSpPr/>
      </xdr:nvSpPr>
      <xdr:spPr>
        <a:xfrm>
          <a:off x="9953625" y="2971800"/>
          <a:ext cx="73152" cy="73152"/>
        </a:xfrm>
        <a:prstGeom prst="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314325</xdr:colOff>
      <xdr:row>25</xdr:row>
      <xdr:rowOff>38100</xdr:rowOff>
    </xdr:from>
    <xdr:to>
      <xdr:col>45</xdr:col>
      <xdr:colOff>428625</xdr:colOff>
      <xdr:row>25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54EC89-D9F5-4338-BBA4-FFBE765760B0}"/>
            </a:ext>
          </a:extLst>
        </xdr:cNvPr>
        <xdr:cNvCxnSpPr/>
      </xdr:nvCxnSpPr>
      <xdr:spPr>
        <a:xfrm>
          <a:off x="9753600" y="4800600"/>
          <a:ext cx="5600700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167640</xdr:colOff>
      <xdr:row>31</xdr:row>
      <xdr:rowOff>165735</xdr:rowOff>
    </xdr:from>
    <xdr:ext cx="1607821" cy="71840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A199CC2-1FB5-42D4-98C2-372B9C1AC6EF}"/>
            </a:ext>
          </a:extLst>
        </xdr:cNvPr>
        <xdr:cNvSpPr txBox="1"/>
      </xdr:nvSpPr>
      <xdr:spPr>
        <a:xfrm>
          <a:off x="9753600" y="5835015"/>
          <a:ext cx="1607821" cy="71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MEDEP SDT Standard = 2m</a:t>
          </a:r>
        </a:p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Station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Station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Station 3</a:t>
          </a:r>
        </a:p>
      </xdr:txBody>
    </xdr:sp>
    <xdr:clientData/>
  </xdr:oneCellAnchor>
  <xdr:twoCellAnchor>
    <xdr:from>
      <xdr:col>36</xdr:col>
      <xdr:colOff>552450</xdr:colOff>
      <xdr:row>32</xdr:row>
      <xdr:rowOff>128588</xdr:rowOff>
    </xdr:from>
    <xdr:to>
      <xdr:col>37</xdr:col>
      <xdr:colOff>219074</xdr:colOff>
      <xdr:row>32</xdr:row>
      <xdr:rowOff>128588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3E14B7B-B9B5-4032-A063-C3BD705B9837}"/>
            </a:ext>
          </a:extLst>
        </xdr:cNvPr>
        <xdr:cNvCxnSpPr/>
      </xdr:nvCxnSpPr>
      <xdr:spPr>
        <a:xfrm>
          <a:off x="9991725" y="6224588"/>
          <a:ext cx="276224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47624</xdr:colOff>
      <xdr:row>33</xdr:row>
      <xdr:rowOff>38100</xdr:rowOff>
    </xdr:from>
    <xdr:to>
      <xdr:col>37</xdr:col>
      <xdr:colOff>111632</xdr:colOff>
      <xdr:row>33</xdr:row>
      <xdr:rowOff>102108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2B18063F-5CEA-45C1-8282-18DE6D376975}"/>
            </a:ext>
          </a:extLst>
        </xdr:cNvPr>
        <xdr:cNvSpPr/>
      </xdr:nvSpPr>
      <xdr:spPr>
        <a:xfrm>
          <a:off x="10096499" y="6324600"/>
          <a:ext cx="64008" cy="64008"/>
        </a:xfrm>
        <a:prstGeom prst="ellipse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47625</xdr:colOff>
      <xdr:row>34</xdr:row>
      <xdr:rowOff>9525</xdr:rowOff>
    </xdr:from>
    <xdr:to>
      <xdr:col>37</xdr:col>
      <xdr:colOff>111633</xdr:colOff>
      <xdr:row>34</xdr:row>
      <xdr:rowOff>73533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4DDFDA6-5037-4D64-BD2C-15C0C8FEAB35}"/>
            </a:ext>
          </a:extLst>
        </xdr:cNvPr>
        <xdr:cNvSpPr/>
      </xdr:nvSpPr>
      <xdr:spPr>
        <a:xfrm>
          <a:off x="10096500" y="6486525"/>
          <a:ext cx="64008" cy="64008"/>
        </a:xfrm>
        <a:prstGeom prst="ellips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234560</xdr:colOff>
      <xdr:row>23</xdr:row>
      <xdr:rowOff>85726</xdr:rowOff>
    </xdr:from>
    <xdr:to>
      <xdr:col>44</xdr:col>
      <xdr:colOff>13730</xdr:colOff>
      <xdr:row>28</xdr:row>
      <xdr:rowOff>171450</xdr:rowOff>
    </xdr:to>
    <xdr:pic>
      <xdr:nvPicPr>
        <xdr:cNvPr id="24" name="Picture 3" descr="http://ian.umces.edu/imagelibrary/albums/userpics/12789/normal_ian-symbol-secchi-disk.png">
          <a:extLst>
            <a:ext uri="{FF2B5EF4-FFF2-40B4-BE49-F238E27FC236}">
              <a16:creationId xmlns:a16="http://schemas.microsoft.com/office/drawing/2014/main" id="{D0B3EADD-6C97-4979-B723-F54F4244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55235" y="4467226"/>
          <a:ext cx="388770" cy="1038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0</xdr:colOff>
      <xdr:row>1</xdr:row>
      <xdr:rowOff>4763</xdr:rowOff>
    </xdr:from>
    <xdr:to>
      <xdr:col>46</xdr:col>
      <xdr:colOff>1</xdr:colOff>
      <xdr:row>19</xdr:row>
      <xdr:rowOff>57151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63A2919-BDE4-4655-9ECE-D27AF48BF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514350</xdr:colOff>
      <xdr:row>16</xdr:row>
      <xdr:rowOff>66675</xdr:rowOff>
    </xdr:from>
    <xdr:to>
      <xdr:col>36</xdr:col>
      <xdr:colOff>600075</xdr:colOff>
      <xdr:row>16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D1C9FFB-81E7-4EB5-8D5D-B0270D4C8D83}"/>
            </a:ext>
          </a:extLst>
        </xdr:cNvPr>
        <xdr:cNvSpPr/>
      </xdr:nvSpPr>
      <xdr:spPr>
        <a:xfrm>
          <a:off x="9715500" y="3114675"/>
          <a:ext cx="85725" cy="95250"/>
        </a:xfrm>
        <a:prstGeom prst="rect">
          <a:avLst/>
        </a:prstGeom>
        <a:solidFill>
          <a:schemeClr val="accent3"/>
        </a:solidFill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38100</xdr:colOff>
      <xdr:row>15</xdr:row>
      <xdr:rowOff>180975</xdr:rowOff>
    </xdr:from>
    <xdr:ext cx="1798249" cy="24885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393BD9-6200-4001-8B6E-0DAB06C4D592}"/>
            </a:ext>
          </a:extLst>
        </xdr:cNvPr>
        <xdr:cNvSpPr txBox="1"/>
      </xdr:nvSpPr>
      <xdr:spPr>
        <a:xfrm>
          <a:off x="9848850" y="3038475"/>
          <a:ext cx="179824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Annual Average SDT - Station 3</a:t>
          </a:r>
        </a:p>
      </xdr:txBody>
    </xdr:sp>
    <xdr:clientData/>
  </xdr:oneCellAnchor>
  <xdr:twoCellAnchor>
    <xdr:from>
      <xdr:col>37</xdr:col>
      <xdr:colOff>47625</xdr:colOff>
      <xdr:row>34</xdr:row>
      <xdr:rowOff>171450</xdr:rowOff>
    </xdr:from>
    <xdr:to>
      <xdr:col>37</xdr:col>
      <xdr:colOff>111633</xdr:colOff>
      <xdr:row>35</xdr:row>
      <xdr:rowOff>44958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CD15486B-D039-4F6C-B24D-A58B1121212D}"/>
            </a:ext>
          </a:extLst>
        </xdr:cNvPr>
        <xdr:cNvSpPr/>
      </xdr:nvSpPr>
      <xdr:spPr>
        <a:xfrm>
          <a:off x="9858375" y="6648450"/>
          <a:ext cx="64008" cy="64008"/>
        </a:xfrm>
        <a:prstGeom prst="ellipse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0.05827</cdr:x>
      <cdr:y>0.29412</cdr:y>
    </cdr:from>
    <cdr:to>
      <cdr:x>0.97795</cdr:x>
      <cdr:y>0.29412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2B7245D-4A0C-444F-A4D0-571F9234E652}"/>
            </a:ext>
          </a:extLst>
        </cdr:cNvPr>
        <cdr:cNvCxnSpPr/>
      </cdr:nvCxnSpPr>
      <cdr:spPr>
        <a:xfrm xmlns:a="http://schemas.openxmlformats.org/drawingml/2006/main" flipV="1">
          <a:off x="352426" y="1023938"/>
          <a:ext cx="556260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133348</xdr:colOff>
      <xdr:row>22</xdr:row>
      <xdr:rowOff>109537</xdr:rowOff>
    </xdr:from>
    <xdr:to>
      <xdr:col>39</xdr:col>
      <xdr:colOff>655320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0B021C-9D6D-4C1B-9F00-3D9CAE2F8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466724</xdr:colOff>
      <xdr:row>1</xdr:row>
      <xdr:rowOff>4762</xdr:rowOff>
    </xdr:from>
    <xdr:to>
      <xdr:col>30</xdr:col>
      <xdr:colOff>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0F9235-23FA-41AA-AD9B-545BF3AC7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266699</xdr:colOff>
      <xdr:row>1</xdr:row>
      <xdr:rowOff>4762</xdr:rowOff>
    </xdr:from>
    <xdr:to>
      <xdr:col>46</xdr:col>
      <xdr:colOff>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D9EA84-320C-4E7B-B538-333C2F986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43</xdr:col>
      <xdr:colOff>581026</xdr:colOff>
      <xdr:row>4</xdr:row>
      <xdr:rowOff>114301</xdr:rowOff>
    </xdr:from>
    <xdr:to>
      <xdr:col>44</xdr:col>
      <xdr:colOff>325210</xdr:colOff>
      <xdr:row>9</xdr:row>
      <xdr:rowOff>104775</xdr:rowOff>
    </xdr:to>
    <xdr:pic>
      <xdr:nvPicPr>
        <xdr:cNvPr id="3" name="Picture 2" descr="http://ian.umces.edu/imagelibrary/albums/userpics/12789/normal_ian-symbol-secchi-disk.png">
          <a:extLst>
            <a:ext uri="{FF2B5EF4-FFF2-40B4-BE49-F238E27FC236}">
              <a16:creationId xmlns:a16="http://schemas.microsoft.com/office/drawing/2014/main" id="{E5DAE4CB-F9EF-49EC-AC7C-A1F953B1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24586" y="845821"/>
          <a:ext cx="353784" cy="904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4762</xdr:colOff>
      <xdr:row>19</xdr:row>
      <xdr:rowOff>185735</xdr:rowOff>
    </xdr:from>
    <xdr:to>
      <xdr:col>46</xdr:col>
      <xdr:colOff>0</xdr:colOff>
      <xdr:row>40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31595-6FF7-4FD4-83C4-B5F6FB04E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1</xdr:row>
      <xdr:rowOff>4762</xdr:rowOff>
    </xdr:from>
    <xdr:to>
      <xdr:col>46</xdr:col>
      <xdr:colOff>1</xdr:colOff>
      <xdr:row>19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2FBF1E-9D0D-4F65-9D25-B4B6B6FDD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37</xdr:col>
      <xdr:colOff>38099</xdr:colOff>
      <xdr:row>13</xdr:row>
      <xdr:rowOff>104775</xdr:rowOff>
    </xdr:from>
    <xdr:ext cx="1847851" cy="56188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C25944F-30D2-48BC-8162-B2177B0DF02B}"/>
            </a:ext>
          </a:extLst>
        </xdr:cNvPr>
        <xdr:cNvSpPr txBox="1"/>
      </xdr:nvSpPr>
      <xdr:spPr>
        <a:xfrm>
          <a:off x="9624059" y="2482215"/>
          <a:ext cx="1847851" cy="561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MEDEP SDT Standard = 2m</a:t>
          </a:r>
        </a:p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Annual Average SDT - Station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Annual Average SDT - Station 2</a:t>
          </a:r>
        </a:p>
      </xdr:txBody>
    </xdr:sp>
    <xdr:clientData/>
  </xdr:oneCellAnchor>
  <xdr:twoCellAnchor>
    <xdr:from>
      <xdr:col>36</xdr:col>
      <xdr:colOff>400050</xdr:colOff>
      <xdr:row>14</xdr:row>
      <xdr:rowOff>23813</xdr:rowOff>
    </xdr:from>
    <xdr:to>
      <xdr:col>37</xdr:col>
      <xdr:colOff>66674</xdr:colOff>
      <xdr:row>14</xdr:row>
      <xdr:rowOff>23813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0750D7A-983F-4A02-9A68-6871E21028D9}"/>
            </a:ext>
          </a:extLst>
        </xdr:cNvPr>
        <xdr:cNvCxnSpPr/>
      </xdr:nvCxnSpPr>
      <xdr:spPr>
        <a:xfrm>
          <a:off x="9376410" y="2584133"/>
          <a:ext cx="276224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504824</xdr:colOff>
      <xdr:row>14</xdr:row>
      <xdr:rowOff>123825</xdr:rowOff>
    </xdr:from>
    <xdr:to>
      <xdr:col>36</xdr:col>
      <xdr:colOff>577976</xdr:colOff>
      <xdr:row>15</xdr:row>
      <xdr:rowOff>9525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A1034A7-AB48-4193-8BE4-66C0CB3D9546}"/>
            </a:ext>
          </a:extLst>
        </xdr:cNvPr>
        <xdr:cNvSpPr/>
      </xdr:nvSpPr>
      <xdr:spPr>
        <a:xfrm>
          <a:off x="9481184" y="2684145"/>
          <a:ext cx="73152" cy="68580"/>
        </a:xfrm>
        <a:prstGeom prst="ellipse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514350</xdr:colOff>
      <xdr:row>15</xdr:row>
      <xdr:rowOff>114300</xdr:rowOff>
    </xdr:from>
    <xdr:to>
      <xdr:col>36</xdr:col>
      <xdr:colOff>587502</xdr:colOff>
      <xdr:row>15</xdr:row>
      <xdr:rowOff>187452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E41DD012-3861-4AF1-946E-51D5648B5A24}"/>
            </a:ext>
          </a:extLst>
        </xdr:cNvPr>
        <xdr:cNvSpPr/>
      </xdr:nvSpPr>
      <xdr:spPr>
        <a:xfrm>
          <a:off x="9490710" y="2857500"/>
          <a:ext cx="73152" cy="65532"/>
        </a:xfrm>
        <a:prstGeom prst="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314325</xdr:colOff>
      <xdr:row>25</xdr:row>
      <xdr:rowOff>38100</xdr:rowOff>
    </xdr:from>
    <xdr:to>
      <xdr:col>45</xdr:col>
      <xdr:colOff>428625</xdr:colOff>
      <xdr:row>25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B2C7521-4FBC-456F-9B4B-E74AE7C0F07C}"/>
            </a:ext>
          </a:extLst>
        </xdr:cNvPr>
        <xdr:cNvCxnSpPr/>
      </xdr:nvCxnSpPr>
      <xdr:spPr>
        <a:xfrm>
          <a:off x="9290685" y="4610100"/>
          <a:ext cx="5600700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167640</xdr:colOff>
      <xdr:row>31</xdr:row>
      <xdr:rowOff>165735</xdr:rowOff>
    </xdr:from>
    <xdr:ext cx="1607821" cy="71840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9F29356-D826-428D-A0DF-D587033A4595}"/>
            </a:ext>
          </a:extLst>
        </xdr:cNvPr>
        <xdr:cNvSpPr txBox="1"/>
      </xdr:nvSpPr>
      <xdr:spPr>
        <a:xfrm>
          <a:off x="9753600" y="5835015"/>
          <a:ext cx="1607821" cy="718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MEDEP SDT Standard = 2m</a:t>
          </a:r>
        </a:p>
        <a:p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Station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Station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Station 3</a:t>
          </a:r>
        </a:p>
      </xdr:txBody>
    </xdr:sp>
    <xdr:clientData/>
  </xdr:oneCellAnchor>
  <xdr:twoCellAnchor>
    <xdr:from>
      <xdr:col>36</xdr:col>
      <xdr:colOff>552450</xdr:colOff>
      <xdr:row>32</xdr:row>
      <xdr:rowOff>128588</xdr:rowOff>
    </xdr:from>
    <xdr:to>
      <xdr:col>37</xdr:col>
      <xdr:colOff>219074</xdr:colOff>
      <xdr:row>32</xdr:row>
      <xdr:rowOff>128588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29FC58-510D-40B0-B2E0-C1878B58E602}"/>
            </a:ext>
          </a:extLst>
        </xdr:cNvPr>
        <xdr:cNvCxnSpPr/>
      </xdr:nvCxnSpPr>
      <xdr:spPr>
        <a:xfrm>
          <a:off x="9528810" y="5980748"/>
          <a:ext cx="276224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47624</xdr:colOff>
      <xdr:row>33</xdr:row>
      <xdr:rowOff>38100</xdr:rowOff>
    </xdr:from>
    <xdr:to>
      <xdr:col>37</xdr:col>
      <xdr:colOff>111632</xdr:colOff>
      <xdr:row>33</xdr:row>
      <xdr:rowOff>102108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29E4C57-A9D8-4B10-870B-06634963CE7F}"/>
            </a:ext>
          </a:extLst>
        </xdr:cNvPr>
        <xdr:cNvSpPr/>
      </xdr:nvSpPr>
      <xdr:spPr>
        <a:xfrm>
          <a:off x="9633584" y="6073140"/>
          <a:ext cx="64008" cy="64008"/>
        </a:xfrm>
        <a:prstGeom prst="ellipse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47625</xdr:colOff>
      <xdr:row>34</xdr:row>
      <xdr:rowOff>9525</xdr:rowOff>
    </xdr:from>
    <xdr:to>
      <xdr:col>37</xdr:col>
      <xdr:colOff>111633</xdr:colOff>
      <xdr:row>34</xdr:row>
      <xdr:rowOff>73533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EB15E9B8-BE89-438F-B2A4-650E77B3A580}"/>
            </a:ext>
          </a:extLst>
        </xdr:cNvPr>
        <xdr:cNvSpPr/>
      </xdr:nvSpPr>
      <xdr:spPr>
        <a:xfrm>
          <a:off x="9633585" y="6227445"/>
          <a:ext cx="64008" cy="64008"/>
        </a:xfrm>
        <a:prstGeom prst="ellips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234560</xdr:colOff>
      <xdr:row>23</xdr:row>
      <xdr:rowOff>85726</xdr:rowOff>
    </xdr:from>
    <xdr:to>
      <xdr:col>44</xdr:col>
      <xdr:colOff>13730</xdr:colOff>
      <xdr:row>28</xdr:row>
      <xdr:rowOff>171450</xdr:rowOff>
    </xdr:to>
    <xdr:pic>
      <xdr:nvPicPr>
        <xdr:cNvPr id="15" name="Picture 3" descr="http://ian.umces.edu/imagelibrary/albums/userpics/12789/normal_ian-symbol-secchi-disk.png">
          <a:extLst>
            <a:ext uri="{FF2B5EF4-FFF2-40B4-BE49-F238E27FC236}">
              <a16:creationId xmlns:a16="http://schemas.microsoft.com/office/drawing/2014/main" id="{02E6FFE4-6048-4436-8098-0E285EB9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8120" y="4291966"/>
          <a:ext cx="388770" cy="1000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0</xdr:colOff>
      <xdr:row>1</xdr:row>
      <xdr:rowOff>4763</xdr:rowOff>
    </xdr:from>
    <xdr:to>
      <xdr:col>46</xdr:col>
      <xdr:colOff>1</xdr:colOff>
      <xdr:row>19</xdr:row>
      <xdr:rowOff>57151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4C4C79-18CB-4059-A9AE-893143649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514350</xdr:colOff>
      <xdr:row>16</xdr:row>
      <xdr:rowOff>66675</xdr:rowOff>
    </xdr:from>
    <xdr:to>
      <xdr:col>36</xdr:col>
      <xdr:colOff>600075</xdr:colOff>
      <xdr:row>16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06A50CE-C4EA-4ADE-8B60-73FD6EDDA383}"/>
            </a:ext>
          </a:extLst>
        </xdr:cNvPr>
        <xdr:cNvSpPr/>
      </xdr:nvSpPr>
      <xdr:spPr>
        <a:xfrm>
          <a:off x="9490710" y="2992755"/>
          <a:ext cx="85725" cy="95250"/>
        </a:xfrm>
        <a:prstGeom prst="rect">
          <a:avLst/>
        </a:prstGeom>
        <a:solidFill>
          <a:schemeClr val="accent3"/>
        </a:solidFill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38100</xdr:colOff>
      <xdr:row>15</xdr:row>
      <xdr:rowOff>180975</xdr:rowOff>
    </xdr:from>
    <xdr:ext cx="1798249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E526BEA-B25E-49B8-93C6-EB4681294BB5}"/>
            </a:ext>
          </a:extLst>
        </xdr:cNvPr>
        <xdr:cNvSpPr txBox="1"/>
      </xdr:nvSpPr>
      <xdr:spPr>
        <a:xfrm>
          <a:off x="9624060" y="2924175"/>
          <a:ext cx="179824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Annual Average SDT - Station 3</a:t>
          </a:r>
        </a:p>
      </xdr:txBody>
    </xdr:sp>
    <xdr:clientData/>
  </xdr:oneCellAnchor>
  <xdr:twoCellAnchor>
    <xdr:from>
      <xdr:col>37</xdr:col>
      <xdr:colOff>47625</xdr:colOff>
      <xdr:row>34</xdr:row>
      <xdr:rowOff>171450</xdr:rowOff>
    </xdr:from>
    <xdr:to>
      <xdr:col>37</xdr:col>
      <xdr:colOff>111633</xdr:colOff>
      <xdr:row>35</xdr:row>
      <xdr:rowOff>44958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D8DA330-4C03-4B87-BBD2-D1D4AC3045E7}"/>
            </a:ext>
          </a:extLst>
        </xdr:cNvPr>
        <xdr:cNvSpPr/>
      </xdr:nvSpPr>
      <xdr:spPr>
        <a:xfrm>
          <a:off x="9633585" y="6389370"/>
          <a:ext cx="64008" cy="56388"/>
        </a:xfrm>
        <a:prstGeom prst="ellipse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0.05827</cdr:x>
      <cdr:y>0.29412</cdr:y>
    </cdr:from>
    <cdr:to>
      <cdr:x>0.97795</cdr:x>
      <cdr:y>0.29412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2B7245D-4A0C-444F-A4D0-571F9234E652}"/>
            </a:ext>
          </a:extLst>
        </cdr:cNvPr>
        <cdr:cNvCxnSpPr/>
      </cdr:nvCxnSpPr>
      <cdr:spPr>
        <a:xfrm xmlns:a="http://schemas.openxmlformats.org/drawingml/2006/main" flipV="1">
          <a:off x="352426" y="1023938"/>
          <a:ext cx="556260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Jennifer Jespersen" id="{2D4990AD-F32C-46F3-8CA5-5F1062BC04E8}" userId="d45e40e9fb73a2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Q19" dT="2020-04-14T21:44:11.10" personId="{2D4990AD-F32C-46F3-8CA5-5F1062BC04E8}" id="{A8A1A45E-65D2-4528-95E2-4F408750380E}">
    <text>where is station 3? Two station 2's on map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09D8-0D64-4992-B65D-8C88E9A8E4A9}">
  <sheetPr>
    <pageSetUpPr fitToPage="1"/>
  </sheetPr>
  <dimension ref="A2:A26"/>
  <sheetViews>
    <sheetView zoomScale="75" zoomScaleNormal="75" workbookViewId="0">
      <pane ySplit="2" topLeftCell="A3" activePane="bottomLeft" state="frozen"/>
      <selection pane="bottomLeft" activeCell="I13" sqref="I13"/>
    </sheetView>
  </sheetViews>
  <sheetFormatPr baseColWidth="10" defaultColWidth="9.1640625" defaultRowHeight="15" x14ac:dyDescent="0.2"/>
  <cols>
    <col min="1" max="16384" width="9.1640625" style="177"/>
  </cols>
  <sheetData>
    <row r="2" ht="32.25" customHeight="1" x14ac:dyDescent="0.2"/>
    <row r="4" s="182" customFormat="1" ht="12" x14ac:dyDescent="0.15"/>
    <row r="5" s="182" customFormat="1" ht="12" x14ac:dyDescent="0.15"/>
    <row r="6" s="182" customFormat="1" ht="12" x14ac:dyDescent="0.15"/>
    <row r="7" s="182" customFormat="1" ht="12" x14ac:dyDescent="0.15"/>
    <row r="8" s="182" customFormat="1" ht="12" x14ac:dyDescent="0.15"/>
    <row r="9" s="182" customFormat="1" ht="12" x14ac:dyDescent="0.15"/>
    <row r="10" s="182" customFormat="1" ht="12" x14ac:dyDescent="0.15"/>
    <row r="12" s="182" customFormat="1" ht="12" x14ac:dyDescent="0.15"/>
    <row r="13" s="182" customFormat="1" ht="12" x14ac:dyDescent="0.15"/>
    <row r="14" s="182" customFormat="1" ht="12" x14ac:dyDescent="0.15"/>
    <row r="15" s="182" customFormat="1" ht="12" x14ac:dyDescent="0.15"/>
    <row r="16" s="182" customFormat="1" ht="12" x14ac:dyDescent="0.15"/>
    <row r="17" s="182" customFormat="1" ht="12" x14ac:dyDescent="0.15"/>
    <row r="18" s="182" customFormat="1" ht="12" x14ac:dyDescent="0.15"/>
    <row r="20" s="182" customFormat="1" ht="12" x14ac:dyDescent="0.15"/>
    <row r="21" s="182" customFormat="1" ht="12" x14ac:dyDescent="0.15"/>
    <row r="22" s="182" customFormat="1" ht="12" x14ac:dyDescent="0.15"/>
    <row r="23" s="182" customFormat="1" ht="12" x14ac:dyDescent="0.15"/>
    <row r="24" s="182" customFormat="1" ht="12" x14ac:dyDescent="0.15"/>
    <row r="25" s="182" customFormat="1" ht="12" x14ac:dyDescent="0.15"/>
    <row r="26" s="182" customFormat="1" ht="12" x14ac:dyDescent="0.15"/>
  </sheetData>
  <pageMargins left="0.7" right="0.7" top="0.75" bottom="0.75" header="0.3" footer="0.3"/>
  <pageSetup scale="78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6D90-54EA-4915-AC43-7B811D16AE39}">
  <sheetPr>
    <pageSetUpPr fitToPage="1"/>
  </sheetPr>
  <dimension ref="A1:AQ29"/>
  <sheetViews>
    <sheetView workbookViewId="0">
      <pane ySplit="2" topLeftCell="A3" activePane="bottomLeft" state="frozen"/>
      <selection pane="bottomLeft" activeCell="AS7" sqref="AS7"/>
    </sheetView>
  </sheetViews>
  <sheetFormatPr baseColWidth="10" defaultColWidth="9.1640625" defaultRowHeight="15" x14ac:dyDescent="0.2"/>
  <cols>
    <col min="1" max="1" width="31.1640625" style="177" customWidth="1"/>
    <col min="2" max="41" width="2.33203125" style="178" customWidth="1"/>
    <col min="42" max="42" width="9.1640625" style="47"/>
    <col min="43" max="43" width="28.33203125" style="82" bestFit="1" customWidth="1"/>
    <col min="44" max="16384" width="9.1640625" style="177"/>
  </cols>
  <sheetData>
    <row r="1" spans="1:43" ht="21" x14ac:dyDescent="0.2">
      <c r="A1" s="281" t="s">
        <v>300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3"/>
      <c r="AO1" s="222"/>
      <c r="AP1" s="203"/>
      <c r="AQ1" s="205"/>
    </row>
    <row r="2" spans="1:43" ht="32.25" customHeight="1" x14ac:dyDescent="0.2">
      <c r="A2" s="193"/>
      <c r="B2" s="171">
        <v>1981</v>
      </c>
      <c r="C2" s="171">
        <v>1982</v>
      </c>
      <c r="D2" s="171">
        <v>1983</v>
      </c>
      <c r="E2" s="171">
        <v>1984</v>
      </c>
      <c r="F2" s="209">
        <v>1985</v>
      </c>
      <c r="G2" s="171">
        <v>1986</v>
      </c>
      <c r="H2" s="171">
        <v>1987</v>
      </c>
      <c r="I2" s="171">
        <v>1988</v>
      </c>
      <c r="J2" s="171">
        <v>1989</v>
      </c>
      <c r="K2" s="171">
        <v>1990</v>
      </c>
      <c r="L2" s="171">
        <v>1991</v>
      </c>
      <c r="M2" s="171">
        <v>1992</v>
      </c>
      <c r="N2" s="209">
        <v>1993</v>
      </c>
      <c r="O2" s="171">
        <v>1994</v>
      </c>
      <c r="P2" s="171">
        <v>1995</v>
      </c>
      <c r="Q2" s="171">
        <v>1996</v>
      </c>
      <c r="R2" s="171">
        <v>1997</v>
      </c>
      <c r="S2" s="171">
        <v>1998</v>
      </c>
      <c r="T2" s="171">
        <v>1999</v>
      </c>
      <c r="U2" s="171">
        <v>2000</v>
      </c>
      <c r="V2" s="171">
        <v>2001</v>
      </c>
      <c r="W2" s="171">
        <v>2002</v>
      </c>
      <c r="X2" s="171">
        <v>2003</v>
      </c>
      <c r="Y2" s="171">
        <v>2004</v>
      </c>
      <c r="Z2" s="171">
        <v>2005</v>
      </c>
      <c r="AA2" s="171">
        <v>2006</v>
      </c>
      <c r="AB2" s="171">
        <v>2007</v>
      </c>
      <c r="AC2" s="171">
        <v>2008</v>
      </c>
      <c r="AD2" s="171">
        <v>2009</v>
      </c>
      <c r="AE2" s="209">
        <v>2010</v>
      </c>
      <c r="AF2" s="209">
        <v>2011</v>
      </c>
      <c r="AG2" s="209">
        <v>2012</v>
      </c>
      <c r="AH2" s="209">
        <v>2013</v>
      </c>
      <c r="AI2" s="209">
        <v>2014</v>
      </c>
      <c r="AJ2" s="209">
        <v>2015</v>
      </c>
      <c r="AK2" s="171">
        <v>2016</v>
      </c>
      <c r="AL2" s="171">
        <v>2017</v>
      </c>
      <c r="AM2" s="171">
        <v>2018</v>
      </c>
      <c r="AN2" s="201">
        <v>2019</v>
      </c>
      <c r="AO2" s="201">
        <v>2020</v>
      </c>
      <c r="AP2" s="202" t="s">
        <v>294</v>
      </c>
      <c r="AQ2" s="206"/>
    </row>
    <row r="3" spans="1:43" ht="16" x14ac:dyDescent="0.2">
      <c r="A3" s="170" t="s">
        <v>282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204"/>
      <c r="AQ3" s="221" t="s">
        <v>282</v>
      </c>
    </row>
    <row r="4" spans="1:43" s="182" customFormat="1" ht="12" x14ac:dyDescent="0.15">
      <c r="A4" s="179" t="s">
        <v>283</v>
      </c>
      <c r="B4" s="180" t="s">
        <v>284</v>
      </c>
      <c r="C4" s="181"/>
      <c r="D4" s="180" t="s">
        <v>284</v>
      </c>
      <c r="E4" s="180" t="s">
        <v>284</v>
      </c>
      <c r="F4" s="181"/>
      <c r="G4" s="180" t="s">
        <v>284</v>
      </c>
      <c r="H4" s="180" t="s">
        <v>284</v>
      </c>
      <c r="I4" s="180" t="s">
        <v>284</v>
      </c>
      <c r="J4" s="180" t="s">
        <v>284</v>
      </c>
      <c r="K4" s="180" t="s">
        <v>284</v>
      </c>
      <c r="L4" s="180" t="s">
        <v>284</v>
      </c>
      <c r="M4" s="180" t="s">
        <v>284</v>
      </c>
      <c r="N4" s="181"/>
      <c r="O4" s="180" t="s">
        <v>284</v>
      </c>
      <c r="P4" s="180" t="s">
        <v>284</v>
      </c>
      <c r="Q4" s="180" t="s">
        <v>284</v>
      </c>
      <c r="R4" s="180" t="s">
        <v>284</v>
      </c>
      <c r="S4" s="180" t="s">
        <v>284</v>
      </c>
      <c r="T4" s="180" t="s">
        <v>284</v>
      </c>
      <c r="U4" s="180" t="s">
        <v>284</v>
      </c>
      <c r="V4" s="180" t="s">
        <v>284</v>
      </c>
      <c r="W4" s="180" t="s">
        <v>284</v>
      </c>
      <c r="X4" s="180" t="s">
        <v>284</v>
      </c>
      <c r="Y4" s="180" t="s">
        <v>284</v>
      </c>
      <c r="Z4" s="180" t="s">
        <v>284</v>
      </c>
      <c r="AA4" s="180" t="s">
        <v>284</v>
      </c>
      <c r="AB4" s="180" t="s">
        <v>284</v>
      </c>
      <c r="AC4" s="180" t="s">
        <v>284</v>
      </c>
      <c r="AD4" s="180" t="s">
        <v>284</v>
      </c>
      <c r="AE4" s="181"/>
      <c r="AF4" s="181"/>
      <c r="AG4" s="181"/>
      <c r="AH4" s="181"/>
      <c r="AI4" s="181"/>
      <c r="AJ4" s="181"/>
      <c r="AK4" s="180" t="s">
        <v>284</v>
      </c>
      <c r="AL4" s="180" t="s">
        <v>284</v>
      </c>
      <c r="AM4" s="180" t="s">
        <v>284</v>
      </c>
      <c r="AN4" s="180" t="s">
        <v>284</v>
      </c>
      <c r="AO4" s="180" t="s">
        <v>284</v>
      </c>
      <c r="AP4" s="202">
        <f>COUNTA(B4:AO4)</f>
        <v>31</v>
      </c>
      <c r="AQ4" s="207" t="s">
        <v>283</v>
      </c>
    </row>
    <row r="5" spans="1:43" s="182" customFormat="1" ht="12" x14ac:dyDescent="0.15">
      <c r="A5" s="183" t="s">
        <v>285</v>
      </c>
      <c r="B5" s="185" t="s">
        <v>284</v>
      </c>
      <c r="C5" s="185" t="s">
        <v>284</v>
      </c>
      <c r="D5" s="185" t="s">
        <v>284</v>
      </c>
      <c r="E5" s="188"/>
      <c r="F5" s="188"/>
      <c r="G5" s="185" t="s">
        <v>284</v>
      </c>
      <c r="H5" s="185" t="s">
        <v>284</v>
      </c>
      <c r="I5" s="188"/>
      <c r="J5" s="188"/>
      <c r="K5" s="188"/>
      <c r="L5" s="185" t="s">
        <v>284</v>
      </c>
      <c r="M5" s="185" t="s">
        <v>284</v>
      </c>
      <c r="N5" s="188"/>
      <c r="O5" s="185" t="s">
        <v>284</v>
      </c>
      <c r="P5" s="188"/>
      <c r="Q5" s="188"/>
      <c r="R5" s="185" t="s">
        <v>284</v>
      </c>
      <c r="S5" s="188"/>
      <c r="T5" s="188"/>
      <c r="U5" s="185" t="s">
        <v>284</v>
      </c>
      <c r="V5" s="188"/>
      <c r="W5" s="188"/>
      <c r="X5" s="185" t="s">
        <v>284</v>
      </c>
      <c r="Y5" s="185" t="s">
        <v>284</v>
      </c>
      <c r="Z5" s="185" t="s">
        <v>284</v>
      </c>
      <c r="AA5" s="188"/>
      <c r="AB5" s="188"/>
      <c r="AC5" s="188"/>
      <c r="AD5" s="185" t="s">
        <v>284</v>
      </c>
      <c r="AE5" s="188"/>
      <c r="AF5" s="188"/>
      <c r="AG5" s="188"/>
      <c r="AH5" s="188"/>
      <c r="AI5" s="188"/>
      <c r="AJ5" s="188"/>
      <c r="AK5" s="185" t="s">
        <v>284</v>
      </c>
      <c r="AL5" s="185" t="s">
        <v>284</v>
      </c>
      <c r="AM5" s="185" t="s">
        <v>284</v>
      </c>
      <c r="AN5" s="185" t="s">
        <v>284</v>
      </c>
      <c r="AO5" s="188"/>
      <c r="AP5" s="202">
        <f t="shared" ref="AP5:AP10" si="0">COUNTA(B5:AO5)</f>
        <v>18</v>
      </c>
      <c r="AQ5" s="207" t="s">
        <v>285</v>
      </c>
    </row>
    <row r="6" spans="1:43" s="182" customFormat="1" ht="12" x14ac:dyDescent="0.15">
      <c r="A6" s="183" t="s">
        <v>286</v>
      </c>
      <c r="B6" s="197"/>
      <c r="C6" s="197"/>
      <c r="D6" s="198" t="s">
        <v>284</v>
      </c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8" t="s">
        <v>284</v>
      </c>
      <c r="P6" s="197"/>
      <c r="Q6" s="197"/>
      <c r="R6" s="197"/>
      <c r="S6" s="197"/>
      <c r="T6" s="197"/>
      <c r="U6" s="198" t="s">
        <v>284</v>
      </c>
      <c r="V6" s="197"/>
      <c r="W6" s="197"/>
      <c r="X6" s="198" t="s">
        <v>284</v>
      </c>
      <c r="Y6" s="197"/>
      <c r="Z6" s="198" t="s">
        <v>284</v>
      </c>
      <c r="AA6" s="197"/>
      <c r="AB6" s="197"/>
      <c r="AC6" s="197"/>
      <c r="AD6" s="198" t="s">
        <v>284</v>
      </c>
      <c r="AE6" s="197"/>
      <c r="AF6" s="197"/>
      <c r="AG6" s="197"/>
      <c r="AH6" s="197"/>
      <c r="AI6" s="197"/>
      <c r="AJ6" s="197"/>
      <c r="AK6" s="197"/>
      <c r="AL6" s="197"/>
      <c r="AM6" s="198" t="s">
        <v>284</v>
      </c>
      <c r="AN6" s="188"/>
      <c r="AO6" s="188"/>
      <c r="AP6" s="202">
        <f t="shared" si="0"/>
        <v>7</v>
      </c>
      <c r="AQ6" s="207" t="s">
        <v>286</v>
      </c>
    </row>
    <row r="7" spans="1:43" s="182" customFormat="1" ht="12" x14ac:dyDescent="0.15">
      <c r="A7" s="183" t="s">
        <v>287</v>
      </c>
      <c r="B7" s="199"/>
      <c r="C7" s="200" t="s">
        <v>284</v>
      </c>
      <c r="D7" s="199"/>
      <c r="E7" s="199"/>
      <c r="F7" s="199"/>
      <c r="G7" s="200" t="s">
        <v>284</v>
      </c>
      <c r="H7" s="200" t="s">
        <v>284</v>
      </c>
      <c r="I7" s="200" t="s">
        <v>284</v>
      </c>
      <c r="J7" s="200" t="s">
        <v>284</v>
      </c>
      <c r="K7" s="200" t="s">
        <v>284</v>
      </c>
      <c r="L7" s="200" t="s">
        <v>284</v>
      </c>
      <c r="M7" s="200" t="s">
        <v>284</v>
      </c>
      <c r="N7" s="197"/>
      <c r="O7" s="199"/>
      <c r="P7" s="199"/>
      <c r="Q7" s="199"/>
      <c r="R7" s="199"/>
      <c r="S7" s="199"/>
      <c r="T7" s="199"/>
      <c r="U7" s="199"/>
      <c r="V7" s="199"/>
      <c r="W7" s="199"/>
      <c r="X7" s="200" t="s">
        <v>284</v>
      </c>
      <c r="Y7" s="200" t="s">
        <v>284</v>
      </c>
      <c r="Z7" s="199"/>
      <c r="AA7" s="199"/>
      <c r="AB7" s="199"/>
      <c r="AC7" s="197"/>
      <c r="AD7" s="197"/>
      <c r="AE7" s="197"/>
      <c r="AF7" s="199"/>
      <c r="AG7" s="199"/>
      <c r="AH7" s="199"/>
      <c r="AI7" s="199"/>
      <c r="AJ7" s="199"/>
      <c r="AK7" s="199"/>
      <c r="AL7" s="199"/>
      <c r="AM7" s="199"/>
      <c r="AN7" s="200" t="s">
        <v>284</v>
      </c>
      <c r="AO7" s="200" t="s">
        <v>284</v>
      </c>
      <c r="AP7" s="202">
        <f t="shared" si="0"/>
        <v>12</v>
      </c>
      <c r="AQ7" s="207" t="s">
        <v>287</v>
      </c>
    </row>
    <row r="8" spans="1:43" s="182" customFormat="1" ht="12" x14ac:dyDescent="0.15">
      <c r="A8" s="183" t="s">
        <v>288</v>
      </c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8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96" t="s">
        <v>284</v>
      </c>
      <c r="AN8" s="184"/>
      <c r="AO8" s="188"/>
      <c r="AP8" s="202">
        <f t="shared" si="0"/>
        <v>1</v>
      </c>
      <c r="AQ8" s="207" t="s">
        <v>288</v>
      </c>
    </row>
    <row r="9" spans="1:43" s="182" customFormat="1" ht="12" x14ac:dyDescent="0.15">
      <c r="A9" s="183" t="s">
        <v>289</v>
      </c>
      <c r="B9" s="186" t="s">
        <v>284</v>
      </c>
      <c r="C9" s="186" t="s">
        <v>284</v>
      </c>
      <c r="D9" s="186" t="s">
        <v>284</v>
      </c>
      <c r="E9" s="186" t="s">
        <v>284</v>
      </c>
      <c r="F9" s="188"/>
      <c r="G9" s="186" t="s">
        <v>284</v>
      </c>
      <c r="H9" s="186" t="s">
        <v>284</v>
      </c>
      <c r="I9" s="186" t="s">
        <v>284</v>
      </c>
      <c r="J9" s="186" t="s">
        <v>284</v>
      </c>
      <c r="K9" s="186" t="s">
        <v>284</v>
      </c>
      <c r="L9" s="186" t="s">
        <v>284</v>
      </c>
      <c r="M9" s="186" t="s">
        <v>284</v>
      </c>
      <c r="N9" s="188"/>
      <c r="O9" s="186" t="s">
        <v>284</v>
      </c>
      <c r="P9" s="188"/>
      <c r="Q9" s="188"/>
      <c r="R9" s="186" t="s">
        <v>284</v>
      </c>
      <c r="S9" s="188"/>
      <c r="T9" s="188"/>
      <c r="U9" s="186" t="s">
        <v>284</v>
      </c>
      <c r="V9" s="188"/>
      <c r="W9" s="188"/>
      <c r="X9" s="186" t="s">
        <v>284</v>
      </c>
      <c r="Y9" s="186" t="s">
        <v>284</v>
      </c>
      <c r="Z9" s="186" t="s">
        <v>284</v>
      </c>
      <c r="AA9" s="188"/>
      <c r="AB9" s="188"/>
      <c r="AC9" s="188"/>
      <c r="AD9" s="186" t="s">
        <v>284</v>
      </c>
      <c r="AE9" s="188"/>
      <c r="AF9" s="188"/>
      <c r="AG9" s="188"/>
      <c r="AH9" s="188"/>
      <c r="AI9" s="188"/>
      <c r="AJ9" s="188"/>
      <c r="AK9" s="186" t="s">
        <v>284</v>
      </c>
      <c r="AL9" s="186" t="s">
        <v>284</v>
      </c>
      <c r="AM9" s="186" t="s">
        <v>284</v>
      </c>
      <c r="AN9" s="186" t="s">
        <v>284</v>
      </c>
      <c r="AO9" s="186" t="s">
        <v>284</v>
      </c>
      <c r="AP9" s="202">
        <f t="shared" si="0"/>
        <v>23</v>
      </c>
      <c r="AQ9" s="207" t="s">
        <v>289</v>
      </c>
    </row>
    <row r="10" spans="1:43" s="182" customFormat="1" ht="12" x14ac:dyDescent="0.15">
      <c r="A10" s="183" t="s">
        <v>290</v>
      </c>
      <c r="B10" s="187" t="s">
        <v>284</v>
      </c>
      <c r="C10" s="188"/>
      <c r="D10" s="187" t="s">
        <v>284</v>
      </c>
      <c r="E10" s="187" t="s">
        <v>284</v>
      </c>
      <c r="F10" s="188"/>
      <c r="G10" s="187" t="s">
        <v>284</v>
      </c>
      <c r="H10" s="187" t="s">
        <v>284</v>
      </c>
      <c r="I10" s="187" t="s">
        <v>284</v>
      </c>
      <c r="J10" s="187" t="s">
        <v>284</v>
      </c>
      <c r="K10" s="187" t="s">
        <v>284</v>
      </c>
      <c r="L10" s="187" t="s">
        <v>284</v>
      </c>
      <c r="M10" s="187" t="s">
        <v>284</v>
      </c>
      <c r="N10" s="188"/>
      <c r="O10" s="187" t="s">
        <v>284</v>
      </c>
      <c r="P10" s="187" t="s">
        <v>284</v>
      </c>
      <c r="Q10" s="188"/>
      <c r="R10" s="187" t="s">
        <v>284</v>
      </c>
      <c r="S10" s="188"/>
      <c r="T10" s="188"/>
      <c r="U10" s="187" t="s">
        <v>284</v>
      </c>
      <c r="V10" s="188"/>
      <c r="W10" s="187" t="s">
        <v>284</v>
      </c>
      <c r="X10" s="187" t="s">
        <v>284</v>
      </c>
      <c r="Y10" s="187" t="s">
        <v>284</v>
      </c>
      <c r="Z10" s="187" t="s">
        <v>284</v>
      </c>
      <c r="AA10" s="188"/>
      <c r="AB10" s="188"/>
      <c r="AC10" s="188"/>
      <c r="AD10" s="187" t="s">
        <v>284</v>
      </c>
      <c r="AE10" s="188"/>
      <c r="AF10" s="188"/>
      <c r="AG10" s="188"/>
      <c r="AH10" s="188"/>
      <c r="AI10" s="188"/>
      <c r="AJ10" s="188"/>
      <c r="AK10" s="187" t="s">
        <v>284</v>
      </c>
      <c r="AL10" s="187" t="s">
        <v>284</v>
      </c>
      <c r="AM10" s="187" t="s">
        <v>284</v>
      </c>
      <c r="AN10" s="187" t="s">
        <v>284</v>
      </c>
      <c r="AO10" s="187" t="s">
        <v>284</v>
      </c>
      <c r="AP10" s="202">
        <f t="shared" si="0"/>
        <v>24</v>
      </c>
      <c r="AQ10" s="207" t="s">
        <v>290</v>
      </c>
    </row>
    <row r="11" spans="1:43" ht="16" x14ac:dyDescent="0.2">
      <c r="A11" s="170" t="s">
        <v>291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6"/>
      <c r="AP11" s="204"/>
      <c r="AQ11" s="208" t="s">
        <v>291</v>
      </c>
    </row>
    <row r="12" spans="1:43" s="182" customFormat="1" ht="12" x14ac:dyDescent="0.15">
      <c r="A12" s="179" t="s">
        <v>283</v>
      </c>
      <c r="B12" s="181"/>
      <c r="C12" s="181"/>
      <c r="D12" s="181"/>
      <c r="E12" s="181"/>
      <c r="F12" s="181"/>
      <c r="G12" s="181"/>
      <c r="H12" s="180" t="s">
        <v>284</v>
      </c>
      <c r="I12" s="181"/>
      <c r="J12" s="181"/>
      <c r="K12" s="181"/>
      <c r="L12" s="181"/>
      <c r="M12" s="180" t="s">
        <v>284</v>
      </c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0" t="s">
        <v>284</v>
      </c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0" t="s">
        <v>284</v>
      </c>
      <c r="AN12" s="180" t="s">
        <v>284</v>
      </c>
      <c r="AO12" s="181"/>
      <c r="AP12" s="202">
        <f>COUNTA(B12:AO12)</f>
        <v>5</v>
      </c>
      <c r="AQ12" s="207" t="s">
        <v>283</v>
      </c>
    </row>
    <row r="13" spans="1:43" s="182" customFormat="1" ht="12" x14ac:dyDescent="0.15">
      <c r="A13" s="183" t="s">
        <v>285</v>
      </c>
      <c r="B13" s="188"/>
      <c r="C13" s="188"/>
      <c r="D13" s="188"/>
      <c r="E13" s="188"/>
      <c r="F13" s="188"/>
      <c r="G13" s="188"/>
      <c r="H13" s="185" t="s">
        <v>284</v>
      </c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202">
        <f t="shared" ref="AP13:AP18" si="1">COUNTA(B13:AO13)</f>
        <v>1</v>
      </c>
      <c r="AQ13" s="207" t="s">
        <v>285</v>
      </c>
    </row>
    <row r="14" spans="1:43" s="182" customFormat="1" ht="12" x14ac:dyDescent="0.15">
      <c r="A14" s="183" t="s">
        <v>286</v>
      </c>
      <c r="B14" s="184"/>
      <c r="C14" s="184"/>
      <c r="D14" s="184"/>
      <c r="E14" s="184"/>
      <c r="F14" s="184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202">
        <f t="shared" si="1"/>
        <v>0</v>
      </c>
      <c r="AQ14" s="207" t="s">
        <v>286</v>
      </c>
    </row>
    <row r="15" spans="1:43" s="182" customFormat="1" ht="12" x14ac:dyDescent="0.15">
      <c r="A15" s="183" t="s">
        <v>287</v>
      </c>
      <c r="B15" s="184"/>
      <c r="C15" s="184"/>
      <c r="D15" s="184"/>
      <c r="E15" s="184"/>
      <c r="F15" s="184"/>
      <c r="G15" s="184"/>
      <c r="H15" s="200" t="s">
        <v>284</v>
      </c>
      <c r="I15" s="199"/>
      <c r="J15" s="199"/>
      <c r="K15" s="199"/>
      <c r="L15" s="199"/>
      <c r="M15" s="200" t="s">
        <v>284</v>
      </c>
      <c r="N15" s="184"/>
      <c r="O15" s="184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97"/>
      <c r="AP15" s="202">
        <f t="shared" si="1"/>
        <v>2</v>
      </c>
      <c r="AQ15" s="207" t="s">
        <v>287</v>
      </c>
    </row>
    <row r="16" spans="1:43" s="182" customFormat="1" ht="12" x14ac:dyDescent="0.15">
      <c r="A16" s="183" t="s">
        <v>288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4"/>
      <c r="AM16" s="184"/>
      <c r="AN16" s="184"/>
      <c r="AO16" s="188"/>
      <c r="AP16" s="202">
        <f t="shared" si="1"/>
        <v>0</v>
      </c>
      <c r="AQ16" s="207" t="s">
        <v>288</v>
      </c>
    </row>
    <row r="17" spans="1:43" s="182" customFormat="1" ht="12" x14ac:dyDescent="0.15">
      <c r="A17" s="189" t="s">
        <v>289</v>
      </c>
      <c r="B17" s="190"/>
      <c r="C17" s="190"/>
      <c r="D17" s="190"/>
      <c r="E17" s="190"/>
      <c r="F17" s="190"/>
      <c r="G17" s="190"/>
      <c r="H17" s="191" t="s">
        <v>284</v>
      </c>
      <c r="I17" s="190"/>
      <c r="J17" s="190"/>
      <c r="K17" s="190"/>
      <c r="L17" s="190"/>
      <c r="M17" s="191" t="s">
        <v>284</v>
      </c>
      <c r="N17" s="190"/>
      <c r="O17" s="190"/>
      <c r="P17" s="190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88"/>
      <c r="AP17" s="202">
        <f t="shared" si="1"/>
        <v>2</v>
      </c>
      <c r="AQ17" s="207" t="s">
        <v>289</v>
      </c>
    </row>
    <row r="18" spans="1:43" s="182" customFormat="1" ht="12" x14ac:dyDescent="0.15">
      <c r="A18" s="179" t="s">
        <v>290</v>
      </c>
      <c r="B18" s="172"/>
      <c r="C18" s="172"/>
      <c r="D18" s="172"/>
      <c r="E18" s="172"/>
      <c r="F18" s="172"/>
      <c r="G18" s="172"/>
      <c r="H18" s="192" t="s">
        <v>284</v>
      </c>
      <c r="I18" s="172"/>
      <c r="J18" s="181"/>
      <c r="K18" s="172"/>
      <c r="L18" s="172"/>
      <c r="M18" s="192" t="s">
        <v>284</v>
      </c>
      <c r="N18" s="181"/>
      <c r="O18" s="172"/>
      <c r="P18" s="181"/>
      <c r="Q18" s="192" t="s">
        <v>284</v>
      </c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1"/>
      <c r="AO18" s="188"/>
      <c r="AP18" s="202">
        <f t="shared" si="1"/>
        <v>3</v>
      </c>
      <c r="AQ18" s="207" t="s">
        <v>290</v>
      </c>
    </row>
    <row r="19" spans="1:43" ht="16" x14ac:dyDescent="0.2">
      <c r="A19" s="174" t="s">
        <v>292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88"/>
      <c r="AP19" s="204"/>
      <c r="AQ19" s="208" t="s">
        <v>292</v>
      </c>
    </row>
    <row r="20" spans="1:43" s="182" customFormat="1" ht="12" x14ac:dyDescent="0.15">
      <c r="A20" s="183" t="s">
        <v>283</v>
      </c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8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8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0" t="s">
        <v>284</v>
      </c>
      <c r="AO20" s="180" t="s">
        <v>284</v>
      </c>
      <c r="AP20" s="202">
        <f>COUNTA(B20:AO20)</f>
        <v>2</v>
      </c>
      <c r="AQ20" s="207" t="s">
        <v>283</v>
      </c>
    </row>
    <row r="21" spans="1:43" s="182" customFormat="1" ht="12" x14ac:dyDescent="0.15">
      <c r="A21" s="183" t="s">
        <v>285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5" t="s">
        <v>284</v>
      </c>
      <c r="AO21" s="188"/>
      <c r="AP21" s="202">
        <f t="shared" ref="AP21:AP26" si="2">COUNTA(B21:AO21)</f>
        <v>1</v>
      </c>
      <c r="AQ21" s="207" t="s">
        <v>285</v>
      </c>
    </row>
    <row r="22" spans="1:43" s="182" customFormat="1" ht="12" x14ac:dyDescent="0.15">
      <c r="A22" s="183" t="s">
        <v>286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88"/>
      <c r="AO22" s="188"/>
      <c r="AP22" s="202">
        <f t="shared" si="2"/>
        <v>0</v>
      </c>
      <c r="AQ22" s="207" t="s">
        <v>286</v>
      </c>
    </row>
    <row r="23" spans="1:43" s="182" customFormat="1" ht="12" x14ac:dyDescent="0.15">
      <c r="A23" s="183" t="s">
        <v>287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184"/>
      <c r="AN23" s="200" t="s">
        <v>284</v>
      </c>
      <c r="AO23" s="200" t="s">
        <v>284</v>
      </c>
      <c r="AP23" s="202">
        <f t="shared" si="2"/>
        <v>2</v>
      </c>
      <c r="AQ23" s="207" t="s">
        <v>287</v>
      </c>
    </row>
    <row r="24" spans="1:43" s="182" customFormat="1" ht="12" x14ac:dyDescent="0.15">
      <c r="A24" s="183" t="s">
        <v>288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184"/>
      <c r="AN24" s="188"/>
      <c r="AO24" s="188"/>
      <c r="AP24" s="202">
        <f t="shared" si="2"/>
        <v>0</v>
      </c>
      <c r="AQ24" s="207" t="s">
        <v>288</v>
      </c>
    </row>
    <row r="25" spans="1:43" s="182" customFormat="1" ht="12" x14ac:dyDescent="0.15">
      <c r="A25" s="183" t="s">
        <v>289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6" t="s">
        <v>284</v>
      </c>
      <c r="AO25" s="186" t="s">
        <v>284</v>
      </c>
      <c r="AP25" s="202">
        <f t="shared" si="2"/>
        <v>2</v>
      </c>
      <c r="AQ25" s="207" t="s">
        <v>289</v>
      </c>
    </row>
    <row r="26" spans="1:43" s="182" customFormat="1" ht="12" x14ac:dyDescent="0.15">
      <c r="A26" s="183" t="s">
        <v>290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7" t="s">
        <v>284</v>
      </c>
      <c r="AO26" s="187" t="s">
        <v>284</v>
      </c>
      <c r="AP26" s="202">
        <f t="shared" si="2"/>
        <v>2</v>
      </c>
      <c r="AQ26" s="207" t="s">
        <v>290</v>
      </c>
    </row>
    <row r="27" spans="1:43" x14ac:dyDescent="0.2">
      <c r="AQ27" s="227"/>
    </row>
    <row r="28" spans="1:43" x14ac:dyDescent="0.2">
      <c r="A28" s="194" t="s">
        <v>293</v>
      </c>
    </row>
    <row r="29" spans="1:43" x14ac:dyDescent="0.2">
      <c r="A29" s="268" t="s">
        <v>308</v>
      </c>
    </row>
  </sheetData>
  <mergeCells count="1">
    <mergeCell ref="A1:AN1"/>
  </mergeCells>
  <pageMargins left="0.7" right="0.7" top="0.75" bottom="0.75" header="0.3" footer="0.3"/>
  <pageSetup scale="78" fitToHeight="0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9"/>
  <sheetViews>
    <sheetView topLeftCell="A287" zoomScaleNormal="100" workbookViewId="0">
      <selection activeCell="I306" sqref="I306"/>
    </sheetView>
  </sheetViews>
  <sheetFormatPr baseColWidth="10" defaultColWidth="8.83203125" defaultRowHeight="15" x14ac:dyDescent="0.2"/>
  <cols>
    <col min="1" max="1" width="8.1640625" bestFit="1" customWidth="1"/>
    <col min="2" max="3" width="6.5" customWidth="1"/>
    <col min="4" max="4" width="10.6640625" bestFit="1" customWidth="1"/>
    <col min="5" max="5" width="7" customWidth="1"/>
    <col min="6" max="6" width="8.1640625" customWidth="1"/>
    <col min="7" max="7" width="8.5" customWidth="1"/>
    <col min="8" max="8" width="5.33203125" customWidth="1"/>
    <col min="9" max="9" width="20" customWidth="1"/>
    <col min="10" max="10" width="9.6640625" customWidth="1"/>
    <col min="11" max="12" width="11.33203125" customWidth="1"/>
    <col min="13" max="13" width="9.33203125" customWidth="1"/>
    <col min="14" max="14" width="9.1640625" customWidth="1"/>
    <col min="15" max="15" width="10.5" customWidth="1"/>
    <col min="16" max="16" width="7.1640625" bestFit="1" customWidth="1"/>
    <col min="17" max="17" width="3" hidden="1" customWidth="1"/>
    <col min="18" max="18" width="6.33203125" hidden="1" customWidth="1"/>
    <col min="19" max="19" width="2.6640625" customWidth="1"/>
    <col min="20" max="20" width="9" hidden="1" customWidth="1"/>
    <col min="21" max="21" width="7" hidden="1" customWidth="1"/>
    <col min="22" max="22" width="15.1640625" hidden="1" customWidth="1"/>
    <col min="23" max="23" width="9.1640625" style="15"/>
    <col min="24" max="24" width="4.5" bestFit="1" customWidth="1"/>
    <col min="25" max="25" width="8" style="127" customWidth="1"/>
    <col min="26" max="26" width="9.1640625" style="127" customWidth="1"/>
    <col min="27" max="27" width="10.5" style="127" bestFit="1" customWidth="1"/>
    <col min="28" max="28" width="5.83203125" style="127" customWidth="1"/>
    <col min="29" max="29" width="9.1640625" style="127" customWidth="1"/>
    <col min="30" max="31" width="5.83203125" style="127" customWidth="1"/>
    <col min="32" max="32" width="9.1640625" style="129" customWidth="1"/>
    <col min="33" max="34" width="5.83203125" style="129" customWidth="1"/>
    <col min="35" max="35" width="8.1640625" customWidth="1"/>
    <col min="36" max="36" width="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238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5" t="s">
        <v>239</v>
      </c>
      <c r="Y1" s="287" t="s">
        <v>241</v>
      </c>
      <c r="Z1" s="285" t="s">
        <v>240</v>
      </c>
      <c r="AA1" s="285"/>
      <c r="AB1" s="286"/>
      <c r="AC1" s="284" t="s">
        <v>247</v>
      </c>
      <c r="AD1" s="285"/>
      <c r="AE1" s="286"/>
      <c r="AF1" s="284" t="s">
        <v>273</v>
      </c>
      <c r="AG1" s="285"/>
      <c r="AH1" s="285"/>
      <c r="AI1" s="107"/>
    </row>
    <row r="2" spans="1:35" x14ac:dyDescent="0.2">
      <c r="A2" t="s">
        <v>21</v>
      </c>
      <c r="B2">
        <v>1674</v>
      </c>
      <c r="C2">
        <v>1</v>
      </c>
      <c r="D2" s="1">
        <v>29737</v>
      </c>
      <c r="E2" s="3">
        <f t="shared" ref="E2:E65" si="0">YEAR(D2)</f>
        <v>1981</v>
      </c>
      <c r="F2" t="s">
        <v>22</v>
      </c>
      <c r="G2">
        <v>3</v>
      </c>
      <c r="H2" t="s">
        <v>23</v>
      </c>
      <c r="I2" t="s">
        <v>24</v>
      </c>
      <c r="M2">
        <v>5</v>
      </c>
      <c r="N2">
        <v>2</v>
      </c>
      <c r="O2" t="s">
        <v>25</v>
      </c>
      <c r="P2">
        <v>2.5</v>
      </c>
      <c r="Q2" t="s">
        <v>26</v>
      </c>
      <c r="R2" t="s">
        <v>27</v>
      </c>
      <c r="S2" t="s">
        <v>28</v>
      </c>
      <c r="Y2" s="288"/>
      <c r="Z2" s="109" t="s">
        <v>242</v>
      </c>
      <c r="AA2" s="109" t="s">
        <v>243</v>
      </c>
      <c r="AB2" s="109" t="s">
        <v>244</v>
      </c>
      <c r="AC2" s="110" t="s">
        <v>242</v>
      </c>
      <c r="AD2" s="109" t="s">
        <v>243</v>
      </c>
      <c r="AE2" s="109" t="s">
        <v>244</v>
      </c>
      <c r="AF2" s="110" t="s">
        <v>242</v>
      </c>
      <c r="AG2" s="109" t="s">
        <v>243</v>
      </c>
      <c r="AH2" s="109" t="s">
        <v>244</v>
      </c>
      <c r="AI2" s="107"/>
    </row>
    <row r="3" spans="1:35" x14ac:dyDescent="0.2">
      <c r="A3" t="s">
        <v>21</v>
      </c>
      <c r="B3">
        <v>1674</v>
      </c>
      <c r="C3">
        <v>1</v>
      </c>
      <c r="D3" s="1">
        <v>29745</v>
      </c>
      <c r="E3" s="3">
        <f t="shared" si="0"/>
        <v>1981</v>
      </c>
      <c r="F3" t="s">
        <v>22</v>
      </c>
      <c r="G3">
        <v>3</v>
      </c>
      <c r="H3" t="s">
        <v>29</v>
      </c>
      <c r="I3" t="s">
        <v>24</v>
      </c>
      <c r="M3">
        <v>10</v>
      </c>
      <c r="N3">
        <v>2</v>
      </c>
      <c r="O3" t="s">
        <v>30</v>
      </c>
      <c r="P3">
        <v>2.2999999999999998</v>
      </c>
      <c r="Q3" t="s">
        <v>26</v>
      </c>
      <c r="R3" t="s">
        <v>27</v>
      </c>
      <c r="S3" t="s">
        <v>28</v>
      </c>
      <c r="Y3" s="111">
        <v>1981</v>
      </c>
      <c r="Z3" s="112">
        <f>AVERAGEIF($E$2:$E$292,"1981",$P$2:$P$292)</f>
        <v>2.1142857142857143</v>
      </c>
      <c r="AA3" s="112">
        <f>_xlfn.MINIFS($P$2:$P$292,$E$2:$E$292,"1981")</f>
        <v>1.8</v>
      </c>
      <c r="AB3" s="112">
        <f>_xlfn.MAXIFS($P$2:$P$292,$E$2:$E$292,"1981")</f>
        <v>2.5</v>
      </c>
      <c r="AC3" s="113"/>
      <c r="AD3" s="114"/>
      <c r="AE3" s="114"/>
      <c r="AF3" s="115"/>
      <c r="AG3" s="116"/>
      <c r="AH3" s="116"/>
      <c r="AI3" s="27"/>
    </row>
    <row r="4" spans="1:35" x14ac:dyDescent="0.2">
      <c r="A4" t="s">
        <v>21</v>
      </c>
      <c r="B4">
        <v>1674</v>
      </c>
      <c r="C4">
        <v>1</v>
      </c>
      <c r="D4" s="1">
        <v>29760</v>
      </c>
      <c r="E4" s="3">
        <f t="shared" si="0"/>
        <v>1981</v>
      </c>
      <c r="F4" t="s">
        <v>22</v>
      </c>
      <c r="G4">
        <v>3</v>
      </c>
      <c r="H4" t="s">
        <v>31</v>
      </c>
      <c r="I4" t="s">
        <v>24</v>
      </c>
      <c r="M4">
        <v>5</v>
      </c>
      <c r="N4">
        <v>2</v>
      </c>
      <c r="O4" t="s">
        <v>32</v>
      </c>
      <c r="P4">
        <v>2.2999999999999998</v>
      </c>
      <c r="Q4" t="s">
        <v>26</v>
      </c>
      <c r="R4" t="s">
        <v>27</v>
      </c>
      <c r="S4" t="s">
        <v>28</v>
      </c>
      <c r="Y4" s="111">
        <v>1982</v>
      </c>
      <c r="Z4" s="195"/>
      <c r="AA4" s="195"/>
      <c r="AB4" s="195"/>
      <c r="AC4" s="113"/>
      <c r="AD4" s="114"/>
      <c r="AE4" s="114"/>
      <c r="AF4" s="115"/>
      <c r="AG4" s="116"/>
      <c r="AH4" s="116"/>
      <c r="AI4" s="31"/>
    </row>
    <row r="5" spans="1:35" x14ac:dyDescent="0.2">
      <c r="A5" t="s">
        <v>21</v>
      </c>
      <c r="B5">
        <v>1674</v>
      </c>
      <c r="C5">
        <v>1</v>
      </c>
      <c r="D5" s="1">
        <v>29783</v>
      </c>
      <c r="E5" s="3">
        <f t="shared" si="0"/>
        <v>1981</v>
      </c>
      <c r="F5" t="s">
        <v>22</v>
      </c>
      <c r="G5">
        <v>3</v>
      </c>
      <c r="H5" t="s">
        <v>31</v>
      </c>
      <c r="I5" t="s">
        <v>24</v>
      </c>
      <c r="M5">
        <v>7</v>
      </c>
      <c r="N5">
        <v>2</v>
      </c>
      <c r="O5" t="s">
        <v>30</v>
      </c>
      <c r="P5">
        <v>2.1</v>
      </c>
      <c r="Q5" t="s">
        <v>26</v>
      </c>
      <c r="R5" t="s">
        <v>27</v>
      </c>
      <c r="S5" t="s">
        <v>28</v>
      </c>
      <c r="Y5" s="111">
        <v>1983</v>
      </c>
      <c r="Z5" s="112">
        <f>AVERAGEIF($E$2:$E$292,"1983",$P$2:$P$292)</f>
        <v>2.2000000000000002</v>
      </c>
      <c r="AA5" s="112">
        <f>_xlfn.MINIFS($P$2:$P$292,$E$2:$E$292,"1983")</f>
        <v>2.2000000000000002</v>
      </c>
      <c r="AB5" s="112">
        <f>_xlfn.MAXIFS($P$2:$P$292,$E$2:$E$292,"1983")</f>
        <v>2.2000000000000002</v>
      </c>
      <c r="AC5" s="113"/>
      <c r="AD5" s="114"/>
      <c r="AE5" s="114"/>
      <c r="AF5" s="115"/>
      <c r="AG5" s="116"/>
      <c r="AH5" s="116"/>
      <c r="AI5" s="31"/>
    </row>
    <row r="6" spans="1:35" x14ac:dyDescent="0.2">
      <c r="A6" t="s">
        <v>21</v>
      </c>
      <c r="B6">
        <v>1674</v>
      </c>
      <c r="C6">
        <v>1</v>
      </c>
      <c r="D6" s="1">
        <v>29817</v>
      </c>
      <c r="E6" s="3">
        <f t="shared" si="0"/>
        <v>1981</v>
      </c>
      <c r="F6" t="s">
        <v>22</v>
      </c>
      <c r="G6">
        <v>2</v>
      </c>
      <c r="H6" t="s">
        <v>33</v>
      </c>
      <c r="I6" t="s">
        <v>34</v>
      </c>
      <c r="J6" t="s">
        <v>35</v>
      </c>
      <c r="M6">
        <v>3</v>
      </c>
      <c r="N6">
        <v>8</v>
      </c>
      <c r="O6" t="s">
        <v>30</v>
      </c>
      <c r="P6">
        <v>2</v>
      </c>
      <c r="Q6" t="s">
        <v>26</v>
      </c>
      <c r="R6" t="s">
        <v>27</v>
      </c>
      <c r="S6" t="s">
        <v>28</v>
      </c>
      <c r="Y6" s="111">
        <v>1984</v>
      </c>
      <c r="Z6" s="112">
        <f>AVERAGEIF($E$2:$E$292,"1984",$P$2:$P$292)</f>
        <v>1.7571428571428573</v>
      </c>
      <c r="AA6" s="211">
        <f>_xlfn.MINIFS($P$2:$P$292,$E$2:$E$292,"1984")</f>
        <v>0.9</v>
      </c>
      <c r="AB6" s="112">
        <f>_xlfn.MAXIFS($P$2:$P$292,$E$2:$E$292,"1984")</f>
        <v>3</v>
      </c>
      <c r="AC6" s="113"/>
      <c r="AD6" s="114"/>
      <c r="AE6" s="114"/>
      <c r="AF6" s="115"/>
      <c r="AG6" s="116"/>
      <c r="AH6" s="116"/>
      <c r="AI6" s="31"/>
    </row>
    <row r="7" spans="1:35" x14ac:dyDescent="0.2">
      <c r="A7" t="s">
        <v>21</v>
      </c>
      <c r="B7">
        <v>1674</v>
      </c>
      <c r="C7">
        <v>1</v>
      </c>
      <c r="D7" s="1">
        <v>29841</v>
      </c>
      <c r="E7" s="3">
        <f t="shared" si="0"/>
        <v>1981</v>
      </c>
      <c r="F7" t="s">
        <v>22</v>
      </c>
      <c r="G7">
        <v>3</v>
      </c>
      <c r="H7" t="s">
        <v>36</v>
      </c>
      <c r="I7" t="s">
        <v>24</v>
      </c>
      <c r="M7">
        <v>10</v>
      </c>
      <c r="N7">
        <v>6</v>
      </c>
      <c r="O7" t="s">
        <v>32</v>
      </c>
      <c r="P7">
        <v>1.8</v>
      </c>
      <c r="Q7" t="s">
        <v>26</v>
      </c>
      <c r="R7" t="s">
        <v>27</v>
      </c>
      <c r="S7" t="s">
        <v>28</v>
      </c>
      <c r="Y7" s="111">
        <v>1985</v>
      </c>
      <c r="Z7" s="195"/>
      <c r="AA7" s="195"/>
      <c r="AB7" s="195"/>
      <c r="AC7" s="113"/>
      <c r="AD7" s="114"/>
      <c r="AE7" s="114"/>
      <c r="AF7" s="115"/>
      <c r="AG7" s="116"/>
      <c r="AH7" s="116"/>
      <c r="AI7" s="31"/>
    </row>
    <row r="8" spans="1:35" x14ac:dyDescent="0.2">
      <c r="A8" t="s">
        <v>21</v>
      </c>
      <c r="B8">
        <v>1674</v>
      </c>
      <c r="C8">
        <v>1</v>
      </c>
      <c r="D8" s="1">
        <v>29857</v>
      </c>
      <c r="E8" s="3">
        <f t="shared" si="0"/>
        <v>1981</v>
      </c>
      <c r="F8" t="s">
        <v>22</v>
      </c>
      <c r="G8">
        <v>3</v>
      </c>
      <c r="H8" t="s">
        <v>37</v>
      </c>
      <c r="I8" t="s">
        <v>24</v>
      </c>
      <c r="M8">
        <v>8</v>
      </c>
      <c r="N8">
        <v>7</v>
      </c>
      <c r="O8" t="s">
        <v>32</v>
      </c>
      <c r="P8">
        <v>1.8</v>
      </c>
      <c r="Q8" t="s">
        <v>26</v>
      </c>
      <c r="R8" t="s">
        <v>27</v>
      </c>
      <c r="S8" t="s">
        <v>28</v>
      </c>
      <c r="Y8" s="111">
        <v>1986</v>
      </c>
      <c r="Z8" s="112">
        <f>AVERAGEIF($E$2:$E$292,"1986",$P$2:$P$292)</f>
        <v>2.0249999999999999</v>
      </c>
      <c r="AA8" s="112">
        <f>_xlfn.MINIFS($P$2:$P$292,$E$2:$E$292,"1986")</f>
        <v>1.3</v>
      </c>
      <c r="AB8" s="112">
        <f>_xlfn.MAXIFS($P$2:$P$292,$E$2:$E$292,"1986")</f>
        <v>3.5</v>
      </c>
      <c r="AC8" s="113"/>
      <c r="AD8" s="114"/>
      <c r="AE8" s="114"/>
      <c r="AF8" s="115"/>
      <c r="AG8" s="116"/>
      <c r="AH8" s="116"/>
      <c r="AI8" s="31"/>
    </row>
    <row r="9" spans="1:35" x14ac:dyDescent="0.2">
      <c r="A9" t="s">
        <v>21</v>
      </c>
      <c r="B9">
        <v>1674</v>
      </c>
      <c r="C9">
        <v>1</v>
      </c>
      <c r="D9" s="1">
        <v>30405</v>
      </c>
      <c r="E9" s="3">
        <f t="shared" si="0"/>
        <v>1983</v>
      </c>
      <c r="F9" t="s">
        <v>22</v>
      </c>
      <c r="G9">
        <v>2</v>
      </c>
      <c r="H9" t="s">
        <v>38</v>
      </c>
      <c r="I9" t="s">
        <v>39</v>
      </c>
      <c r="J9" t="s">
        <v>35</v>
      </c>
      <c r="M9">
        <v>15</v>
      </c>
      <c r="N9">
        <v>3</v>
      </c>
      <c r="O9" t="s">
        <v>32</v>
      </c>
      <c r="P9">
        <v>2.2000000000000002</v>
      </c>
      <c r="Q9" t="s">
        <v>26</v>
      </c>
      <c r="R9" t="s">
        <v>27</v>
      </c>
      <c r="S9" t="s">
        <v>28</v>
      </c>
      <c r="Y9" s="111">
        <v>1987</v>
      </c>
      <c r="Z9" s="112">
        <f>AVERAGEIF($E$2:$E$292,"1987",$P$2:$P$292)</f>
        <v>2.4999999999999996</v>
      </c>
      <c r="AA9" s="112">
        <f>_xlfn.MINIFS($P$2:$P$292,$E$2:$E$292,"1987")</f>
        <v>1.7</v>
      </c>
      <c r="AB9" s="112">
        <f>_xlfn.MAXIFS($P$2:$P$292,$E$2:$E$292,"1987")</f>
        <v>3.5</v>
      </c>
      <c r="AC9" s="113">
        <f>AVERAGEIF($E$339:$E$365,"1987",$P$339:$P$365)</f>
        <v>2.6166666666666663</v>
      </c>
      <c r="AD9" s="114">
        <f>_xlfn.MINIFS($P$339:$P$365,$E$339:$E$365,"1987")</f>
        <v>1.5</v>
      </c>
      <c r="AE9" s="114">
        <f>_xlfn.MAXIFS($P$339:$P$365,$E$339:$E$365,"1987")</f>
        <v>4</v>
      </c>
      <c r="AF9" s="115"/>
      <c r="AG9" s="116"/>
      <c r="AH9" s="116"/>
      <c r="AI9" s="31"/>
    </row>
    <row r="10" spans="1:35" x14ac:dyDescent="0.2">
      <c r="A10" t="s">
        <v>21</v>
      </c>
      <c r="B10">
        <v>1674</v>
      </c>
      <c r="C10">
        <v>1</v>
      </c>
      <c r="D10" s="1">
        <v>30537</v>
      </c>
      <c r="E10" s="3">
        <f t="shared" si="0"/>
        <v>1983</v>
      </c>
      <c r="F10" t="s">
        <v>22</v>
      </c>
      <c r="G10">
        <v>2</v>
      </c>
      <c r="H10" t="s">
        <v>40</v>
      </c>
      <c r="I10" t="s">
        <v>39</v>
      </c>
      <c r="J10" t="s">
        <v>41</v>
      </c>
      <c r="M10">
        <v>15</v>
      </c>
      <c r="N10">
        <v>8</v>
      </c>
      <c r="O10" t="s">
        <v>30</v>
      </c>
      <c r="P10">
        <v>2.2000000000000002</v>
      </c>
      <c r="Q10" t="s">
        <v>26</v>
      </c>
      <c r="R10" t="s">
        <v>27</v>
      </c>
      <c r="S10" t="s">
        <v>28</v>
      </c>
      <c r="Y10" s="111">
        <v>1988</v>
      </c>
      <c r="Z10" s="112">
        <f>AVERAGEIF($E$2:$E$292,"1988",$P$2:$P$292)</f>
        <v>2.86</v>
      </c>
      <c r="AA10" s="112">
        <f>_xlfn.MINIFS($P$2:$P$292,$E$2:$E$292,"1988")</f>
        <v>2</v>
      </c>
      <c r="AB10" s="210">
        <f>_xlfn.MAXIFS($P$2:$P$292,$E$2:$E$292,"1988")</f>
        <v>6</v>
      </c>
      <c r="AC10" s="113"/>
      <c r="AD10" s="114"/>
      <c r="AE10" s="114"/>
      <c r="AF10" s="115"/>
      <c r="AG10" s="116"/>
      <c r="AH10" s="116"/>
      <c r="AI10" s="31"/>
    </row>
    <row r="11" spans="1:35" x14ac:dyDescent="0.2">
      <c r="A11" t="s">
        <v>21</v>
      </c>
      <c r="B11">
        <v>1674</v>
      </c>
      <c r="C11">
        <v>1</v>
      </c>
      <c r="D11" s="1">
        <v>30854</v>
      </c>
      <c r="E11" s="3">
        <f t="shared" si="0"/>
        <v>1984</v>
      </c>
      <c r="F11" t="s">
        <v>22</v>
      </c>
      <c r="G11">
        <v>3</v>
      </c>
      <c r="H11" t="s">
        <v>42</v>
      </c>
      <c r="I11" t="s">
        <v>43</v>
      </c>
      <c r="M11">
        <v>8</v>
      </c>
      <c r="N11">
        <v>1</v>
      </c>
      <c r="O11" t="s">
        <v>30</v>
      </c>
      <c r="P11">
        <v>3</v>
      </c>
      <c r="Q11" t="s">
        <v>26</v>
      </c>
      <c r="R11" t="s">
        <v>27</v>
      </c>
      <c r="S11" t="s">
        <v>28</v>
      </c>
      <c r="Y11" s="111">
        <v>1989</v>
      </c>
      <c r="Z11" s="112">
        <f>AVERAGEIF($E$2:$E$292,"1989",$P$2:$P$292)</f>
        <v>3.3947368421052633</v>
      </c>
      <c r="AA11" s="112">
        <f>_xlfn.MINIFS($P$2:$P$292,$E$2:$E$292,"1989")</f>
        <v>2.5</v>
      </c>
      <c r="AB11" s="112">
        <f>_xlfn.MAXIFS($P$2:$P$292,$E$2:$E$292,"1989")</f>
        <v>5.5</v>
      </c>
      <c r="AC11" s="113"/>
      <c r="AD11" s="114"/>
      <c r="AE11" s="114"/>
      <c r="AF11" s="115"/>
      <c r="AG11" s="116"/>
      <c r="AH11" s="116"/>
      <c r="AI11" s="31"/>
    </row>
    <row r="12" spans="1:35" x14ac:dyDescent="0.2">
      <c r="A12" t="s">
        <v>21</v>
      </c>
      <c r="B12">
        <v>1674</v>
      </c>
      <c r="C12">
        <v>1</v>
      </c>
      <c r="D12" s="1">
        <v>30862</v>
      </c>
      <c r="E12" s="3">
        <f t="shared" si="0"/>
        <v>1984</v>
      </c>
      <c r="F12" t="s">
        <v>22</v>
      </c>
      <c r="G12">
        <v>3</v>
      </c>
      <c r="H12" t="s">
        <v>44</v>
      </c>
      <c r="I12" t="s">
        <v>43</v>
      </c>
      <c r="J12" t="s">
        <v>45</v>
      </c>
      <c r="M12">
        <v>5</v>
      </c>
      <c r="N12">
        <v>4</v>
      </c>
      <c r="O12" t="s">
        <v>32</v>
      </c>
      <c r="P12">
        <v>2.9</v>
      </c>
      <c r="Q12" t="s">
        <v>26</v>
      </c>
      <c r="R12" t="s">
        <v>27</v>
      </c>
      <c r="S12" t="s">
        <v>28</v>
      </c>
      <c r="Y12" s="111">
        <v>1990</v>
      </c>
      <c r="Z12" s="112">
        <f>AVERAGEIF($E$2:$E$292,"1990",$P$2:$P$292)</f>
        <v>2.5105263157894733</v>
      </c>
      <c r="AA12" s="112">
        <f>_xlfn.MINIFS($P$2:$P$292,$E$2:$E$292,"1990")</f>
        <v>1.6</v>
      </c>
      <c r="AB12" s="112">
        <f>_xlfn.MAXIFS($P$2:$P$292,$E$2:$E$292,"1990")</f>
        <v>3.6</v>
      </c>
      <c r="AC12" s="113"/>
      <c r="AD12" s="114"/>
      <c r="AE12" s="114"/>
      <c r="AF12" s="115"/>
      <c r="AG12" s="116"/>
      <c r="AH12" s="116"/>
      <c r="AI12" s="31"/>
    </row>
    <row r="13" spans="1:35" x14ac:dyDescent="0.2">
      <c r="A13" t="s">
        <v>21</v>
      </c>
      <c r="B13">
        <v>1674</v>
      </c>
      <c r="C13">
        <v>1</v>
      </c>
      <c r="D13" s="1">
        <v>30873</v>
      </c>
      <c r="E13" s="3">
        <f t="shared" si="0"/>
        <v>1984</v>
      </c>
      <c r="F13" t="s">
        <v>22</v>
      </c>
      <c r="G13">
        <v>3</v>
      </c>
      <c r="H13" t="s">
        <v>42</v>
      </c>
      <c r="I13" t="s">
        <v>43</v>
      </c>
      <c r="M13">
        <v>10</v>
      </c>
      <c r="N13">
        <v>4</v>
      </c>
      <c r="O13" t="s">
        <v>30</v>
      </c>
      <c r="P13">
        <v>1.9</v>
      </c>
      <c r="Q13" t="s">
        <v>26</v>
      </c>
      <c r="R13" t="s">
        <v>27</v>
      </c>
      <c r="S13" t="s">
        <v>28</v>
      </c>
      <c r="Y13" s="111">
        <v>1991</v>
      </c>
      <c r="Z13" s="112">
        <f>AVERAGE(P91:P98,W100,P101:P109)</f>
        <v>2.8944444444444448</v>
      </c>
      <c r="AA13" s="112">
        <f>_xlfn.MINIFS($P$2:$P$292,$E$2:$E$292,"1991")</f>
        <v>2.4</v>
      </c>
      <c r="AB13" s="112">
        <f>_xlfn.MAXIFS($P$2:$P$292,$E$2:$E$292,"1991")</f>
        <v>3.2</v>
      </c>
      <c r="AC13" s="113"/>
      <c r="AD13" s="114"/>
      <c r="AE13" s="114"/>
      <c r="AF13" s="115"/>
      <c r="AG13" s="116"/>
      <c r="AH13" s="116"/>
      <c r="AI13" s="31"/>
    </row>
    <row r="14" spans="1:35" x14ac:dyDescent="0.2">
      <c r="A14" t="s">
        <v>21</v>
      </c>
      <c r="B14">
        <v>1674</v>
      </c>
      <c r="C14">
        <v>1</v>
      </c>
      <c r="D14" s="1">
        <v>30882</v>
      </c>
      <c r="E14" s="3">
        <f t="shared" si="0"/>
        <v>1984</v>
      </c>
      <c r="F14" t="s">
        <v>22</v>
      </c>
      <c r="G14">
        <v>3</v>
      </c>
      <c r="H14" t="s">
        <v>46</v>
      </c>
      <c r="I14" t="s">
        <v>43</v>
      </c>
      <c r="M14">
        <v>20</v>
      </c>
      <c r="N14">
        <v>6</v>
      </c>
      <c r="O14" t="s">
        <v>30</v>
      </c>
      <c r="P14">
        <v>1.5</v>
      </c>
      <c r="Q14" t="s">
        <v>26</v>
      </c>
      <c r="R14" t="s">
        <v>27</v>
      </c>
      <c r="S14" t="s">
        <v>28</v>
      </c>
      <c r="Y14" s="111">
        <v>1992</v>
      </c>
      <c r="Z14" s="112">
        <f>AVERAGEIF($E$2:$E$292,"1992",$P$2:$P$292)</f>
        <v>3.1652173913043482</v>
      </c>
      <c r="AA14" s="112">
        <f>_xlfn.MINIFS($P$2:$P$292,$E$2:$E$292,"1992")</f>
        <v>2.2999999999999998</v>
      </c>
      <c r="AB14" s="112">
        <f>_xlfn.MAXIFS($P$2:$P$292,$E$2:$E$292,"1992")</f>
        <v>3.5</v>
      </c>
      <c r="AC14" s="113">
        <f>AVERAGEIF($E$339:$E$365,"1992",$P$339:$P$365)</f>
        <v>2.5</v>
      </c>
      <c r="AD14" s="114">
        <f>_xlfn.MINIFS($P$339:$P$365,$E$339:$E$365,"1992")</f>
        <v>2.5</v>
      </c>
      <c r="AE14" s="114">
        <f>_xlfn.MAXIFS($P$339:$P$365,$E$339:$E$365,"1992")</f>
        <v>2.5</v>
      </c>
      <c r="AF14" s="115"/>
      <c r="AG14" s="116"/>
      <c r="AH14" s="116"/>
      <c r="AI14" s="31"/>
    </row>
    <row r="15" spans="1:35" x14ac:dyDescent="0.2">
      <c r="A15" t="s">
        <v>21</v>
      </c>
      <c r="B15">
        <v>1674</v>
      </c>
      <c r="C15">
        <v>1</v>
      </c>
      <c r="D15" s="1">
        <v>30897</v>
      </c>
      <c r="E15" s="3">
        <f t="shared" si="0"/>
        <v>1984</v>
      </c>
      <c r="F15" t="s">
        <v>22</v>
      </c>
      <c r="G15">
        <v>3</v>
      </c>
      <c r="H15" t="s">
        <v>47</v>
      </c>
      <c r="I15" t="s">
        <v>43</v>
      </c>
      <c r="M15">
        <v>10</v>
      </c>
      <c r="N15">
        <v>5</v>
      </c>
      <c r="O15" t="s">
        <v>30</v>
      </c>
      <c r="P15">
        <v>1.1000000000000001</v>
      </c>
      <c r="Q15" t="s">
        <v>26</v>
      </c>
      <c r="R15" t="s">
        <v>27</v>
      </c>
      <c r="S15" t="s">
        <v>28</v>
      </c>
      <c r="Y15" s="111">
        <v>1993</v>
      </c>
      <c r="Z15" s="195"/>
      <c r="AA15" s="195"/>
      <c r="AB15" s="195"/>
      <c r="AC15" s="113"/>
      <c r="AD15" s="114"/>
      <c r="AE15" s="114"/>
      <c r="AF15" s="115"/>
      <c r="AG15" s="116"/>
      <c r="AH15" s="116"/>
      <c r="AI15" s="31"/>
    </row>
    <row r="16" spans="1:35" x14ac:dyDescent="0.2">
      <c r="A16" t="s">
        <v>21</v>
      </c>
      <c r="B16">
        <v>1674</v>
      </c>
      <c r="C16">
        <v>1</v>
      </c>
      <c r="D16" s="1">
        <v>30908</v>
      </c>
      <c r="E16" s="3">
        <f t="shared" si="0"/>
        <v>1984</v>
      </c>
      <c r="F16" t="s">
        <v>22</v>
      </c>
      <c r="G16">
        <v>2</v>
      </c>
      <c r="H16" t="s">
        <v>48</v>
      </c>
      <c r="I16" t="s">
        <v>39</v>
      </c>
      <c r="J16" t="s">
        <v>43</v>
      </c>
      <c r="M16">
        <v>5</v>
      </c>
      <c r="N16">
        <v>5</v>
      </c>
      <c r="O16" t="s">
        <v>32</v>
      </c>
      <c r="P16">
        <v>1</v>
      </c>
      <c r="Q16" t="s">
        <v>26</v>
      </c>
      <c r="R16" t="s">
        <v>27</v>
      </c>
      <c r="S16" t="s">
        <v>28</v>
      </c>
      <c r="Y16" s="111">
        <v>1994</v>
      </c>
      <c r="Z16" s="112">
        <f>AVERAGEIF($E$2:$E$292,"1994",$P$2:$P$292)</f>
        <v>3.55</v>
      </c>
      <c r="AA16" s="112">
        <f>_xlfn.MINIFS($P$2:$P$292,$E$2:$E$292,"1994")</f>
        <v>3.3</v>
      </c>
      <c r="AB16" s="112">
        <f>_xlfn.MAXIFS($P$2:$P$292,$E$2:$E$292,"1994")</f>
        <v>3.8</v>
      </c>
      <c r="AC16" s="113"/>
      <c r="AD16" s="114"/>
      <c r="AE16" s="114"/>
      <c r="AF16" s="115"/>
      <c r="AG16" s="116"/>
      <c r="AH16" s="116"/>
      <c r="AI16" s="31"/>
    </row>
    <row r="17" spans="1:47" x14ac:dyDescent="0.2">
      <c r="A17" t="s">
        <v>21</v>
      </c>
      <c r="B17">
        <v>1674</v>
      </c>
      <c r="C17">
        <v>1</v>
      </c>
      <c r="D17" s="1">
        <v>30939</v>
      </c>
      <c r="E17" s="3">
        <f t="shared" si="0"/>
        <v>1984</v>
      </c>
      <c r="F17" t="s">
        <v>22</v>
      </c>
      <c r="G17">
        <v>3</v>
      </c>
      <c r="H17" t="s">
        <v>49</v>
      </c>
      <c r="I17" t="s">
        <v>45</v>
      </c>
      <c r="J17" t="s">
        <v>50</v>
      </c>
      <c r="O17" t="s">
        <v>30</v>
      </c>
      <c r="P17">
        <v>0.9</v>
      </c>
      <c r="Q17" t="s">
        <v>26</v>
      </c>
      <c r="R17" t="s">
        <v>27</v>
      </c>
      <c r="S17" t="s">
        <v>28</v>
      </c>
      <c r="Y17" s="111">
        <v>1995</v>
      </c>
      <c r="Z17" s="112">
        <f>AVERAGEIF($E$2:$E$292,"1995",$P$2:$P$292)</f>
        <v>2.7222222222222223</v>
      </c>
      <c r="AA17" s="112">
        <f>_xlfn.MINIFS($P$2:$P$292,$E$2:$E$292,"1995")</f>
        <v>2.2999999999999998</v>
      </c>
      <c r="AB17" s="112">
        <f>_xlfn.MAXIFS($P$2:$P$292,$E$2:$E$292,"1995")</f>
        <v>3.2</v>
      </c>
      <c r="AC17" s="113"/>
      <c r="AD17" s="114"/>
      <c r="AE17" s="114"/>
      <c r="AF17" s="115"/>
      <c r="AG17" s="116"/>
      <c r="AH17" s="116"/>
      <c r="AI17" s="31"/>
    </row>
    <row r="18" spans="1:47" x14ac:dyDescent="0.2">
      <c r="A18" t="s">
        <v>21</v>
      </c>
      <c r="B18">
        <v>1674</v>
      </c>
      <c r="C18">
        <v>1</v>
      </c>
      <c r="D18" s="1">
        <v>31541</v>
      </c>
      <c r="E18" s="3">
        <f t="shared" si="0"/>
        <v>1986</v>
      </c>
      <c r="F18" t="s">
        <v>22</v>
      </c>
      <c r="G18">
        <v>2</v>
      </c>
      <c r="H18" t="s">
        <v>52</v>
      </c>
      <c r="I18" t="s">
        <v>24</v>
      </c>
      <c r="J18" t="s">
        <v>53</v>
      </c>
      <c r="M18">
        <v>4</v>
      </c>
      <c r="O18" t="s">
        <v>30</v>
      </c>
      <c r="P18">
        <v>2.6</v>
      </c>
      <c r="Q18" t="s">
        <v>26</v>
      </c>
      <c r="R18" t="s">
        <v>27</v>
      </c>
      <c r="S18" t="s">
        <v>28</v>
      </c>
      <c r="Y18" s="111">
        <v>1996</v>
      </c>
      <c r="Z18" s="112">
        <f>AVERAGEIF($E$2:$E$292,"1996",$P$2:$P$292)</f>
        <v>2.29</v>
      </c>
      <c r="AA18" s="112">
        <f>_xlfn.MINIFS($P$2:$P$292,$E$2:$E$292,"1996")</f>
        <v>1.6</v>
      </c>
      <c r="AB18" s="112">
        <f>_xlfn.MAXIFS($P$2:$P$292,$E$2:$E$292,"1996")</f>
        <v>3.1</v>
      </c>
      <c r="AC18" s="113"/>
      <c r="AD18" s="114"/>
      <c r="AE18" s="114"/>
      <c r="AF18" s="115"/>
      <c r="AG18" s="116"/>
      <c r="AH18" s="116"/>
      <c r="AI18" s="31"/>
    </row>
    <row r="19" spans="1:47" x14ac:dyDescent="0.2">
      <c r="A19" t="s">
        <v>21</v>
      </c>
      <c r="B19">
        <v>1674</v>
      </c>
      <c r="C19">
        <v>1</v>
      </c>
      <c r="D19" s="1">
        <v>31559</v>
      </c>
      <c r="E19" s="3">
        <f t="shared" si="0"/>
        <v>1986</v>
      </c>
      <c r="F19" t="s">
        <v>22</v>
      </c>
      <c r="G19">
        <v>2</v>
      </c>
      <c r="H19" t="s">
        <v>54</v>
      </c>
      <c r="I19" t="s">
        <v>24</v>
      </c>
      <c r="J19" t="s">
        <v>51</v>
      </c>
      <c r="M19">
        <v>10</v>
      </c>
      <c r="N19">
        <v>6</v>
      </c>
      <c r="O19" t="s">
        <v>30</v>
      </c>
      <c r="P19">
        <v>3.5</v>
      </c>
      <c r="Q19" t="s">
        <v>26</v>
      </c>
      <c r="R19" t="s">
        <v>27</v>
      </c>
      <c r="S19" t="s">
        <v>28</v>
      </c>
      <c r="Y19" s="111">
        <v>1997</v>
      </c>
      <c r="Z19" s="112">
        <f>AVERAGE(P154:P157,W160,P161:P165)</f>
        <v>2.9899999999999998</v>
      </c>
      <c r="AA19" s="112">
        <f>_xlfn.MINIFS($P$2:$P$292,$E$2:$E$292,"1997")</f>
        <v>2.4</v>
      </c>
      <c r="AB19" s="112">
        <f>_xlfn.MAXIFS($P$2:$P$292,$E$2:$E$292,"1997")</f>
        <v>3.9</v>
      </c>
      <c r="AC19" s="113"/>
      <c r="AD19" s="114"/>
      <c r="AE19" s="114"/>
      <c r="AF19" s="115"/>
      <c r="AG19" s="116"/>
      <c r="AH19" s="116"/>
      <c r="AI19" s="31"/>
    </row>
    <row r="20" spans="1:47" x14ac:dyDescent="0.2">
      <c r="A20" t="s">
        <v>21</v>
      </c>
      <c r="B20">
        <v>1674</v>
      </c>
      <c r="C20">
        <v>1</v>
      </c>
      <c r="D20" s="1">
        <v>31573</v>
      </c>
      <c r="E20" s="3">
        <f t="shared" si="0"/>
        <v>1986</v>
      </c>
      <c r="F20" t="s">
        <v>22</v>
      </c>
      <c r="G20">
        <v>2</v>
      </c>
      <c r="H20" t="s">
        <v>49</v>
      </c>
      <c r="I20" t="s">
        <v>24</v>
      </c>
      <c r="J20" t="s">
        <v>55</v>
      </c>
      <c r="M20">
        <v>15</v>
      </c>
      <c r="N20">
        <v>7</v>
      </c>
      <c r="O20" t="s">
        <v>30</v>
      </c>
      <c r="P20">
        <v>2.1</v>
      </c>
      <c r="Q20" t="s">
        <v>26</v>
      </c>
      <c r="R20" t="s">
        <v>27</v>
      </c>
      <c r="S20" t="s">
        <v>28</v>
      </c>
      <c r="Y20" s="111">
        <v>1998</v>
      </c>
      <c r="Z20" s="112">
        <f>AVERAGEIF($E$2:$E$292,"1998",$P$2:$P$292)</f>
        <v>2.7454545454545456</v>
      </c>
      <c r="AA20" s="112">
        <f>_xlfn.MINIFS($P$2:$P$292,$E$2:$E$292,"1998")</f>
        <v>2</v>
      </c>
      <c r="AB20" s="112">
        <f>_xlfn.MAXIFS($P$2:$P$292,$E$2:$E$292,"1998")</f>
        <v>3.7</v>
      </c>
      <c r="AC20" s="113"/>
      <c r="AD20" s="114"/>
      <c r="AE20" s="114"/>
      <c r="AF20" s="115"/>
      <c r="AG20" s="116"/>
      <c r="AH20" s="116"/>
      <c r="AI20" s="31"/>
    </row>
    <row r="21" spans="1:47" x14ac:dyDescent="0.2">
      <c r="A21" t="s">
        <v>21</v>
      </c>
      <c r="B21">
        <v>1674</v>
      </c>
      <c r="C21">
        <v>1</v>
      </c>
      <c r="D21" s="1">
        <v>31590</v>
      </c>
      <c r="E21" s="3">
        <f t="shared" si="0"/>
        <v>1986</v>
      </c>
      <c r="F21" t="s">
        <v>22</v>
      </c>
      <c r="G21">
        <v>2</v>
      </c>
      <c r="H21" t="s">
        <v>56</v>
      </c>
      <c r="I21" t="s">
        <v>24</v>
      </c>
      <c r="J21" t="s">
        <v>55</v>
      </c>
      <c r="M21">
        <v>6</v>
      </c>
      <c r="N21">
        <v>4</v>
      </c>
      <c r="O21" t="s">
        <v>32</v>
      </c>
      <c r="P21">
        <v>2.6</v>
      </c>
      <c r="Q21" t="s">
        <v>26</v>
      </c>
      <c r="R21" t="s">
        <v>27</v>
      </c>
      <c r="S21" t="s">
        <v>28</v>
      </c>
      <c r="Y21" s="111">
        <v>1999</v>
      </c>
      <c r="Z21" s="112">
        <f>AVERAGEIF($E$2:$E$292,"1999",$P$2:$P$292)</f>
        <v>2.6611111111111114</v>
      </c>
      <c r="AA21" s="112">
        <f>_xlfn.MINIFS($P$2:$P$292,$E$2:$E$292,"1999")</f>
        <v>1.9</v>
      </c>
      <c r="AB21" s="112">
        <f>_xlfn.MAXIFS($P$2:$P$292,$E$2:$E$292,"1999")</f>
        <v>3.5</v>
      </c>
      <c r="AC21" s="113"/>
      <c r="AD21" s="114"/>
      <c r="AE21" s="114"/>
      <c r="AF21" s="115"/>
      <c r="AG21" s="116"/>
      <c r="AH21" s="116"/>
      <c r="AI21" s="31"/>
    </row>
    <row r="22" spans="1:47" x14ac:dyDescent="0.2">
      <c r="A22" t="s">
        <v>21</v>
      </c>
      <c r="B22">
        <v>1674</v>
      </c>
      <c r="C22">
        <v>1</v>
      </c>
      <c r="D22" s="1">
        <v>31609</v>
      </c>
      <c r="E22" s="3">
        <f t="shared" si="0"/>
        <v>1986</v>
      </c>
      <c r="F22" t="s">
        <v>22</v>
      </c>
      <c r="G22">
        <v>2</v>
      </c>
      <c r="H22" t="s">
        <v>36</v>
      </c>
      <c r="I22" t="s">
        <v>24</v>
      </c>
      <c r="J22" t="s">
        <v>51</v>
      </c>
      <c r="M22">
        <v>5</v>
      </c>
      <c r="N22">
        <v>8</v>
      </c>
      <c r="O22" t="s">
        <v>30</v>
      </c>
      <c r="P22">
        <v>2</v>
      </c>
      <c r="Q22" t="s">
        <v>26</v>
      </c>
      <c r="R22" t="s">
        <v>27</v>
      </c>
      <c r="S22" t="s">
        <v>28</v>
      </c>
      <c r="Y22" s="111">
        <v>2000</v>
      </c>
      <c r="Z22" s="112">
        <f>AVERAGEIF($E$2:$E$292,"2000",$P$2:$P$292)</f>
        <v>2.6272727272727274</v>
      </c>
      <c r="AA22" s="112">
        <f>_xlfn.MINIFS($P$2:$P$292,$E$2:$E$292,"2000")</f>
        <v>2</v>
      </c>
      <c r="AB22" s="112">
        <f>_xlfn.MAXIFS($P$2:$P$292,$E$2:$E$292,"2000")</f>
        <v>3.3</v>
      </c>
      <c r="AC22" s="113"/>
      <c r="AD22" s="114"/>
      <c r="AE22" s="114"/>
      <c r="AF22" s="115"/>
      <c r="AG22" s="116"/>
      <c r="AH22" s="116"/>
      <c r="AI22" s="31"/>
    </row>
    <row r="23" spans="1:47" x14ac:dyDescent="0.2">
      <c r="A23" t="s">
        <v>21</v>
      </c>
      <c r="B23">
        <v>1674</v>
      </c>
      <c r="C23">
        <v>1</v>
      </c>
      <c r="D23" s="1">
        <v>31623</v>
      </c>
      <c r="E23" s="3">
        <f t="shared" si="0"/>
        <v>1986</v>
      </c>
      <c r="F23" t="s">
        <v>22</v>
      </c>
      <c r="G23">
        <v>2</v>
      </c>
      <c r="H23" t="s">
        <v>57</v>
      </c>
      <c r="I23" t="s">
        <v>24</v>
      </c>
      <c r="J23" t="s">
        <v>58</v>
      </c>
      <c r="M23">
        <v>2</v>
      </c>
      <c r="N23">
        <v>4</v>
      </c>
      <c r="O23" t="s">
        <v>25</v>
      </c>
      <c r="P23">
        <v>2</v>
      </c>
      <c r="Q23" t="s">
        <v>26</v>
      </c>
      <c r="R23" t="s">
        <v>27</v>
      </c>
      <c r="S23" t="s">
        <v>28</v>
      </c>
      <c r="Y23" s="111">
        <v>2001</v>
      </c>
      <c r="Z23" s="112">
        <f>AVERAGEIF($E$2:$E$292,"2001",$P$2:$P$292)</f>
        <v>2.2958333333333329</v>
      </c>
      <c r="AA23" s="112">
        <f>_xlfn.MINIFS($P$2:$P$292,$E$2:$E$292,"2001")</f>
        <v>1.7</v>
      </c>
      <c r="AB23" s="112">
        <f>_xlfn.MAXIFS($P$2:$P$292,$E$2:$E$292,"2001")</f>
        <v>3.1</v>
      </c>
      <c r="AC23" s="113"/>
      <c r="AD23" s="114"/>
      <c r="AE23" s="114"/>
      <c r="AF23" s="115"/>
      <c r="AG23" s="116"/>
      <c r="AH23" s="116"/>
      <c r="AI23" s="31"/>
      <c r="AU23" t="s">
        <v>249</v>
      </c>
    </row>
    <row r="24" spans="1:47" x14ac:dyDescent="0.2">
      <c r="A24" t="s">
        <v>21</v>
      </c>
      <c r="B24">
        <v>1674</v>
      </c>
      <c r="C24">
        <v>1</v>
      </c>
      <c r="D24" s="1">
        <v>31636</v>
      </c>
      <c r="E24" s="3">
        <f t="shared" si="0"/>
        <v>1986</v>
      </c>
      <c r="F24" t="s">
        <v>22</v>
      </c>
      <c r="G24">
        <v>2</v>
      </c>
      <c r="H24" t="s">
        <v>59</v>
      </c>
      <c r="I24" t="s">
        <v>24</v>
      </c>
      <c r="J24" t="s">
        <v>60</v>
      </c>
      <c r="M24">
        <v>15</v>
      </c>
      <c r="N24">
        <v>7</v>
      </c>
      <c r="O24" t="s">
        <v>30</v>
      </c>
      <c r="P24">
        <v>1.8</v>
      </c>
      <c r="Q24" t="s">
        <v>26</v>
      </c>
      <c r="R24" t="s">
        <v>27</v>
      </c>
      <c r="S24" t="s">
        <v>28</v>
      </c>
      <c r="Y24" s="111">
        <v>2002</v>
      </c>
      <c r="Z24" s="112">
        <f>AVERAGEIF($E$2:$E$292,"2002",$P$2:$P$292)</f>
        <v>2.4524999999999997</v>
      </c>
      <c r="AA24" s="112">
        <f>_xlfn.MINIFS($P$2:$P$292,$E$2:$E$292,"2002")</f>
        <v>1.7</v>
      </c>
      <c r="AB24" s="112">
        <f>_xlfn.MAXIFS($P$2:$P$292,$E$2:$E$292,"2002")</f>
        <v>3.2</v>
      </c>
      <c r="AC24" s="113"/>
      <c r="AD24" s="114"/>
      <c r="AE24" s="114"/>
      <c r="AF24" s="115"/>
      <c r="AG24" s="116"/>
      <c r="AH24" s="116"/>
      <c r="AI24" s="31"/>
    </row>
    <row r="25" spans="1:47" x14ac:dyDescent="0.2">
      <c r="A25" t="s">
        <v>21</v>
      </c>
      <c r="B25">
        <v>1674</v>
      </c>
      <c r="C25">
        <v>1</v>
      </c>
      <c r="D25" s="1">
        <v>31651</v>
      </c>
      <c r="E25" s="3">
        <f t="shared" si="0"/>
        <v>1986</v>
      </c>
      <c r="F25" t="s">
        <v>22</v>
      </c>
      <c r="G25">
        <v>2</v>
      </c>
      <c r="H25" t="s">
        <v>61</v>
      </c>
      <c r="I25" t="s">
        <v>24</v>
      </c>
      <c r="J25" t="s">
        <v>51</v>
      </c>
      <c r="M25">
        <v>13</v>
      </c>
      <c r="N25">
        <v>5</v>
      </c>
      <c r="O25" t="s">
        <v>25</v>
      </c>
      <c r="P25">
        <v>1.5</v>
      </c>
      <c r="Q25" t="s">
        <v>26</v>
      </c>
      <c r="R25" t="s">
        <v>27</v>
      </c>
      <c r="S25" t="s">
        <v>28</v>
      </c>
      <c r="Y25" s="111">
        <v>2003</v>
      </c>
      <c r="Z25" s="112">
        <f>AVERAGEIF($E$2:$E$292,"2003",$P$2:$P$292)</f>
        <v>2.6330769230769229</v>
      </c>
      <c r="AA25" s="112">
        <f>_xlfn.MINIFS($P$2:$P$292,$E$2:$E$292,"2003")</f>
        <v>2.1</v>
      </c>
      <c r="AB25" s="112">
        <f>_xlfn.MAXIFS($P$2:$P$292,$E$2:$E$292,"2003")</f>
        <v>3.3</v>
      </c>
      <c r="AC25" s="113"/>
      <c r="AD25" s="114"/>
      <c r="AE25" s="114"/>
      <c r="AF25" s="115"/>
      <c r="AG25" s="116"/>
      <c r="AH25" s="116"/>
      <c r="AI25" s="31"/>
    </row>
    <row r="26" spans="1:47" x14ac:dyDescent="0.2">
      <c r="A26" t="s">
        <v>21</v>
      </c>
      <c r="B26">
        <v>1674</v>
      </c>
      <c r="C26">
        <v>1</v>
      </c>
      <c r="D26" s="1">
        <v>31663</v>
      </c>
      <c r="E26" s="3">
        <f t="shared" si="0"/>
        <v>1986</v>
      </c>
      <c r="F26" t="s">
        <v>22</v>
      </c>
      <c r="G26">
        <v>2</v>
      </c>
      <c r="H26" t="s">
        <v>62</v>
      </c>
      <c r="I26" t="s">
        <v>24</v>
      </c>
      <c r="J26" t="s">
        <v>51</v>
      </c>
      <c r="M26">
        <v>2</v>
      </c>
      <c r="N26">
        <v>5</v>
      </c>
      <c r="O26" t="s">
        <v>25</v>
      </c>
      <c r="P26">
        <v>1.3</v>
      </c>
      <c r="Q26" t="s">
        <v>26</v>
      </c>
      <c r="R26" t="s">
        <v>27</v>
      </c>
      <c r="S26" t="s">
        <v>28</v>
      </c>
      <c r="Y26" s="111">
        <v>2004</v>
      </c>
      <c r="Z26" s="112">
        <f>AVERAGE(P230,W232,P233,W235,P236:P241)</f>
        <v>2.6777777777777776</v>
      </c>
      <c r="AA26" s="112">
        <f>_xlfn.MINIFS($P$2:$P$292,$E$2:$E$292,"2004")</f>
        <v>1.8</v>
      </c>
      <c r="AB26" s="112">
        <f>_xlfn.MAXIFS($P$2:$P$292,$E$2:$E$292,"2004")</f>
        <v>3.5</v>
      </c>
      <c r="AC26" s="113"/>
      <c r="AD26" s="114"/>
      <c r="AE26" s="114"/>
      <c r="AF26" s="115"/>
      <c r="AG26" s="116"/>
      <c r="AH26" s="116"/>
      <c r="AI26" s="31"/>
    </row>
    <row r="27" spans="1:47" x14ac:dyDescent="0.2">
      <c r="A27" t="s">
        <v>21</v>
      </c>
      <c r="B27">
        <v>1674</v>
      </c>
      <c r="C27">
        <v>1</v>
      </c>
      <c r="D27" s="1">
        <v>31684</v>
      </c>
      <c r="E27" s="3">
        <f t="shared" si="0"/>
        <v>1986</v>
      </c>
      <c r="F27" t="s">
        <v>22</v>
      </c>
      <c r="G27">
        <v>2</v>
      </c>
      <c r="H27" t="s">
        <v>63</v>
      </c>
      <c r="I27" t="s">
        <v>24</v>
      </c>
      <c r="J27" t="s">
        <v>58</v>
      </c>
      <c r="M27">
        <v>6</v>
      </c>
      <c r="N27">
        <v>5</v>
      </c>
      <c r="O27" t="s">
        <v>25</v>
      </c>
      <c r="P27">
        <v>1.5</v>
      </c>
      <c r="Q27" t="s">
        <v>26</v>
      </c>
      <c r="R27" t="s">
        <v>27</v>
      </c>
      <c r="S27" t="s">
        <v>28</v>
      </c>
      <c r="Y27" s="111">
        <v>2005</v>
      </c>
      <c r="Z27" s="112">
        <f>AVERAGE(P242:P246,W248,P249:P250)</f>
        <v>2.8168750000000005</v>
      </c>
      <c r="AA27" s="112">
        <f>_xlfn.MINIFS($P$2:$P$292,$E$2:$E$292,"2005")</f>
        <v>2.1</v>
      </c>
      <c r="AB27" s="112">
        <f>_xlfn.MAXIFS($P$2:$P$292,$E$2:$E$292,"2005")</f>
        <v>3.4</v>
      </c>
      <c r="AC27" s="113"/>
      <c r="AD27" s="114"/>
      <c r="AE27" s="114"/>
      <c r="AF27" s="115"/>
      <c r="AG27" s="116"/>
      <c r="AH27" s="116"/>
      <c r="AI27" s="31"/>
    </row>
    <row r="28" spans="1:47" x14ac:dyDescent="0.2">
      <c r="A28" t="s">
        <v>21</v>
      </c>
      <c r="B28">
        <v>1674</v>
      </c>
      <c r="C28">
        <v>1</v>
      </c>
      <c r="D28" s="1">
        <v>31699</v>
      </c>
      <c r="E28" s="3">
        <f t="shared" si="0"/>
        <v>1986</v>
      </c>
      <c r="F28" t="s">
        <v>22</v>
      </c>
      <c r="G28">
        <v>2</v>
      </c>
      <c r="H28" t="s">
        <v>64</v>
      </c>
      <c r="I28" t="s">
        <v>24</v>
      </c>
      <c r="J28" t="s">
        <v>58</v>
      </c>
      <c r="M28">
        <v>12</v>
      </c>
      <c r="N28">
        <v>4</v>
      </c>
      <c r="O28" t="s">
        <v>25</v>
      </c>
      <c r="P28">
        <v>1.5</v>
      </c>
      <c r="Q28" t="s">
        <v>26</v>
      </c>
      <c r="R28" t="s">
        <v>27</v>
      </c>
      <c r="S28" t="s">
        <v>28</v>
      </c>
      <c r="Y28" s="111">
        <v>2006</v>
      </c>
      <c r="Z28" s="112">
        <f>AVERAGEIF($E$2:$E$292,"2006",$P$2:$P$292)</f>
        <v>2.6111111111111112</v>
      </c>
      <c r="AA28" s="112">
        <f>_xlfn.MINIFS($P$2:$P$292,$E$2:$E$292,"2006")</f>
        <v>2.2999999999999998</v>
      </c>
      <c r="AB28" s="112">
        <f>_xlfn.MAXIFS($P$2:$P$292,$E$2:$E$292,"2006")</f>
        <v>3.05</v>
      </c>
      <c r="AC28" s="113">
        <f>AVERAGE(W353)</f>
        <v>2.2999999999999998</v>
      </c>
      <c r="AD28" s="114">
        <f>_xlfn.MINIFS($P$339:$P$365,$E$339:$E$365,"2006")</f>
        <v>2.29</v>
      </c>
      <c r="AE28" s="114">
        <f>_xlfn.MAXIFS($P$339:$P$365,$E$339:$E$365,"2006")</f>
        <v>2.31</v>
      </c>
      <c r="AF28" s="115"/>
      <c r="AG28" s="116"/>
      <c r="AH28" s="116"/>
      <c r="AI28" s="31"/>
    </row>
    <row r="29" spans="1:47" x14ac:dyDescent="0.2">
      <c r="A29" t="s">
        <v>21</v>
      </c>
      <c r="B29">
        <v>1674</v>
      </c>
      <c r="C29">
        <v>1</v>
      </c>
      <c r="D29" s="1">
        <v>31714</v>
      </c>
      <c r="E29" s="3">
        <f t="shared" si="0"/>
        <v>1986</v>
      </c>
      <c r="F29" t="s">
        <v>22</v>
      </c>
      <c r="G29">
        <v>2</v>
      </c>
      <c r="H29" t="s">
        <v>31</v>
      </c>
      <c r="I29" t="s">
        <v>24</v>
      </c>
      <c r="J29" t="s">
        <v>58</v>
      </c>
      <c r="M29">
        <v>11</v>
      </c>
      <c r="N29">
        <v>6</v>
      </c>
      <c r="O29" t="s">
        <v>25</v>
      </c>
      <c r="P29">
        <v>1.9</v>
      </c>
      <c r="Q29" t="s">
        <v>26</v>
      </c>
      <c r="R29" t="s">
        <v>27</v>
      </c>
      <c r="S29" t="s">
        <v>28</v>
      </c>
      <c r="Y29" s="111">
        <v>2007</v>
      </c>
      <c r="Z29" s="112">
        <f>AVERAGEIF($E$2:$E$292,"2007",$P$2:$P$292)</f>
        <v>2.7666666666666671</v>
      </c>
      <c r="AA29" s="112">
        <f>_xlfn.MINIFS($P$2:$P$292,$E$2:$E$292,"2007")</f>
        <v>1.9</v>
      </c>
      <c r="AB29" s="112">
        <f>_xlfn.MAXIFS($P$2:$P$292,$E$2:$E$292,"2007")</f>
        <v>3.2</v>
      </c>
      <c r="AC29" s="113"/>
      <c r="AD29" s="114"/>
      <c r="AE29" s="114"/>
      <c r="AF29" s="115"/>
      <c r="AG29" s="116"/>
      <c r="AH29" s="116"/>
      <c r="AI29" s="31"/>
    </row>
    <row r="30" spans="1:47" s="7" customFormat="1" x14ac:dyDescent="0.2">
      <c r="A30" s="7" t="s">
        <v>21</v>
      </c>
      <c r="B30" s="7">
        <v>1674</v>
      </c>
      <c r="C30" s="7">
        <v>1</v>
      </c>
      <c r="D30" s="8">
        <v>31834</v>
      </c>
      <c r="E30" s="9">
        <f t="shared" si="0"/>
        <v>1987</v>
      </c>
      <c r="F30" s="7" t="s">
        <v>22</v>
      </c>
      <c r="G30" s="7">
        <v>2</v>
      </c>
      <c r="H30" s="7" t="s">
        <v>65</v>
      </c>
      <c r="I30" s="7" t="s">
        <v>24</v>
      </c>
      <c r="J30" s="7" t="s">
        <v>66</v>
      </c>
      <c r="M30" s="7">
        <v>5</v>
      </c>
      <c r="N30" s="7">
        <v>1</v>
      </c>
      <c r="O30" s="7" t="s">
        <v>32</v>
      </c>
      <c r="P30" s="7">
        <v>2.5</v>
      </c>
      <c r="Q30" s="7" t="s">
        <v>26</v>
      </c>
      <c r="R30" s="7" t="s">
        <v>27</v>
      </c>
      <c r="S30" s="7" t="s">
        <v>28</v>
      </c>
      <c r="W30" s="16"/>
      <c r="Y30" s="111">
        <v>2008</v>
      </c>
      <c r="Z30" s="112">
        <f>AVERAGEIF($E$2:$E$292,"2008",$P$2:$P$292)</f>
        <v>2.3833333333333333</v>
      </c>
      <c r="AA30" s="112">
        <f>_xlfn.MINIFS($P$2:$P$292,$E$2:$E$292,"2008")</f>
        <v>2.2999999999999998</v>
      </c>
      <c r="AB30" s="112">
        <f>_xlfn.MAXIFS($P$2:$P$292,$E$2:$E$292,"2008")</f>
        <v>2.4500000000000002</v>
      </c>
      <c r="AC30" s="113"/>
      <c r="AD30" s="114"/>
      <c r="AE30" s="114"/>
      <c r="AF30" s="115"/>
      <c r="AG30" s="116"/>
      <c r="AH30" s="116"/>
      <c r="AI30" s="31"/>
    </row>
    <row r="31" spans="1:47" s="7" customFormat="1" x14ac:dyDescent="0.2">
      <c r="A31" s="7" t="s">
        <v>21</v>
      </c>
      <c r="B31" s="7">
        <v>1674</v>
      </c>
      <c r="C31" s="7">
        <v>1</v>
      </c>
      <c r="D31" s="8">
        <v>31906</v>
      </c>
      <c r="E31" s="9">
        <f t="shared" si="0"/>
        <v>1987</v>
      </c>
      <c r="F31" s="7" t="s">
        <v>22</v>
      </c>
      <c r="G31" s="7">
        <v>2</v>
      </c>
      <c r="H31" s="7" t="s">
        <v>31</v>
      </c>
      <c r="I31" s="7" t="s">
        <v>24</v>
      </c>
      <c r="J31" s="7" t="s">
        <v>66</v>
      </c>
      <c r="M31" s="7">
        <v>15</v>
      </c>
      <c r="N31" s="7">
        <v>6</v>
      </c>
      <c r="O31" s="7" t="s">
        <v>32</v>
      </c>
      <c r="P31" s="7">
        <v>2.5</v>
      </c>
      <c r="Q31" s="7" t="s">
        <v>26</v>
      </c>
      <c r="R31" s="7" t="s">
        <v>27</v>
      </c>
      <c r="S31" s="7" t="s">
        <v>28</v>
      </c>
      <c r="W31" s="16"/>
      <c r="Y31" s="111">
        <v>2009</v>
      </c>
      <c r="Z31" s="112">
        <f>AVERAGE(P272,W274,P275:P279)</f>
        <v>2.6228571428571428</v>
      </c>
      <c r="AA31" s="112">
        <f>_xlfn.MINIFS($P$2:$P$292,$E$2:$E$292,"2009")</f>
        <v>2</v>
      </c>
      <c r="AB31" s="112">
        <f>_xlfn.MAXIFS($P$2:$P$292,$E$2:$E$292,"2009")</f>
        <v>3.4</v>
      </c>
      <c r="AC31" s="113"/>
      <c r="AD31" s="114"/>
      <c r="AE31" s="114"/>
      <c r="AF31" s="115"/>
      <c r="AG31" s="116"/>
      <c r="AH31" s="116"/>
      <c r="AI31" s="31"/>
    </row>
    <row r="32" spans="1:47" s="7" customFormat="1" x14ac:dyDescent="0.2">
      <c r="A32" s="7" t="s">
        <v>21</v>
      </c>
      <c r="B32" s="7">
        <v>1674</v>
      </c>
      <c r="C32" s="7">
        <v>1</v>
      </c>
      <c r="D32" s="8">
        <v>31925</v>
      </c>
      <c r="E32" s="9">
        <f t="shared" si="0"/>
        <v>1987</v>
      </c>
      <c r="F32" s="7" t="s">
        <v>22</v>
      </c>
      <c r="G32" s="7">
        <v>2</v>
      </c>
      <c r="H32" s="7" t="s">
        <v>68</v>
      </c>
      <c r="I32" s="7" t="s">
        <v>24</v>
      </c>
      <c r="J32" s="7" t="s">
        <v>51</v>
      </c>
      <c r="M32" s="7">
        <v>6</v>
      </c>
      <c r="N32" s="7">
        <v>7</v>
      </c>
      <c r="O32" s="7" t="s">
        <v>32</v>
      </c>
      <c r="P32" s="7">
        <v>3.5</v>
      </c>
      <c r="Q32" s="7" t="s">
        <v>26</v>
      </c>
      <c r="R32" s="7" t="s">
        <v>27</v>
      </c>
      <c r="S32" s="7" t="s">
        <v>28</v>
      </c>
      <c r="W32" s="16"/>
      <c r="Y32" s="111">
        <v>2010</v>
      </c>
      <c r="Z32" s="195"/>
      <c r="AA32" s="195"/>
      <c r="AB32" s="195"/>
      <c r="AC32" s="113"/>
      <c r="AD32" s="114"/>
      <c r="AE32" s="114"/>
      <c r="AF32" s="115"/>
      <c r="AG32" s="116"/>
      <c r="AH32" s="116"/>
      <c r="AI32" s="31"/>
    </row>
    <row r="33" spans="1:35" s="7" customFormat="1" x14ac:dyDescent="0.2">
      <c r="A33" s="7" t="s">
        <v>21</v>
      </c>
      <c r="B33" s="7">
        <v>1674</v>
      </c>
      <c r="C33" s="7">
        <v>1</v>
      </c>
      <c r="D33" s="8">
        <v>31937</v>
      </c>
      <c r="E33" s="9">
        <f t="shared" si="0"/>
        <v>1987</v>
      </c>
      <c r="F33" s="7" t="s">
        <v>22</v>
      </c>
      <c r="G33" s="7">
        <v>2</v>
      </c>
      <c r="H33" s="7" t="s">
        <v>71</v>
      </c>
      <c r="I33" s="7" t="s">
        <v>24</v>
      </c>
      <c r="J33" s="7" t="s">
        <v>66</v>
      </c>
      <c r="M33" s="7">
        <v>8</v>
      </c>
      <c r="N33" s="7">
        <v>2</v>
      </c>
      <c r="O33" s="7" t="s">
        <v>25</v>
      </c>
      <c r="P33" s="7">
        <v>3</v>
      </c>
      <c r="Q33" s="7" t="s">
        <v>26</v>
      </c>
      <c r="R33" s="7" t="s">
        <v>27</v>
      </c>
      <c r="S33" s="7" t="s">
        <v>28</v>
      </c>
      <c r="W33" s="16"/>
      <c r="Y33" s="111">
        <v>2011</v>
      </c>
      <c r="Z33" s="195"/>
      <c r="AA33" s="195"/>
      <c r="AB33" s="195"/>
      <c r="AC33" s="113"/>
      <c r="AD33" s="114"/>
      <c r="AE33" s="114"/>
      <c r="AF33" s="115"/>
      <c r="AG33" s="116"/>
      <c r="AH33" s="116"/>
      <c r="AI33" s="31"/>
    </row>
    <row r="34" spans="1:35" s="7" customFormat="1" x14ac:dyDescent="0.2">
      <c r="A34" s="7" t="s">
        <v>21</v>
      </c>
      <c r="B34" s="7">
        <v>1674</v>
      </c>
      <c r="C34" s="7">
        <v>1</v>
      </c>
      <c r="D34" s="8">
        <v>31951</v>
      </c>
      <c r="E34" s="9">
        <f t="shared" si="0"/>
        <v>1987</v>
      </c>
      <c r="F34" s="7" t="s">
        <v>22</v>
      </c>
      <c r="G34" s="7">
        <v>2</v>
      </c>
      <c r="H34" s="7" t="s">
        <v>73</v>
      </c>
      <c r="I34" s="7" t="s">
        <v>24</v>
      </c>
      <c r="J34" s="7" t="s">
        <v>66</v>
      </c>
      <c r="M34" s="7">
        <v>5</v>
      </c>
      <c r="N34" s="7">
        <v>5</v>
      </c>
      <c r="O34" s="7" t="s">
        <v>32</v>
      </c>
      <c r="P34" s="7">
        <v>3.1</v>
      </c>
      <c r="Q34" s="7" t="s">
        <v>26</v>
      </c>
      <c r="R34" s="7" t="s">
        <v>27</v>
      </c>
      <c r="S34" s="7" t="s">
        <v>28</v>
      </c>
      <c r="W34" s="16"/>
      <c r="Y34" s="111">
        <v>2012</v>
      </c>
      <c r="Z34" s="195"/>
      <c r="AA34" s="195"/>
      <c r="AB34" s="195"/>
      <c r="AC34" s="113"/>
      <c r="AD34" s="114"/>
      <c r="AE34" s="114"/>
      <c r="AF34" s="115"/>
      <c r="AG34" s="116"/>
      <c r="AH34" s="116"/>
      <c r="AI34" s="31"/>
    </row>
    <row r="35" spans="1:35" s="7" customFormat="1" x14ac:dyDescent="0.2">
      <c r="A35" s="7" t="s">
        <v>21</v>
      </c>
      <c r="B35" s="7">
        <v>1674</v>
      </c>
      <c r="C35" s="7">
        <v>1</v>
      </c>
      <c r="D35" s="8">
        <v>31972</v>
      </c>
      <c r="E35" s="9">
        <f t="shared" si="0"/>
        <v>1987</v>
      </c>
      <c r="F35" s="7" t="s">
        <v>22</v>
      </c>
      <c r="G35" s="7">
        <v>2</v>
      </c>
      <c r="H35" s="7" t="s">
        <v>75</v>
      </c>
      <c r="I35" s="7" t="s">
        <v>24</v>
      </c>
      <c r="J35" s="7" t="s">
        <v>66</v>
      </c>
      <c r="M35" s="7">
        <v>8</v>
      </c>
      <c r="N35" s="7">
        <v>6</v>
      </c>
      <c r="O35" s="7" t="s">
        <v>25</v>
      </c>
      <c r="P35" s="7">
        <v>2.8</v>
      </c>
      <c r="Q35" s="7" t="s">
        <v>26</v>
      </c>
      <c r="R35" s="7" t="s">
        <v>27</v>
      </c>
      <c r="S35" s="7" t="s">
        <v>28</v>
      </c>
      <c r="W35" s="16"/>
      <c r="Y35" s="111">
        <v>2013</v>
      </c>
      <c r="Z35" s="195"/>
      <c r="AA35" s="195"/>
      <c r="AB35" s="195"/>
      <c r="AC35" s="113"/>
      <c r="AD35" s="114"/>
      <c r="AE35" s="114"/>
      <c r="AF35" s="115"/>
      <c r="AG35" s="116"/>
      <c r="AH35" s="116"/>
      <c r="AI35" s="31"/>
    </row>
    <row r="36" spans="1:35" s="7" customFormat="1" x14ac:dyDescent="0.2">
      <c r="A36" s="7" t="s">
        <v>21</v>
      </c>
      <c r="B36" s="7">
        <v>1674</v>
      </c>
      <c r="C36" s="7">
        <v>1</v>
      </c>
      <c r="D36" s="8">
        <v>31987</v>
      </c>
      <c r="E36" s="9">
        <f t="shared" si="0"/>
        <v>1987</v>
      </c>
      <c r="F36" s="7" t="s">
        <v>22</v>
      </c>
      <c r="G36" s="7">
        <v>2</v>
      </c>
      <c r="H36" s="7" t="s">
        <v>76</v>
      </c>
      <c r="I36" s="7" t="s">
        <v>24</v>
      </c>
      <c r="J36" s="7" t="s">
        <v>51</v>
      </c>
      <c r="M36" s="7">
        <v>10</v>
      </c>
      <c r="N36" s="7">
        <v>1</v>
      </c>
      <c r="O36" s="7" t="s">
        <v>30</v>
      </c>
      <c r="P36" s="7">
        <v>2.4</v>
      </c>
      <c r="Q36" s="7" t="s">
        <v>26</v>
      </c>
      <c r="R36" s="7" t="s">
        <v>27</v>
      </c>
      <c r="S36" s="7" t="s">
        <v>28</v>
      </c>
      <c r="W36" s="16"/>
      <c r="Y36" s="111">
        <v>2014</v>
      </c>
      <c r="Z36" s="195"/>
      <c r="AA36" s="195"/>
      <c r="AB36" s="195"/>
      <c r="AC36" s="113"/>
      <c r="AD36" s="114"/>
      <c r="AE36" s="114"/>
      <c r="AF36" s="115"/>
      <c r="AG36" s="116"/>
      <c r="AH36" s="116"/>
      <c r="AI36" s="31"/>
    </row>
    <row r="37" spans="1:35" s="7" customFormat="1" x14ac:dyDescent="0.2">
      <c r="A37" s="7" t="s">
        <v>21</v>
      </c>
      <c r="B37" s="7">
        <v>1674</v>
      </c>
      <c r="C37" s="7">
        <v>1</v>
      </c>
      <c r="D37" s="8">
        <v>32002</v>
      </c>
      <c r="E37" s="9">
        <f t="shared" si="0"/>
        <v>1987</v>
      </c>
      <c r="F37" s="7" t="s">
        <v>22</v>
      </c>
      <c r="G37" s="7">
        <v>2</v>
      </c>
      <c r="H37" s="7" t="s">
        <v>78</v>
      </c>
      <c r="I37" s="7" t="s">
        <v>24</v>
      </c>
      <c r="J37" s="7" t="s">
        <v>66</v>
      </c>
      <c r="M37" s="7">
        <v>2</v>
      </c>
      <c r="N37" s="7">
        <v>6</v>
      </c>
      <c r="O37" s="7" t="s">
        <v>30</v>
      </c>
      <c r="P37" s="7">
        <v>1.8</v>
      </c>
      <c r="Q37" s="7" t="s">
        <v>26</v>
      </c>
      <c r="R37" s="7" t="s">
        <v>27</v>
      </c>
      <c r="S37" s="7" t="s">
        <v>28</v>
      </c>
      <c r="W37" s="16"/>
      <c r="Y37" s="111">
        <v>2015</v>
      </c>
      <c r="Z37" s="195"/>
      <c r="AA37" s="195"/>
      <c r="AB37" s="195"/>
      <c r="AC37" s="113"/>
      <c r="AD37" s="114"/>
      <c r="AE37" s="114"/>
      <c r="AF37" s="115"/>
      <c r="AG37" s="116"/>
      <c r="AH37" s="116"/>
      <c r="AI37" s="31"/>
    </row>
    <row r="38" spans="1:35" s="7" customFormat="1" x14ac:dyDescent="0.2">
      <c r="A38" s="7" t="s">
        <v>21</v>
      </c>
      <c r="B38" s="7">
        <v>1674</v>
      </c>
      <c r="C38" s="7">
        <v>1</v>
      </c>
      <c r="D38" s="8">
        <v>32014</v>
      </c>
      <c r="E38" s="9">
        <f t="shared" si="0"/>
        <v>1987</v>
      </c>
      <c r="F38" s="7" t="s">
        <v>22</v>
      </c>
      <c r="G38" s="7">
        <v>2</v>
      </c>
      <c r="H38" s="7" t="s">
        <v>31</v>
      </c>
      <c r="I38" s="7" t="s">
        <v>24</v>
      </c>
      <c r="J38" s="7" t="s">
        <v>66</v>
      </c>
      <c r="M38" s="7">
        <v>18</v>
      </c>
      <c r="N38" s="7">
        <v>6</v>
      </c>
      <c r="O38" s="7" t="s">
        <v>32</v>
      </c>
      <c r="P38" s="7">
        <v>1.7</v>
      </c>
      <c r="Q38" s="7" t="s">
        <v>26</v>
      </c>
      <c r="R38" s="7" t="s">
        <v>27</v>
      </c>
      <c r="S38" s="7" t="s">
        <v>28</v>
      </c>
      <c r="W38" s="16"/>
      <c r="Y38" s="111">
        <v>2016</v>
      </c>
      <c r="Z38" s="112">
        <f>AVERAGE(W281)</f>
        <v>2.8899999999999997</v>
      </c>
      <c r="AA38" s="112">
        <f>_xlfn.MINIFS($P$2:$P$292,$E$2:$E$292,"2016")</f>
        <v>2.84</v>
      </c>
      <c r="AB38" s="112">
        <f>_xlfn.MAXIFS($P$2:$P$292,$E$2:$E$292,"2016")</f>
        <v>2.94</v>
      </c>
      <c r="AC38" s="113"/>
      <c r="AD38" s="114"/>
      <c r="AE38" s="114"/>
      <c r="AF38" s="115"/>
      <c r="AG38" s="116"/>
      <c r="AH38" s="116"/>
      <c r="AI38" s="31"/>
    </row>
    <row r="39" spans="1:35" s="7" customFormat="1" x14ac:dyDescent="0.2">
      <c r="A39" s="7" t="s">
        <v>21</v>
      </c>
      <c r="B39" s="7">
        <v>1674</v>
      </c>
      <c r="C39" s="7">
        <v>1</v>
      </c>
      <c r="D39" s="8">
        <v>32035</v>
      </c>
      <c r="E39" s="9">
        <f t="shared" si="0"/>
        <v>1987</v>
      </c>
      <c r="F39" s="7" t="s">
        <v>22</v>
      </c>
      <c r="G39" s="7">
        <v>2</v>
      </c>
      <c r="H39" s="7" t="s">
        <v>80</v>
      </c>
      <c r="I39" s="7" t="s">
        <v>24</v>
      </c>
      <c r="J39" s="7" t="s">
        <v>81</v>
      </c>
      <c r="M39" s="7">
        <v>15</v>
      </c>
      <c r="N39" s="7">
        <v>7</v>
      </c>
      <c r="O39" s="7" t="s">
        <v>30</v>
      </c>
      <c r="P39" s="7">
        <v>1.9</v>
      </c>
      <c r="Q39" s="7" t="s">
        <v>26</v>
      </c>
      <c r="R39" s="7" t="s">
        <v>27</v>
      </c>
      <c r="S39" s="7" t="s">
        <v>28</v>
      </c>
      <c r="W39" s="16"/>
      <c r="Y39" s="111">
        <v>2017</v>
      </c>
      <c r="Z39" s="112">
        <f>AVERAGEIF($E$2:$E$292,"2017",$P$2:$P$292)</f>
        <v>2.52</v>
      </c>
      <c r="AA39" s="112">
        <f>_xlfn.MINIFS($P$2:$P$292,$E$2:$E$292,"2017")</f>
        <v>2.52</v>
      </c>
      <c r="AB39" s="112">
        <f>_xlfn.MAXIFS($P$2:$P$292,$E$2:$E$292,"2017")</f>
        <v>2.52</v>
      </c>
      <c r="AC39" s="113"/>
      <c r="AD39" s="114"/>
      <c r="AE39" s="114"/>
      <c r="AF39" s="115"/>
      <c r="AG39" s="116"/>
      <c r="AH39" s="116"/>
      <c r="AI39" s="31"/>
    </row>
    <row r="40" spans="1:35" s="7" customFormat="1" x14ac:dyDescent="0.2">
      <c r="A40" s="7" t="s">
        <v>21</v>
      </c>
      <c r="B40" s="7">
        <v>1674</v>
      </c>
      <c r="C40" s="7">
        <v>1</v>
      </c>
      <c r="D40" s="8">
        <v>32048</v>
      </c>
      <c r="E40" s="9">
        <f t="shared" si="0"/>
        <v>1987</v>
      </c>
      <c r="F40" s="7" t="s">
        <v>22</v>
      </c>
      <c r="G40" s="7">
        <v>2</v>
      </c>
      <c r="H40" s="7" t="s">
        <v>83</v>
      </c>
      <c r="I40" s="7" t="s">
        <v>24</v>
      </c>
      <c r="J40" s="7" t="s">
        <v>81</v>
      </c>
      <c r="M40" s="7">
        <v>10</v>
      </c>
      <c r="N40" s="7">
        <v>6</v>
      </c>
      <c r="O40" s="7" t="s">
        <v>25</v>
      </c>
      <c r="P40" s="7">
        <v>2</v>
      </c>
      <c r="Q40" s="7" t="s">
        <v>26</v>
      </c>
      <c r="R40" s="7" t="s">
        <v>27</v>
      </c>
      <c r="S40" s="7" t="s">
        <v>28</v>
      </c>
      <c r="W40" s="16"/>
      <c r="Y40" s="111">
        <v>2018</v>
      </c>
      <c r="Z40" s="112">
        <f>AVERAGE(P289,W291,P292)</f>
        <v>3.1416666666666671</v>
      </c>
      <c r="AA40" s="112">
        <f>_xlfn.MINIFS($P$2:$P$292,$E$2:$E$292,"2018")</f>
        <v>2.61</v>
      </c>
      <c r="AB40" s="112">
        <f>_xlfn.MAXIFS($P$2:$P$292,$E$2:$E$292,"2018")</f>
        <v>4.95</v>
      </c>
      <c r="AC40" s="113">
        <f>AVERAGE(P356:P359,W361,P362)</f>
        <v>3.6083333333333338</v>
      </c>
      <c r="AD40" s="114">
        <f>_xlfn.MINIFS($P$339:$P$365,$E$339:$E$365,"2018")</f>
        <v>2.73</v>
      </c>
      <c r="AE40" s="114">
        <f>_xlfn.MAXIFS($P$339:$P$365,$E$339:$E$365,"2018")</f>
        <v>4.74</v>
      </c>
      <c r="AF40" s="115"/>
      <c r="AG40" s="116"/>
      <c r="AH40" s="116"/>
      <c r="AI40" s="31"/>
    </row>
    <row r="41" spans="1:35" s="7" customFormat="1" x14ac:dyDescent="0.2">
      <c r="A41" s="7" t="s">
        <v>21</v>
      </c>
      <c r="B41" s="7">
        <v>1674</v>
      </c>
      <c r="C41" s="7">
        <v>1</v>
      </c>
      <c r="D41" s="8">
        <v>32065</v>
      </c>
      <c r="E41" s="9">
        <f t="shared" si="0"/>
        <v>1987</v>
      </c>
      <c r="F41" s="7" t="s">
        <v>22</v>
      </c>
      <c r="G41" s="7">
        <v>2</v>
      </c>
      <c r="H41" s="7" t="s">
        <v>84</v>
      </c>
      <c r="I41" s="7" t="s">
        <v>24</v>
      </c>
      <c r="J41" s="7" t="s">
        <v>51</v>
      </c>
      <c r="M41" s="7">
        <v>10</v>
      </c>
      <c r="N41" s="7">
        <v>8</v>
      </c>
      <c r="O41" s="7" t="s">
        <v>30</v>
      </c>
      <c r="P41" s="7">
        <v>2.2000000000000002</v>
      </c>
      <c r="Q41" s="7" t="s">
        <v>26</v>
      </c>
      <c r="R41" s="7" t="s">
        <v>27</v>
      </c>
      <c r="S41" s="7" t="s">
        <v>28</v>
      </c>
      <c r="W41" s="16"/>
      <c r="Y41" s="117">
        <v>2019</v>
      </c>
      <c r="Z41" s="112">
        <f>AVERAGEIF($E$2:$E$309,"2019",$P$2:$P$309)</f>
        <v>2.988666666666667</v>
      </c>
      <c r="AA41" s="112">
        <f>_xlfn.MINIFS($P$2:$P$309,$E$2:$E$309,"2019")</f>
        <v>1.76</v>
      </c>
      <c r="AB41" s="112">
        <f>_xlfn.MAXIFS($P$2:$P$309,$E$2:$E$309,"2019")</f>
        <v>4.43</v>
      </c>
      <c r="AC41" s="113">
        <f>AVERAGEIF($E$339:$E$365,"2019",$P$339:$P$365)</f>
        <v>3.22</v>
      </c>
      <c r="AD41" s="114">
        <f>_xlfn.MINIFS($P$339:$P$365,$E$339:$E$365,"2019")</f>
        <v>2.56</v>
      </c>
      <c r="AE41" s="118">
        <f>_xlfn.MAXIFS($P$339:$P$365,$E$339:$E$365,"2019")</f>
        <v>3.65</v>
      </c>
      <c r="AF41" s="119">
        <f>AVERAGE($P$366:$P$377)</f>
        <v>2.9016666666666668</v>
      </c>
      <c r="AG41" s="119">
        <f>MIN($P$366:$P$377)</f>
        <v>1.79</v>
      </c>
      <c r="AH41" s="119">
        <f>MAX($P$366:$P$377)</f>
        <v>4.28</v>
      </c>
      <c r="AI41" s="31"/>
    </row>
    <row r="42" spans="1:35" s="7" customFormat="1" x14ac:dyDescent="0.2">
      <c r="A42" s="7" t="s">
        <v>21</v>
      </c>
      <c r="B42" s="7">
        <v>1674</v>
      </c>
      <c r="C42" s="7">
        <v>1</v>
      </c>
      <c r="D42" s="8">
        <v>32078</v>
      </c>
      <c r="E42" s="9">
        <f t="shared" si="0"/>
        <v>1987</v>
      </c>
      <c r="F42" s="7" t="s">
        <v>22</v>
      </c>
      <c r="G42" s="7">
        <v>2</v>
      </c>
      <c r="H42" s="7" t="s">
        <v>79</v>
      </c>
      <c r="I42" s="7" t="s">
        <v>24</v>
      </c>
      <c r="J42" s="7" t="s">
        <v>81</v>
      </c>
      <c r="M42" s="7">
        <v>10</v>
      </c>
      <c r="N42" s="7">
        <v>4</v>
      </c>
      <c r="O42" s="7" t="s">
        <v>25</v>
      </c>
      <c r="P42" s="7">
        <v>3.1</v>
      </c>
      <c r="Q42" s="7" t="s">
        <v>26</v>
      </c>
      <c r="R42" s="7" t="s">
        <v>27</v>
      </c>
      <c r="S42" s="7" t="s">
        <v>28</v>
      </c>
      <c r="W42" s="16"/>
      <c r="Y42" s="117">
        <v>2020</v>
      </c>
      <c r="Z42" s="112">
        <f>AVERAGEIF($E$2:$E$324,"2020",$P$2:$P$324)</f>
        <v>3.2617647058823529</v>
      </c>
      <c r="AA42" s="112">
        <f>_xlfn.MINIFS($P$2:$P$324,$E$2:$E$324,"2020")</f>
        <v>2.25</v>
      </c>
      <c r="AB42" s="112">
        <f>_xlfn.MAXIFS($P$2:$P$324,$E$2:$E$324,"2020")</f>
        <v>4.53</v>
      </c>
      <c r="AC42" s="113"/>
      <c r="AD42" s="114"/>
      <c r="AE42" s="118"/>
      <c r="AI42" s="108"/>
    </row>
    <row r="43" spans="1:35" x14ac:dyDescent="0.2">
      <c r="A43" t="s">
        <v>21</v>
      </c>
      <c r="B43">
        <v>1674</v>
      </c>
      <c r="C43">
        <v>1</v>
      </c>
      <c r="D43" s="1">
        <v>32235</v>
      </c>
      <c r="E43" s="3">
        <f t="shared" si="0"/>
        <v>1988</v>
      </c>
      <c r="F43" t="s">
        <v>22</v>
      </c>
      <c r="G43">
        <v>2</v>
      </c>
      <c r="H43" t="s">
        <v>85</v>
      </c>
      <c r="I43" t="s">
        <v>86</v>
      </c>
      <c r="J43" t="s">
        <v>66</v>
      </c>
      <c r="M43">
        <v>3</v>
      </c>
      <c r="N43">
        <v>8</v>
      </c>
      <c r="O43" t="s">
        <v>30</v>
      </c>
      <c r="P43">
        <v>6</v>
      </c>
      <c r="Q43" t="s">
        <v>26</v>
      </c>
      <c r="R43" t="s">
        <v>27</v>
      </c>
      <c r="S43" t="s">
        <v>28</v>
      </c>
      <c r="Y43" s="120" t="s">
        <v>245</v>
      </c>
      <c r="Z43" s="121">
        <f>AVERAGE(Z3:Z42)</f>
        <v>2.6796626935001515</v>
      </c>
      <c r="AA43" s="121">
        <f>MIN(AA3:AA42)</f>
        <v>0.9</v>
      </c>
      <c r="AB43" s="121">
        <f>MAX(AB3:AB42)</f>
        <v>6</v>
      </c>
      <c r="AC43" s="122">
        <f>MAX(AC3:AC41)</f>
        <v>3.6083333333333338</v>
      </c>
      <c r="AD43" s="121">
        <f>MIN(AD3:AD41)</f>
        <v>1.5</v>
      </c>
      <c r="AE43" s="121">
        <f>MAX(AE3:AE41)</f>
        <v>4.74</v>
      </c>
      <c r="AF43" s="122">
        <f>MAX(AF3:AF41)</f>
        <v>2.9016666666666668</v>
      </c>
      <c r="AG43" s="121">
        <f>MIN(AG3:AG41)</f>
        <v>1.79</v>
      </c>
      <c r="AH43" s="121">
        <f>MAX(AH3:AH41)</f>
        <v>4.28</v>
      </c>
      <c r="AI43" s="80"/>
    </row>
    <row r="44" spans="1:35" x14ac:dyDescent="0.2">
      <c r="A44" t="s">
        <v>21</v>
      </c>
      <c r="B44">
        <v>1674</v>
      </c>
      <c r="C44">
        <v>1</v>
      </c>
      <c r="D44" s="1">
        <v>32273</v>
      </c>
      <c r="E44" s="3">
        <f t="shared" si="0"/>
        <v>1988</v>
      </c>
      <c r="F44" t="s">
        <v>22</v>
      </c>
      <c r="G44">
        <v>2</v>
      </c>
      <c r="H44" t="s">
        <v>31</v>
      </c>
      <c r="I44" t="s">
        <v>86</v>
      </c>
      <c r="M44">
        <v>5</v>
      </c>
      <c r="N44">
        <v>1</v>
      </c>
      <c r="O44" t="s">
        <v>30</v>
      </c>
      <c r="P44">
        <v>3.2</v>
      </c>
      <c r="Q44" t="s">
        <v>26</v>
      </c>
      <c r="R44" t="s">
        <v>27</v>
      </c>
      <c r="S44" t="s">
        <v>28</v>
      </c>
      <c r="Y44" s="123" t="s">
        <v>248</v>
      </c>
      <c r="Z44" s="124" t="s">
        <v>242</v>
      </c>
      <c r="AA44" s="124" t="s">
        <v>250</v>
      </c>
      <c r="AB44" s="124" t="s">
        <v>244</v>
      </c>
      <c r="AC44" s="125" t="s">
        <v>242</v>
      </c>
      <c r="AD44" s="124" t="s">
        <v>243</v>
      </c>
      <c r="AE44" s="124" t="s">
        <v>244</v>
      </c>
      <c r="AF44" s="125" t="s">
        <v>242</v>
      </c>
      <c r="AG44" s="126" t="s">
        <v>243</v>
      </c>
      <c r="AH44" s="126" t="s">
        <v>244</v>
      </c>
      <c r="AI44" s="20"/>
    </row>
    <row r="45" spans="1:35" x14ac:dyDescent="0.2">
      <c r="A45" t="s">
        <v>21</v>
      </c>
      <c r="B45">
        <v>1674</v>
      </c>
      <c r="C45">
        <v>1</v>
      </c>
      <c r="D45" s="1">
        <v>32296</v>
      </c>
      <c r="E45" s="3">
        <f t="shared" si="0"/>
        <v>1988</v>
      </c>
      <c r="F45" t="s">
        <v>22</v>
      </c>
      <c r="G45">
        <v>2</v>
      </c>
      <c r="H45" t="s">
        <v>87</v>
      </c>
      <c r="I45" t="s">
        <v>86</v>
      </c>
      <c r="M45">
        <v>13</v>
      </c>
      <c r="N45">
        <v>8</v>
      </c>
      <c r="O45" t="s">
        <v>32</v>
      </c>
      <c r="P45">
        <v>2.5</v>
      </c>
      <c r="Q45" t="s">
        <v>26</v>
      </c>
      <c r="R45" t="s">
        <v>27</v>
      </c>
      <c r="S45" t="s">
        <v>28</v>
      </c>
    </row>
    <row r="46" spans="1:35" x14ac:dyDescent="0.2">
      <c r="A46" t="s">
        <v>21</v>
      </c>
      <c r="B46">
        <v>1674</v>
      </c>
      <c r="C46">
        <v>1</v>
      </c>
      <c r="D46" s="1">
        <v>32310</v>
      </c>
      <c r="E46" s="3">
        <f t="shared" si="0"/>
        <v>1988</v>
      </c>
      <c r="F46" t="s">
        <v>22</v>
      </c>
      <c r="G46">
        <v>2</v>
      </c>
      <c r="I46" t="s">
        <v>88</v>
      </c>
      <c r="J46" t="s">
        <v>66</v>
      </c>
      <c r="M46">
        <v>7</v>
      </c>
      <c r="N46">
        <v>5</v>
      </c>
      <c r="O46" t="s">
        <v>30</v>
      </c>
      <c r="P46">
        <v>3.1</v>
      </c>
      <c r="Q46" t="s">
        <v>26</v>
      </c>
      <c r="R46" t="s">
        <v>27</v>
      </c>
      <c r="S46" t="s">
        <v>28</v>
      </c>
    </row>
    <row r="47" spans="1:35" x14ac:dyDescent="0.2">
      <c r="A47" t="s">
        <v>21</v>
      </c>
      <c r="B47">
        <v>1674</v>
      </c>
      <c r="C47">
        <v>1</v>
      </c>
      <c r="D47" s="1">
        <v>32322</v>
      </c>
      <c r="E47" s="3">
        <f t="shared" si="0"/>
        <v>1988</v>
      </c>
      <c r="F47" t="s">
        <v>22</v>
      </c>
      <c r="G47">
        <v>2</v>
      </c>
      <c r="H47" t="s">
        <v>89</v>
      </c>
      <c r="I47" t="s">
        <v>66</v>
      </c>
      <c r="J47" t="s">
        <v>90</v>
      </c>
      <c r="M47">
        <v>7</v>
      </c>
      <c r="N47">
        <v>5</v>
      </c>
      <c r="O47" t="s">
        <v>32</v>
      </c>
      <c r="P47">
        <v>2</v>
      </c>
      <c r="Q47" t="s">
        <v>26</v>
      </c>
      <c r="R47" t="s">
        <v>27</v>
      </c>
      <c r="S47" t="s">
        <v>28</v>
      </c>
    </row>
    <row r="48" spans="1:35" x14ac:dyDescent="0.2">
      <c r="A48" t="s">
        <v>21</v>
      </c>
      <c r="B48">
        <v>1674</v>
      </c>
      <c r="C48">
        <v>1</v>
      </c>
      <c r="D48" s="1">
        <v>32346</v>
      </c>
      <c r="E48" s="3">
        <f t="shared" si="0"/>
        <v>1988</v>
      </c>
      <c r="F48" t="s">
        <v>22</v>
      </c>
      <c r="G48">
        <v>2</v>
      </c>
      <c r="H48" t="s">
        <v>91</v>
      </c>
      <c r="I48" t="s">
        <v>66</v>
      </c>
      <c r="J48" t="s">
        <v>90</v>
      </c>
      <c r="M48">
        <v>0</v>
      </c>
      <c r="O48" t="s">
        <v>30</v>
      </c>
      <c r="P48">
        <v>2.5</v>
      </c>
      <c r="Q48" t="s">
        <v>26</v>
      </c>
      <c r="R48" t="s">
        <v>27</v>
      </c>
      <c r="S48" t="s">
        <v>28</v>
      </c>
    </row>
    <row r="49" spans="1:19" x14ac:dyDescent="0.2">
      <c r="A49" t="s">
        <v>21</v>
      </c>
      <c r="B49">
        <v>1674</v>
      </c>
      <c r="C49">
        <v>1</v>
      </c>
      <c r="D49" s="1">
        <v>32357</v>
      </c>
      <c r="E49" s="3">
        <f t="shared" si="0"/>
        <v>1988</v>
      </c>
      <c r="F49" t="s">
        <v>22</v>
      </c>
      <c r="G49">
        <v>2</v>
      </c>
      <c r="H49" t="s">
        <v>92</v>
      </c>
      <c r="I49" t="s">
        <v>66</v>
      </c>
      <c r="M49">
        <v>12</v>
      </c>
      <c r="O49" t="s">
        <v>32</v>
      </c>
      <c r="P49">
        <v>2.2000000000000002</v>
      </c>
      <c r="Q49" t="s">
        <v>26</v>
      </c>
      <c r="R49" t="s">
        <v>27</v>
      </c>
      <c r="S49" t="s">
        <v>28</v>
      </c>
    </row>
    <row r="50" spans="1:19" x14ac:dyDescent="0.2">
      <c r="A50" t="s">
        <v>21</v>
      </c>
      <c r="B50">
        <v>1674</v>
      </c>
      <c r="C50">
        <v>1</v>
      </c>
      <c r="D50" s="1">
        <v>32377</v>
      </c>
      <c r="E50" s="3">
        <f t="shared" si="0"/>
        <v>1988</v>
      </c>
      <c r="F50" t="s">
        <v>22</v>
      </c>
      <c r="G50">
        <v>2</v>
      </c>
      <c r="H50" t="s">
        <v>42</v>
      </c>
      <c r="I50" t="s">
        <v>86</v>
      </c>
      <c r="M50">
        <v>0</v>
      </c>
      <c r="O50" t="s">
        <v>25</v>
      </c>
      <c r="P50">
        <v>2.1</v>
      </c>
      <c r="Q50" t="s">
        <v>26</v>
      </c>
      <c r="R50" t="s">
        <v>27</v>
      </c>
      <c r="S50" t="s">
        <v>28</v>
      </c>
    </row>
    <row r="51" spans="1:19" x14ac:dyDescent="0.2">
      <c r="A51" t="s">
        <v>21</v>
      </c>
      <c r="B51">
        <v>1674</v>
      </c>
      <c r="C51">
        <v>1</v>
      </c>
      <c r="D51" s="1">
        <v>32394</v>
      </c>
      <c r="E51" s="3">
        <f t="shared" si="0"/>
        <v>1988</v>
      </c>
      <c r="F51" t="s">
        <v>22</v>
      </c>
      <c r="G51">
        <v>2</v>
      </c>
      <c r="H51" t="s">
        <v>93</v>
      </c>
      <c r="I51" t="s">
        <v>86</v>
      </c>
      <c r="J51" t="s">
        <v>66</v>
      </c>
      <c r="M51">
        <v>8</v>
      </c>
      <c r="N51">
        <v>5</v>
      </c>
      <c r="P51">
        <v>2</v>
      </c>
      <c r="Q51" t="s">
        <v>26</v>
      </c>
      <c r="R51" t="s">
        <v>27</v>
      </c>
      <c r="S51" t="s">
        <v>28</v>
      </c>
    </row>
    <row r="52" spans="1:19" x14ac:dyDescent="0.2">
      <c r="A52" t="s">
        <v>21</v>
      </c>
      <c r="B52">
        <v>1674</v>
      </c>
      <c r="C52">
        <v>1</v>
      </c>
      <c r="D52" s="1">
        <v>32422</v>
      </c>
      <c r="E52" s="3">
        <f t="shared" si="0"/>
        <v>1988</v>
      </c>
      <c r="F52" t="s">
        <v>22</v>
      </c>
      <c r="G52">
        <v>2</v>
      </c>
      <c r="H52" t="s">
        <v>94</v>
      </c>
      <c r="I52" t="s">
        <v>86</v>
      </c>
      <c r="M52">
        <v>12</v>
      </c>
      <c r="N52">
        <v>7</v>
      </c>
      <c r="O52" t="s">
        <v>30</v>
      </c>
      <c r="P52">
        <v>3</v>
      </c>
      <c r="Q52" t="s">
        <v>26</v>
      </c>
      <c r="R52" t="s">
        <v>27</v>
      </c>
      <c r="S52" t="s">
        <v>28</v>
      </c>
    </row>
    <row r="53" spans="1:19" x14ac:dyDescent="0.2">
      <c r="A53" t="s">
        <v>21</v>
      </c>
      <c r="B53">
        <v>1674</v>
      </c>
      <c r="C53">
        <v>1</v>
      </c>
      <c r="D53" s="1">
        <v>32582</v>
      </c>
      <c r="E53" s="3">
        <f t="shared" si="0"/>
        <v>1989</v>
      </c>
      <c r="F53" t="s">
        <v>22</v>
      </c>
      <c r="G53">
        <v>2</v>
      </c>
      <c r="H53" t="s">
        <v>95</v>
      </c>
      <c r="I53" t="s">
        <v>66</v>
      </c>
      <c r="J53" t="s">
        <v>96</v>
      </c>
      <c r="M53">
        <v>10</v>
      </c>
      <c r="N53">
        <v>5</v>
      </c>
      <c r="O53" t="s">
        <v>32</v>
      </c>
      <c r="P53">
        <v>5.5</v>
      </c>
      <c r="Q53" t="s">
        <v>26</v>
      </c>
      <c r="R53" t="s">
        <v>27</v>
      </c>
      <c r="S53" t="s">
        <v>28</v>
      </c>
    </row>
    <row r="54" spans="1:19" x14ac:dyDescent="0.2">
      <c r="A54" t="s">
        <v>21</v>
      </c>
      <c r="B54">
        <v>1674</v>
      </c>
      <c r="C54">
        <v>1</v>
      </c>
      <c r="D54" s="1">
        <v>32646</v>
      </c>
      <c r="E54" s="3">
        <f t="shared" si="0"/>
        <v>1989</v>
      </c>
      <c r="F54" t="s">
        <v>22</v>
      </c>
      <c r="G54">
        <v>2</v>
      </c>
      <c r="H54" t="s">
        <v>97</v>
      </c>
      <c r="I54" t="s">
        <v>66</v>
      </c>
      <c r="J54" t="s">
        <v>90</v>
      </c>
      <c r="O54" t="s">
        <v>30</v>
      </c>
      <c r="P54">
        <v>3.6</v>
      </c>
      <c r="Q54" t="s">
        <v>26</v>
      </c>
      <c r="R54" t="s">
        <v>27</v>
      </c>
      <c r="S54" t="s">
        <v>28</v>
      </c>
    </row>
    <row r="55" spans="1:19" x14ac:dyDescent="0.2">
      <c r="A55" t="s">
        <v>21</v>
      </c>
      <c r="B55">
        <v>1674</v>
      </c>
      <c r="C55">
        <v>1</v>
      </c>
      <c r="D55" s="1">
        <v>32662</v>
      </c>
      <c r="E55" s="3">
        <f t="shared" si="0"/>
        <v>1989</v>
      </c>
      <c r="F55" t="s">
        <v>22</v>
      </c>
      <c r="G55">
        <v>2</v>
      </c>
      <c r="H55" t="s">
        <v>98</v>
      </c>
      <c r="I55" t="s">
        <v>66</v>
      </c>
      <c r="O55" t="s">
        <v>30</v>
      </c>
      <c r="P55">
        <v>4.4000000000000004</v>
      </c>
      <c r="Q55" t="s">
        <v>26</v>
      </c>
      <c r="R55" t="s">
        <v>27</v>
      </c>
      <c r="S55" t="s">
        <v>28</v>
      </c>
    </row>
    <row r="56" spans="1:19" x14ac:dyDescent="0.2">
      <c r="A56" t="s">
        <v>21</v>
      </c>
      <c r="B56">
        <v>1674</v>
      </c>
      <c r="C56">
        <v>1</v>
      </c>
      <c r="D56" s="1">
        <v>32678</v>
      </c>
      <c r="E56" s="3">
        <f t="shared" si="0"/>
        <v>1989</v>
      </c>
      <c r="F56" t="s">
        <v>22</v>
      </c>
      <c r="G56">
        <v>3</v>
      </c>
      <c r="H56" t="s">
        <v>38</v>
      </c>
      <c r="I56" t="s">
        <v>99</v>
      </c>
      <c r="M56">
        <v>7</v>
      </c>
      <c r="N56">
        <v>8</v>
      </c>
      <c r="O56" t="s">
        <v>30</v>
      </c>
      <c r="P56">
        <v>3</v>
      </c>
      <c r="Q56" t="s">
        <v>26</v>
      </c>
      <c r="R56" t="s">
        <v>27</v>
      </c>
      <c r="S56" t="s">
        <v>28</v>
      </c>
    </row>
    <row r="57" spans="1:19" x14ac:dyDescent="0.2">
      <c r="A57" t="s">
        <v>21</v>
      </c>
      <c r="B57">
        <v>1674</v>
      </c>
      <c r="C57">
        <v>1</v>
      </c>
      <c r="D57" s="1">
        <v>32681</v>
      </c>
      <c r="E57" s="3">
        <f t="shared" si="0"/>
        <v>1989</v>
      </c>
      <c r="F57" t="s">
        <v>22</v>
      </c>
      <c r="G57">
        <v>2</v>
      </c>
      <c r="H57" t="s">
        <v>100</v>
      </c>
      <c r="I57" t="s">
        <v>96</v>
      </c>
      <c r="J57" t="s">
        <v>81</v>
      </c>
      <c r="M57">
        <v>3</v>
      </c>
      <c r="N57">
        <v>7</v>
      </c>
      <c r="O57" t="s">
        <v>30</v>
      </c>
      <c r="P57">
        <v>3.5</v>
      </c>
      <c r="Q57" t="s">
        <v>26</v>
      </c>
      <c r="R57" t="s">
        <v>27</v>
      </c>
      <c r="S57" t="s">
        <v>28</v>
      </c>
    </row>
    <row r="58" spans="1:19" x14ac:dyDescent="0.2">
      <c r="A58" t="s">
        <v>21</v>
      </c>
      <c r="B58">
        <v>1674</v>
      </c>
      <c r="C58">
        <v>1</v>
      </c>
      <c r="D58" s="1">
        <v>32692</v>
      </c>
      <c r="E58" s="3">
        <f t="shared" si="0"/>
        <v>1989</v>
      </c>
      <c r="F58" t="s">
        <v>22</v>
      </c>
      <c r="G58">
        <v>3</v>
      </c>
      <c r="H58" t="s">
        <v>101</v>
      </c>
      <c r="I58" t="s">
        <v>99</v>
      </c>
      <c r="M58">
        <v>7</v>
      </c>
      <c r="N58">
        <v>6</v>
      </c>
      <c r="O58" t="s">
        <v>32</v>
      </c>
      <c r="P58">
        <v>4</v>
      </c>
      <c r="Q58" t="s">
        <v>26</v>
      </c>
      <c r="R58" t="s">
        <v>27</v>
      </c>
      <c r="S58" t="s">
        <v>28</v>
      </c>
    </row>
    <row r="59" spans="1:19" x14ac:dyDescent="0.2">
      <c r="A59" t="s">
        <v>21</v>
      </c>
      <c r="B59">
        <v>1674</v>
      </c>
      <c r="C59">
        <v>1</v>
      </c>
      <c r="D59" s="1">
        <v>32695</v>
      </c>
      <c r="E59" s="3">
        <f t="shared" si="0"/>
        <v>1989</v>
      </c>
      <c r="F59" t="s">
        <v>22</v>
      </c>
      <c r="G59">
        <v>2</v>
      </c>
      <c r="H59" t="s">
        <v>102</v>
      </c>
      <c r="I59" t="s">
        <v>81</v>
      </c>
      <c r="O59" t="s">
        <v>30</v>
      </c>
      <c r="P59">
        <v>3</v>
      </c>
      <c r="Q59" t="s">
        <v>26</v>
      </c>
      <c r="R59" t="s">
        <v>27</v>
      </c>
      <c r="S59" t="s">
        <v>28</v>
      </c>
    </row>
    <row r="60" spans="1:19" x14ac:dyDescent="0.2">
      <c r="A60" t="s">
        <v>21</v>
      </c>
      <c r="B60">
        <v>1674</v>
      </c>
      <c r="C60">
        <v>1</v>
      </c>
      <c r="D60" s="1">
        <v>32706</v>
      </c>
      <c r="E60" s="3">
        <f t="shared" si="0"/>
        <v>1989</v>
      </c>
      <c r="F60" t="s">
        <v>22</v>
      </c>
      <c r="G60">
        <v>3</v>
      </c>
      <c r="H60" t="s">
        <v>103</v>
      </c>
      <c r="I60" t="s">
        <v>99</v>
      </c>
      <c r="M60">
        <v>2</v>
      </c>
      <c r="N60">
        <v>6</v>
      </c>
      <c r="O60" t="s">
        <v>32</v>
      </c>
      <c r="P60">
        <v>3</v>
      </c>
      <c r="Q60" t="s">
        <v>26</v>
      </c>
      <c r="R60" t="s">
        <v>27</v>
      </c>
      <c r="S60" t="s">
        <v>28</v>
      </c>
    </row>
    <row r="61" spans="1:19" x14ac:dyDescent="0.2">
      <c r="A61" t="s">
        <v>21</v>
      </c>
      <c r="B61">
        <v>1674</v>
      </c>
      <c r="C61">
        <v>1</v>
      </c>
      <c r="D61" s="1">
        <v>32707</v>
      </c>
      <c r="E61" s="3">
        <f t="shared" si="0"/>
        <v>1989</v>
      </c>
      <c r="F61" t="s">
        <v>22</v>
      </c>
      <c r="G61">
        <v>2</v>
      </c>
      <c r="H61" t="s">
        <v>104</v>
      </c>
      <c r="I61" t="s">
        <v>66</v>
      </c>
      <c r="J61" t="s">
        <v>90</v>
      </c>
      <c r="M61">
        <v>10</v>
      </c>
      <c r="N61">
        <v>6</v>
      </c>
      <c r="O61" t="s">
        <v>32</v>
      </c>
      <c r="P61">
        <v>3.2</v>
      </c>
      <c r="Q61" t="s">
        <v>26</v>
      </c>
      <c r="R61" t="s">
        <v>27</v>
      </c>
      <c r="S61" t="s">
        <v>28</v>
      </c>
    </row>
    <row r="62" spans="1:19" x14ac:dyDescent="0.2">
      <c r="A62" t="s">
        <v>21</v>
      </c>
      <c r="B62">
        <v>1674</v>
      </c>
      <c r="C62">
        <v>1</v>
      </c>
      <c r="D62" s="1">
        <v>32720</v>
      </c>
      <c r="E62" s="3">
        <f t="shared" si="0"/>
        <v>1989</v>
      </c>
      <c r="F62" t="s">
        <v>22</v>
      </c>
      <c r="G62">
        <v>2</v>
      </c>
      <c r="H62" t="s">
        <v>105</v>
      </c>
      <c r="I62" t="s">
        <v>81</v>
      </c>
      <c r="J62" t="s">
        <v>96</v>
      </c>
      <c r="O62" t="s">
        <v>30</v>
      </c>
      <c r="P62">
        <v>2.8</v>
      </c>
      <c r="Q62" t="s">
        <v>26</v>
      </c>
      <c r="R62" t="s">
        <v>27</v>
      </c>
      <c r="S62" t="s">
        <v>28</v>
      </c>
    </row>
    <row r="63" spans="1:19" x14ac:dyDescent="0.2">
      <c r="A63" t="s">
        <v>21</v>
      </c>
      <c r="B63">
        <v>1674</v>
      </c>
      <c r="C63">
        <v>1</v>
      </c>
      <c r="D63" s="1">
        <v>32721</v>
      </c>
      <c r="E63" s="3">
        <f t="shared" si="0"/>
        <v>1989</v>
      </c>
      <c r="F63" t="s">
        <v>22</v>
      </c>
      <c r="G63">
        <v>3</v>
      </c>
      <c r="H63" t="s">
        <v>102</v>
      </c>
      <c r="I63" t="s">
        <v>99</v>
      </c>
      <c r="M63">
        <v>7</v>
      </c>
      <c r="N63">
        <v>6</v>
      </c>
      <c r="O63" t="s">
        <v>30</v>
      </c>
      <c r="P63">
        <v>3</v>
      </c>
      <c r="Q63" t="s">
        <v>26</v>
      </c>
      <c r="R63" t="s">
        <v>27</v>
      </c>
      <c r="S63" t="s">
        <v>28</v>
      </c>
    </row>
    <row r="64" spans="1:19" x14ac:dyDescent="0.2">
      <c r="A64" t="s">
        <v>21</v>
      </c>
      <c r="B64">
        <v>1674</v>
      </c>
      <c r="C64">
        <v>1</v>
      </c>
      <c r="D64" s="1">
        <v>32734</v>
      </c>
      <c r="E64" s="3">
        <f t="shared" si="0"/>
        <v>1989</v>
      </c>
      <c r="F64" t="s">
        <v>22</v>
      </c>
      <c r="G64">
        <v>3</v>
      </c>
      <c r="H64" t="s">
        <v>102</v>
      </c>
      <c r="I64" t="s">
        <v>99</v>
      </c>
      <c r="M64">
        <v>7</v>
      </c>
      <c r="N64">
        <v>8</v>
      </c>
      <c r="O64" t="s">
        <v>30</v>
      </c>
      <c r="P64">
        <v>3</v>
      </c>
      <c r="Q64" t="s">
        <v>26</v>
      </c>
      <c r="R64" t="s">
        <v>27</v>
      </c>
      <c r="S64" t="s">
        <v>28</v>
      </c>
    </row>
    <row r="65" spans="1:19" x14ac:dyDescent="0.2">
      <c r="A65" t="s">
        <v>21</v>
      </c>
      <c r="B65">
        <v>1674</v>
      </c>
      <c r="C65">
        <v>1</v>
      </c>
      <c r="D65" s="1">
        <v>32748</v>
      </c>
      <c r="E65" s="3">
        <f t="shared" si="0"/>
        <v>1989</v>
      </c>
      <c r="F65" t="s">
        <v>22</v>
      </c>
      <c r="G65">
        <v>3</v>
      </c>
      <c r="H65" t="s">
        <v>29</v>
      </c>
      <c r="I65" t="s">
        <v>99</v>
      </c>
      <c r="M65">
        <v>7</v>
      </c>
      <c r="N65">
        <v>8</v>
      </c>
      <c r="O65" t="s">
        <v>30</v>
      </c>
      <c r="P65">
        <v>2.5</v>
      </c>
      <c r="Q65" t="s">
        <v>26</v>
      </c>
      <c r="R65" t="s">
        <v>27</v>
      </c>
      <c r="S65" t="s">
        <v>28</v>
      </c>
    </row>
    <row r="66" spans="1:19" x14ac:dyDescent="0.2">
      <c r="A66" t="s">
        <v>21</v>
      </c>
      <c r="B66">
        <v>1674</v>
      </c>
      <c r="C66">
        <v>1</v>
      </c>
      <c r="D66" s="1">
        <v>32751</v>
      </c>
      <c r="E66" s="3">
        <f t="shared" ref="E66:E129" si="1">YEAR(D66)</f>
        <v>1989</v>
      </c>
      <c r="F66" t="s">
        <v>22</v>
      </c>
      <c r="G66">
        <v>2</v>
      </c>
      <c r="H66" t="s">
        <v>42</v>
      </c>
      <c r="I66" t="s">
        <v>96</v>
      </c>
      <c r="J66" t="s">
        <v>81</v>
      </c>
      <c r="M66">
        <v>20</v>
      </c>
      <c r="N66">
        <v>8</v>
      </c>
      <c r="O66" t="s">
        <v>32</v>
      </c>
      <c r="P66">
        <v>3.5</v>
      </c>
      <c r="Q66" t="s">
        <v>26</v>
      </c>
      <c r="R66" t="s">
        <v>27</v>
      </c>
      <c r="S66" t="s">
        <v>28</v>
      </c>
    </row>
    <row r="67" spans="1:19" x14ac:dyDescent="0.2">
      <c r="A67" t="s">
        <v>21</v>
      </c>
      <c r="B67">
        <v>1674</v>
      </c>
      <c r="C67">
        <v>1</v>
      </c>
      <c r="D67" s="1">
        <v>32762</v>
      </c>
      <c r="E67" s="3">
        <f t="shared" si="1"/>
        <v>1989</v>
      </c>
      <c r="F67" t="s">
        <v>22</v>
      </c>
      <c r="G67">
        <v>3</v>
      </c>
      <c r="H67" t="s">
        <v>102</v>
      </c>
      <c r="I67" t="s">
        <v>99</v>
      </c>
      <c r="M67">
        <v>7</v>
      </c>
      <c r="N67">
        <v>4</v>
      </c>
      <c r="O67" t="s">
        <v>25</v>
      </c>
      <c r="P67">
        <v>3.3</v>
      </c>
      <c r="Q67" t="s">
        <v>26</v>
      </c>
      <c r="R67" t="s">
        <v>27</v>
      </c>
      <c r="S67" t="s">
        <v>28</v>
      </c>
    </row>
    <row r="68" spans="1:19" x14ac:dyDescent="0.2">
      <c r="A68" t="s">
        <v>21</v>
      </c>
      <c r="B68">
        <v>1674</v>
      </c>
      <c r="C68">
        <v>1</v>
      </c>
      <c r="D68" s="1">
        <v>32768</v>
      </c>
      <c r="E68" s="3">
        <f t="shared" si="1"/>
        <v>1989</v>
      </c>
      <c r="F68" t="s">
        <v>22</v>
      </c>
      <c r="G68">
        <v>2</v>
      </c>
      <c r="H68" t="s">
        <v>106</v>
      </c>
      <c r="I68" t="s">
        <v>81</v>
      </c>
      <c r="J68" t="s">
        <v>107</v>
      </c>
      <c r="M68">
        <v>5</v>
      </c>
      <c r="N68">
        <v>4</v>
      </c>
      <c r="O68" t="s">
        <v>30</v>
      </c>
      <c r="P68">
        <v>3.4</v>
      </c>
      <c r="Q68" t="s">
        <v>26</v>
      </c>
      <c r="R68" t="s">
        <v>27</v>
      </c>
      <c r="S68" t="s">
        <v>28</v>
      </c>
    </row>
    <row r="69" spans="1:19" x14ac:dyDescent="0.2">
      <c r="A69" t="s">
        <v>21</v>
      </c>
      <c r="B69">
        <v>1674</v>
      </c>
      <c r="C69">
        <v>1</v>
      </c>
      <c r="D69" s="1">
        <v>32776</v>
      </c>
      <c r="E69" s="3">
        <f t="shared" si="1"/>
        <v>1989</v>
      </c>
      <c r="F69" t="s">
        <v>22</v>
      </c>
      <c r="G69">
        <v>3</v>
      </c>
      <c r="H69" t="s">
        <v>42</v>
      </c>
      <c r="I69" t="s">
        <v>99</v>
      </c>
      <c r="M69">
        <v>5</v>
      </c>
      <c r="N69">
        <v>6</v>
      </c>
      <c r="O69" t="s">
        <v>32</v>
      </c>
      <c r="P69">
        <v>3</v>
      </c>
      <c r="Q69" t="s">
        <v>26</v>
      </c>
      <c r="R69" t="s">
        <v>27</v>
      </c>
      <c r="S69" t="s">
        <v>28</v>
      </c>
    </row>
    <row r="70" spans="1:19" x14ac:dyDescent="0.2">
      <c r="A70" t="s">
        <v>21</v>
      </c>
      <c r="B70">
        <v>1674</v>
      </c>
      <c r="C70">
        <v>1</v>
      </c>
      <c r="D70" s="1">
        <v>32790</v>
      </c>
      <c r="E70" s="3">
        <f t="shared" si="1"/>
        <v>1989</v>
      </c>
      <c r="F70" t="s">
        <v>22</v>
      </c>
      <c r="G70">
        <v>3</v>
      </c>
      <c r="H70" t="s">
        <v>87</v>
      </c>
      <c r="I70" t="s">
        <v>99</v>
      </c>
      <c r="O70" t="s">
        <v>30</v>
      </c>
      <c r="P70">
        <v>3.5</v>
      </c>
      <c r="Q70" t="s">
        <v>26</v>
      </c>
      <c r="R70" t="s">
        <v>27</v>
      </c>
      <c r="S70" t="s">
        <v>28</v>
      </c>
    </row>
    <row r="71" spans="1:19" x14ac:dyDescent="0.2">
      <c r="A71" t="s">
        <v>21</v>
      </c>
      <c r="B71">
        <v>1674</v>
      </c>
      <c r="C71">
        <v>1</v>
      </c>
      <c r="D71" s="1">
        <v>32804</v>
      </c>
      <c r="E71" s="3">
        <f t="shared" si="1"/>
        <v>1989</v>
      </c>
      <c r="F71" t="s">
        <v>22</v>
      </c>
      <c r="G71">
        <v>3</v>
      </c>
      <c r="H71" t="s">
        <v>102</v>
      </c>
      <c r="I71" t="s">
        <v>99</v>
      </c>
      <c r="O71" t="s">
        <v>30</v>
      </c>
      <c r="P71">
        <v>3.3</v>
      </c>
      <c r="Q71" t="s">
        <v>26</v>
      </c>
      <c r="R71" t="s">
        <v>27</v>
      </c>
      <c r="S71" t="s">
        <v>28</v>
      </c>
    </row>
    <row r="72" spans="1:19" x14ac:dyDescent="0.2">
      <c r="A72" t="s">
        <v>21</v>
      </c>
      <c r="B72">
        <v>1674</v>
      </c>
      <c r="C72">
        <v>1</v>
      </c>
      <c r="D72" s="1">
        <v>33000</v>
      </c>
      <c r="E72" s="3">
        <f t="shared" si="1"/>
        <v>1990</v>
      </c>
      <c r="F72" t="s">
        <v>22</v>
      </c>
      <c r="G72">
        <v>3</v>
      </c>
      <c r="H72" t="s">
        <v>31</v>
      </c>
      <c r="I72" t="s">
        <v>99</v>
      </c>
      <c r="M72">
        <v>7</v>
      </c>
      <c r="N72">
        <v>6</v>
      </c>
      <c r="O72" t="s">
        <v>32</v>
      </c>
      <c r="P72">
        <v>3</v>
      </c>
      <c r="Q72" t="s">
        <v>26</v>
      </c>
      <c r="R72" t="s">
        <v>27</v>
      </c>
      <c r="S72" t="s">
        <v>28</v>
      </c>
    </row>
    <row r="73" spans="1:19" x14ac:dyDescent="0.2">
      <c r="A73" t="s">
        <v>21</v>
      </c>
      <c r="B73">
        <v>1674</v>
      </c>
      <c r="C73">
        <v>1</v>
      </c>
      <c r="D73" s="1">
        <v>33014</v>
      </c>
      <c r="E73" s="3">
        <f t="shared" si="1"/>
        <v>1990</v>
      </c>
      <c r="F73" t="s">
        <v>22</v>
      </c>
      <c r="G73">
        <v>3</v>
      </c>
      <c r="H73" t="s">
        <v>103</v>
      </c>
      <c r="I73" t="s">
        <v>99</v>
      </c>
      <c r="M73">
        <v>7</v>
      </c>
      <c r="N73">
        <v>5</v>
      </c>
      <c r="O73" t="s">
        <v>30</v>
      </c>
      <c r="P73">
        <v>2.9</v>
      </c>
      <c r="Q73" t="s">
        <v>26</v>
      </c>
      <c r="R73" t="s">
        <v>27</v>
      </c>
      <c r="S73" t="s">
        <v>28</v>
      </c>
    </row>
    <row r="74" spans="1:19" x14ac:dyDescent="0.2">
      <c r="A74" t="s">
        <v>21</v>
      </c>
      <c r="B74">
        <v>1674</v>
      </c>
      <c r="C74">
        <v>1</v>
      </c>
      <c r="D74" s="1">
        <v>33021</v>
      </c>
      <c r="E74" s="3">
        <f t="shared" si="1"/>
        <v>1990</v>
      </c>
      <c r="F74" t="s">
        <v>22</v>
      </c>
      <c r="G74">
        <v>2</v>
      </c>
      <c r="H74" t="s">
        <v>118</v>
      </c>
      <c r="I74" t="s">
        <v>66</v>
      </c>
      <c r="M74">
        <v>10</v>
      </c>
      <c r="N74">
        <v>7</v>
      </c>
      <c r="O74" t="s">
        <v>32</v>
      </c>
      <c r="P74">
        <v>3.6</v>
      </c>
      <c r="Q74" t="s">
        <v>26</v>
      </c>
      <c r="R74" t="s">
        <v>27</v>
      </c>
      <c r="S74" t="s">
        <v>28</v>
      </c>
    </row>
    <row r="75" spans="1:19" x14ac:dyDescent="0.2">
      <c r="A75" t="s">
        <v>21</v>
      </c>
      <c r="B75">
        <v>1674</v>
      </c>
      <c r="C75">
        <v>1</v>
      </c>
      <c r="D75" s="1">
        <v>33029</v>
      </c>
      <c r="E75" s="3">
        <f t="shared" si="1"/>
        <v>1990</v>
      </c>
      <c r="F75" t="s">
        <v>22</v>
      </c>
      <c r="G75">
        <v>3</v>
      </c>
      <c r="H75" t="s">
        <v>31</v>
      </c>
      <c r="I75" t="s">
        <v>99</v>
      </c>
      <c r="M75">
        <v>8</v>
      </c>
      <c r="N75">
        <v>8</v>
      </c>
      <c r="O75" t="s">
        <v>30</v>
      </c>
      <c r="P75">
        <v>2.7</v>
      </c>
      <c r="Q75" t="s">
        <v>26</v>
      </c>
      <c r="R75" t="s">
        <v>27</v>
      </c>
      <c r="S75" t="s">
        <v>28</v>
      </c>
    </row>
    <row r="76" spans="1:19" x14ac:dyDescent="0.2">
      <c r="A76" t="s">
        <v>21</v>
      </c>
      <c r="B76">
        <v>1674</v>
      </c>
      <c r="C76">
        <v>1</v>
      </c>
      <c r="D76" s="1">
        <v>33042</v>
      </c>
      <c r="E76" s="3">
        <f t="shared" si="1"/>
        <v>1990</v>
      </c>
      <c r="F76" t="s">
        <v>22</v>
      </c>
      <c r="G76">
        <v>3</v>
      </c>
      <c r="H76" t="s">
        <v>38</v>
      </c>
      <c r="I76" t="s">
        <v>99</v>
      </c>
      <c r="M76">
        <v>7</v>
      </c>
      <c r="N76">
        <v>6</v>
      </c>
      <c r="O76" t="s">
        <v>30</v>
      </c>
      <c r="P76">
        <v>2.6</v>
      </c>
      <c r="Q76" t="s">
        <v>26</v>
      </c>
      <c r="R76" t="s">
        <v>27</v>
      </c>
      <c r="S76" t="s">
        <v>28</v>
      </c>
    </row>
    <row r="77" spans="1:19" x14ac:dyDescent="0.2">
      <c r="A77" t="s">
        <v>21</v>
      </c>
      <c r="B77">
        <v>1674</v>
      </c>
      <c r="C77">
        <v>1</v>
      </c>
      <c r="D77" s="1">
        <v>33051</v>
      </c>
      <c r="E77" s="3">
        <f t="shared" si="1"/>
        <v>1990</v>
      </c>
      <c r="F77" t="s">
        <v>22</v>
      </c>
      <c r="G77">
        <v>2</v>
      </c>
      <c r="H77" t="s">
        <v>114</v>
      </c>
      <c r="I77" t="s">
        <v>86</v>
      </c>
      <c r="M77">
        <v>10</v>
      </c>
      <c r="N77">
        <v>4</v>
      </c>
      <c r="O77" t="s">
        <v>32</v>
      </c>
      <c r="P77">
        <v>2.9</v>
      </c>
      <c r="Q77" t="s">
        <v>26</v>
      </c>
      <c r="R77" t="s">
        <v>27</v>
      </c>
      <c r="S77" t="s">
        <v>28</v>
      </c>
    </row>
    <row r="78" spans="1:19" x14ac:dyDescent="0.2">
      <c r="A78" t="s">
        <v>21</v>
      </c>
      <c r="B78">
        <v>1674</v>
      </c>
      <c r="C78">
        <v>1</v>
      </c>
      <c r="D78" s="1">
        <v>33056</v>
      </c>
      <c r="E78" s="3">
        <f t="shared" si="1"/>
        <v>1990</v>
      </c>
      <c r="F78" t="s">
        <v>22</v>
      </c>
      <c r="G78">
        <v>3</v>
      </c>
      <c r="H78" t="s">
        <v>38</v>
      </c>
      <c r="I78" t="s">
        <v>99</v>
      </c>
      <c r="M78">
        <v>7</v>
      </c>
      <c r="N78">
        <v>7</v>
      </c>
      <c r="O78" t="s">
        <v>32</v>
      </c>
      <c r="P78">
        <v>2.6</v>
      </c>
      <c r="Q78" t="s">
        <v>26</v>
      </c>
      <c r="R78" t="s">
        <v>27</v>
      </c>
      <c r="S78" t="s">
        <v>28</v>
      </c>
    </row>
    <row r="79" spans="1:19" x14ac:dyDescent="0.2">
      <c r="A79" t="s">
        <v>21</v>
      </c>
      <c r="B79">
        <v>1674</v>
      </c>
      <c r="C79">
        <v>1</v>
      </c>
      <c r="D79" s="1">
        <v>33070</v>
      </c>
      <c r="E79" s="3">
        <f t="shared" si="1"/>
        <v>1990</v>
      </c>
      <c r="F79" t="s">
        <v>22</v>
      </c>
      <c r="G79">
        <v>3</v>
      </c>
      <c r="H79" t="s">
        <v>42</v>
      </c>
      <c r="I79" t="s">
        <v>99</v>
      </c>
      <c r="M79">
        <v>7</v>
      </c>
      <c r="N79">
        <v>8</v>
      </c>
      <c r="O79" t="s">
        <v>30</v>
      </c>
      <c r="P79">
        <v>2.7</v>
      </c>
      <c r="Q79" t="s">
        <v>26</v>
      </c>
      <c r="R79" t="s">
        <v>27</v>
      </c>
      <c r="S79" t="s">
        <v>28</v>
      </c>
    </row>
    <row r="80" spans="1:19" x14ac:dyDescent="0.2">
      <c r="A80" t="s">
        <v>21</v>
      </c>
      <c r="B80">
        <v>1674</v>
      </c>
      <c r="C80">
        <v>1</v>
      </c>
      <c r="D80" s="1">
        <v>33078</v>
      </c>
      <c r="E80" s="3">
        <f t="shared" si="1"/>
        <v>1990</v>
      </c>
      <c r="F80" t="s">
        <v>22</v>
      </c>
      <c r="G80">
        <v>2</v>
      </c>
      <c r="H80" t="s">
        <v>110</v>
      </c>
      <c r="I80" t="s">
        <v>66</v>
      </c>
      <c r="J80" t="s">
        <v>119</v>
      </c>
      <c r="M80">
        <v>0</v>
      </c>
      <c r="N80">
        <v>0</v>
      </c>
      <c r="O80" t="s">
        <v>32</v>
      </c>
      <c r="P80">
        <v>2.6</v>
      </c>
      <c r="Q80" t="s">
        <v>26</v>
      </c>
      <c r="R80" t="s">
        <v>27</v>
      </c>
      <c r="S80" t="s">
        <v>28</v>
      </c>
    </row>
    <row r="81" spans="1:19" x14ac:dyDescent="0.2">
      <c r="A81" t="s">
        <v>21</v>
      </c>
      <c r="B81">
        <v>1674</v>
      </c>
      <c r="C81">
        <v>1</v>
      </c>
      <c r="D81" s="1">
        <v>33084</v>
      </c>
      <c r="E81" s="3">
        <f t="shared" si="1"/>
        <v>1990</v>
      </c>
      <c r="F81" t="s">
        <v>22</v>
      </c>
      <c r="G81">
        <v>3</v>
      </c>
      <c r="H81" t="s">
        <v>31</v>
      </c>
      <c r="I81" t="s">
        <v>99</v>
      </c>
      <c r="M81">
        <v>7</v>
      </c>
      <c r="N81">
        <v>5</v>
      </c>
      <c r="O81" t="s">
        <v>32</v>
      </c>
      <c r="P81">
        <v>2.9</v>
      </c>
      <c r="Q81" t="s">
        <v>26</v>
      </c>
      <c r="R81" t="s">
        <v>27</v>
      </c>
      <c r="S81" t="s">
        <v>28</v>
      </c>
    </row>
    <row r="82" spans="1:19" x14ac:dyDescent="0.2">
      <c r="A82" t="s">
        <v>21</v>
      </c>
      <c r="B82">
        <v>1674</v>
      </c>
      <c r="C82">
        <v>1</v>
      </c>
      <c r="D82" s="1">
        <v>33098</v>
      </c>
      <c r="E82" s="3">
        <f t="shared" si="1"/>
        <v>1990</v>
      </c>
      <c r="F82" t="s">
        <v>22</v>
      </c>
      <c r="G82">
        <v>3</v>
      </c>
      <c r="H82" t="s">
        <v>31</v>
      </c>
      <c r="I82" t="s">
        <v>99</v>
      </c>
      <c r="M82">
        <v>7</v>
      </c>
      <c r="N82">
        <v>5</v>
      </c>
      <c r="O82" t="s">
        <v>30</v>
      </c>
      <c r="P82">
        <v>2.7</v>
      </c>
      <c r="Q82" t="s">
        <v>26</v>
      </c>
      <c r="R82" t="s">
        <v>27</v>
      </c>
      <c r="S82" t="s">
        <v>28</v>
      </c>
    </row>
    <row r="83" spans="1:19" x14ac:dyDescent="0.2">
      <c r="A83" t="s">
        <v>21</v>
      </c>
      <c r="B83">
        <v>1674</v>
      </c>
      <c r="C83">
        <v>1</v>
      </c>
      <c r="D83" s="1">
        <v>33106</v>
      </c>
      <c r="E83" s="3">
        <f t="shared" si="1"/>
        <v>1990</v>
      </c>
      <c r="F83" t="s">
        <v>22</v>
      </c>
      <c r="G83">
        <v>2</v>
      </c>
      <c r="H83" t="s">
        <v>120</v>
      </c>
      <c r="I83" t="s">
        <v>66</v>
      </c>
      <c r="M83">
        <v>0</v>
      </c>
      <c r="N83">
        <v>0</v>
      </c>
      <c r="O83" t="s">
        <v>30</v>
      </c>
      <c r="P83">
        <v>1.6</v>
      </c>
      <c r="Q83" t="s">
        <v>26</v>
      </c>
      <c r="R83" t="s">
        <v>27</v>
      </c>
      <c r="S83" t="s">
        <v>28</v>
      </c>
    </row>
    <row r="84" spans="1:19" x14ac:dyDescent="0.2">
      <c r="A84" t="s">
        <v>21</v>
      </c>
      <c r="B84">
        <v>1674</v>
      </c>
      <c r="C84">
        <v>1</v>
      </c>
      <c r="D84" s="1">
        <v>33112</v>
      </c>
      <c r="E84" s="3">
        <f t="shared" si="1"/>
        <v>1990</v>
      </c>
      <c r="F84" t="s">
        <v>22</v>
      </c>
      <c r="G84">
        <v>3</v>
      </c>
      <c r="H84" t="s">
        <v>87</v>
      </c>
      <c r="I84" t="s">
        <v>99</v>
      </c>
      <c r="M84">
        <v>0</v>
      </c>
      <c r="N84">
        <v>0</v>
      </c>
      <c r="O84" t="s">
        <v>30</v>
      </c>
      <c r="P84">
        <v>2.1</v>
      </c>
      <c r="Q84" t="s">
        <v>26</v>
      </c>
      <c r="R84" t="s">
        <v>27</v>
      </c>
      <c r="S84" t="s">
        <v>28</v>
      </c>
    </row>
    <row r="85" spans="1:19" x14ac:dyDescent="0.2">
      <c r="A85" t="s">
        <v>21</v>
      </c>
      <c r="B85">
        <v>1674</v>
      </c>
      <c r="C85">
        <v>1</v>
      </c>
      <c r="D85" s="1">
        <v>33125</v>
      </c>
      <c r="E85" s="3">
        <f t="shared" si="1"/>
        <v>1990</v>
      </c>
      <c r="F85" t="s">
        <v>22</v>
      </c>
      <c r="G85">
        <v>3</v>
      </c>
      <c r="H85" t="s">
        <v>42</v>
      </c>
      <c r="I85" t="s">
        <v>99</v>
      </c>
      <c r="M85">
        <v>9</v>
      </c>
      <c r="N85">
        <v>8</v>
      </c>
      <c r="O85" t="s">
        <v>30</v>
      </c>
      <c r="P85">
        <v>2.2999999999999998</v>
      </c>
      <c r="Q85" t="s">
        <v>26</v>
      </c>
      <c r="R85" t="s">
        <v>27</v>
      </c>
      <c r="S85" t="s">
        <v>28</v>
      </c>
    </row>
    <row r="86" spans="1:19" x14ac:dyDescent="0.2">
      <c r="A86" t="s">
        <v>21</v>
      </c>
      <c r="B86">
        <v>1674</v>
      </c>
      <c r="C86">
        <v>1</v>
      </c>
      <c r="D86" s="1">
        <v>33138</v>
      </c>
      <c r="E86" s="3">
        <f t="shared" si="1"/>
        <v>1990</v>
      </c>
      <c r="F86" t="s">
        <v>22</v>
      </c>
      <c r="G86">
        <v>3</v>
      </c>
      <c r="H86" t="s">
        <v>29</v>
      </c>
      <c r="I86" t="s">
        <v>99</v>
      </c>
      <c r="M86">
        <v>7</v>
      </c>
      <c r="N86">
        <v>7</v>
      </c>
      <c r="O86" t="s">
        <v>25</v>
      </c>
      <c r="P86">
        <v>2.2999999999999998</v>
      </c>
      <c r="Q86" t="s">
        <v>26</v>
      </c>
      <c r="R86" t="s">
        <v>27</v>
      </c>
      <c r="S86" t="s">
        <v>28</v>
      </c>
    </row>
    <row r="87" spans="1:19" x14ac:dyDescent="0.2">
      <c r="A87" t="s">
        <v>21</v>
      </c>
      <c r="B87">
        <v>1674</v>
      </c>
      <c r="C87">
        <v>1</v>
      </c>
      <c r="D87" s="1">
        <v>33140</v>
      </c>
      <c r="E87" s="3">
        <f t="shared" si="1"/>
        <v>1990</v>
      </c>
      <c r="F87" t="s">
        <v>22</v>
      </c>
      <c r="G87">
        <v>2</v>
      </c>
      <c r="H87" t="s">
        <v>122</v>
      </c>
      <c r="I87" t="s">
        <v>81</v>
      </c>
      <c r="J87" t="s">
        <v>96</v>
      </c>
      <c r="M87">
        <v>20</v>
      </c>
      <c r="N87">
        <v>8</v>
      </c>
      <c r="O87" t="s">
        <v>25</v>
      </c>
      <c r="P87">
        <v>1.8</v>
      </c>
      <c r="Q87" t="s">
        <v>26</v>
      </c>
      <c r="R87" t="s">
        <v>27</v>
      </c>
      <c r="S87" t="s">
        <v>28</v>
      </c>
    </row>
    <row r="88" spans="1:19" x14ac:dyDescent="0.2">
      <c r="A88" t="s">
        <v>21</v>
      </c>
      <c r="B88">
        <v>1674</v>
      </c>
      <c r="C88">
        <v>1</v>
      </c>
      <c r="D88" s="1">
        <v>33146</v>
      </c>
      <c r="E88" s="3">
        <f t="shared" si="1"/>
        <v>1990</v>
      </c>
      <c r="F88" t="s">
        <v>22</v>
      </c>
      <c r="G88">
        <v>3</v>
      </c>
      <c r="H88" t="s">
        <v>87</v>
      </c>
      <c r="I88" t="s">
        <v>99</v>
      </c>
      <c r="M88">
        <v>0</v>
      </c>
      <c r="N88">
        <v>0</v>
      </c>
      <c r="O88" t="s">
        <v>25</v>
      </c>
      <c r="P88">
        <v>2.1</v>
      </c>
      <c r="Q88" t="s">
        <v>26</v>
      </c>
      <c r="R88" t="s">
        <v>27</v>
      </c>
      <c r="S88" t="s">
        <v>28</v>
      </c>
    </row>
    <row r="89" spans="1:19" x14ac:dyDescent="0.2">
      <c r="A89" t="s">
        <v>21</v>
      </c>
      <c r="B89">
        <v>1674</v>
      </c>
      <c r="C89">
        <v>1</v>
      </c>
      <c r="D89" s="1">
        <v>33158</v>
      </c>
      <c r="E89" s="3">
        <f t="shared" si="1"/>
        <v>1990</v>
      </c>
      <c r="F89" t="s">
        <v>22</v>
      </c>
      <c r="G89">
        <v>3</v>
      </c>
      <c r="H89" t="s">
        <v>84</v>
      </c>
      <c r="I89" t="s">
        <v>99</v>
      </c>
      <c r="M89">
        <v>4</v>
      </c>
      <c r="N89">
        <v>7</v>
      </c>
      <c r="O89" t="s">
        <v>30</v>
      </c>
      <c r="P89">
        <v>2.2999999999999998</v>
      </c>
      <c r="Q89" t="s">
        <v>26</v>
      </c>
      <c r="R89" t="s">
        <v>27</v>
      </c>
      <c r="S89" t="s">
        <v>28</v>
      </c>
    </row>
    <row r="90" spans="1:19" x14ac:dyDescent="0.2">
      <c r="A90" t="s">
        <v>21</v>
      </c>
      <c r="B90">
        <v>1674</v>
      </c>
      <c r="C90">
        <v>1</v>
      </c>
      <c r="D90" s="1">
        <v>33171</v>
      </c>
      <c r="E90" s="3">
        <f t="shared" si="1"/>
        <v>1990</v>
      </c>
      <c r="F90" t="s">
        <v>22</v>
      </c>
      <c r="G90">
        <v>3</v>
      </c>
      <c r="H90" t="s">
        <v>31</v>
      </c>
      <c r="I90" t="s">
        <v>99</v>
      </c>
      <c r="M90">
        <v>5</v>
      </c>
      <c r="N90">
        <v>8</v>
      </c>
      <c r="O90" t="s">
        <v>25</v>
      </c>
      <c r="P90">
        <v>2</v>
      </c>
      <c r="Q90" t="s">
        <v>26</v>
      </c>
      <c r="R90" t="s">
        <v>27</v>
      </c>
      <c r="S90" t="s">
        <v>28</v>
      </c>
    </row>
    <row r="91" spans="1:19" x14ac:dyDescent="0.2">
      <c r="A91" t="s">
        <v>21</v>
      </c>
      <c r="B91">
        <v>1674</v>
      </c>
      <c r="C91">
        <v>1</v>
      </c>
      <c r="D91" s="1">
        <v>33369</v>
      </c>
      <c r="E91" s="3">
        <f t="shared" si="1"/>
        <v>1991</v>
      </c>
      <c r="F91" t="s">
        <v>22</v>
      </c>
      <c r="G91">
        <v>3</v>
      </c>
      <c r="H91" t="s">
        <v>38</v>
      </c>
      <c r="I91" t="s">
        <v>99</v>
      </c>
      <c r="M91">
        <v>7</v>
      </c>
      <c r="N91">
        <v>6</v>
      </c>
      <c r="O91" t="s">
        <v>32</v>
      </c>
      <c r="P91">
        <v>2.6</v>
      </c>
      <c r="Q91" t="s">
        <v>26</v>
      </c>
      <c r="R91" t="s">
        <v>27</v>
      </c>
      <c r="S91" t="s">
        <v>28</v>
      </c>
    </row>
    <row r="92" spans="1:19" x14ac:dyDescent="0.2">
      <c r="A92" t="s">
        <v>21</v>
      </c>
      <c r="B92">
        <v>1674</v>
      </c>
      <c r="C92">
        <v>1</v>
      </c>
      <c r="D92" s="1">
        <v>33383</v>
      </c>
      <c r="E92" s="3">
        <f t="shared" si="1"/>
        <v>1991</v>
      </c>
      <c r="F92" t="s">
        <v>22</v>
      </c>
      <c r="G92">
        <v>3</v>
      </c>
      <c r="H92" t="s">
        <v>102</v>
      </c>
      <c r="I92" t="s">
        <v>99</v>
      </c>
      <c r="M92">
        <v>0</v>
      </c>
      <c r="N92">
        <v>0</v>
      </c>
      <c r="O92" t="s">
        <v>30</v>
      </c>
      <c r="P92">
        <v>2.7</v>
      </c>
      <c r="Q92" t="s">
        <v>26</v>
      </c>
      <c r="R92" t="s">
        <v>27</v>
      </c>
      <c r="S92" t="s">
        <v>28</v>
      </c>
    </row>
    <row r="93" spans="1:19" x14ac:dyDescent="0.2">
      <c r="A93" t="s">
        <v>21</v>
      </c>
      <c r="B93">
        <v>1674</v>
      </c>
      <c r="C93">
        <v>1</v>
      </c>
      <c r="D93" s="1">
        <v>33392</v>
      </c>
      <c r="E93" s="3">
        <f t="shared" si="1"/>
        <v>1991</v>
      </c>
      <c r="F93" t="s">
        <v>22</v>
      </c>
      <c r="G93">
        <v>3</v>
      </c>
      <c r="H93" t="s">
        <v>42</v>
      </c>
      <c r="I93" t="s">
        <v>99</v>
      </c>
      <c r="M93">
        <v>11</v>
      </c>
      <c r="N93">
        <v>2</v>
      </c>
      <c r="O93" t="s">
        <v>30</v>
      </c>
      <c r="P93">
        <v>2.4</v>
      </c>
      <c r="Q93" t="s">
        <v>26</v>
      </c>
      <c r="R93" t="s">
        <v>27</v>
      </c>
      <c r="S93" t="s">
        <v>28</v>
      </c>
    </row>
    <row r="94" spans="1:19" x14ac:dyDescent="0.2">
      <c r="A94" t="s">
        <v>21</v>
      </c>
      <c r="B94">
        <v>1674</v>
      </c>
      <c r="C94">
        <v>1</v>
      </c>
      <c r="D94" s="1">
        <v>33395</v>
      </c>
      <c r="E94" s="3">
        <f t="shared" si="1"/>
        <v>1991</v>
      </c>
      <c r="F94" t="s">
        <v>22</v>
      </c>
      <c r="G94">
        <v>2</v>
      </c>
      <c r="H94" t="s">
        <v>42</v>
      </c>
      <c r="I94" t="s">
        <v>66</v>
      </c>
      <c r="J94" t="s">
        <v>86</v>
      </c>
      <c r="M94">
        <v>10</v>
      </c>
      <c r="N94">
        <v>8</v>
      </c>
      <c r="O94" t="s">
        <v>30</v>
      </c>
      <c r="P94">
        <v>3.2</v>
      </c>
      <c r="Q94" t="s">
        <v>26</v>
      </c>
      <c r="R94" t="s">
        <v>27</v>
      </c>
      <c r="S94" t="s">
        <v>28</v>
      </c>
    </row>
    <row r="95" spans="1:19" x14ac:dyDescent="0.2">
      <c r="A95" t="s">
        <v>21</v>
      </c>
      <c r="B95">
        <v>1674</v>
      </c>
      <c r="C95">
        <v>1</v>
      </c>
      <c r="D95" s="1">
        <v>33404</v>
      </c>
      <c r="E95" s="3">
        <f t="shared" si="1"/>
        <v>1991</v>
      </c>
      <c r="F95" t="s">
        <v>22</v>
      </c>
      <c r="G95">
        <v>3</v>
      </c>
      <c r="H95" t="s">
        <v>102</v>
      </c>
      <c r="I95" t="s">
        <v>99</v>
      </c>
      <c r="M95">
        <v>8</v>
      </c>
      <c r="N95">
        <v>8</v>
      </c>
      <c r="O95" t="s">
        <v>32</v>
      </c>
      <c r="P95">
        <v>2.6</v>
      </c>
      <c r="Q95" t="s">
        <v>26</v>
      </c>
      <c r="R95" t="s">
        <v>27</v>
      </c>
      <c r="S95" t="s">
        <v>28</v>
      </c>
    </row>
    <row r="96" spans="1:19" x14ac:dyDescent="0.2">
      <c r="A96" t="s">
        <v>21</v>
      </c>
      <c r="B96">
        <v>1674</v>
      </c>
      <c r="C96">
        <v>1</v>
      </c>
      <c r="D96" s="1">
        <v>33407</v>
      </c>
      <c r="E96" s="3">
        <f t="shared" si="1"/>
        <v>1991</v>
      </c>
      <c r="F96" t="s">
        <v>22</v>
      </c>
      <c r="G96">
        <v>2</v>
      </c>
      <c r="H96" t="s">
        <v>31</v>
      </c>
      <c r="I96" t="s">
        <v>81</v>
      </c>
      <c r="J96" t="s">
        <v>96</v>
      </c>
      <c r="P96">
        <v>2.8</v>
      </c>
      <c r="Q96" t="s">
        <v>26</v>
      </c>
      <c r="R96" t="s">
        <v>27</v>
      </c>
      <c r="S96" t="s">
        <v>28</v>
      </c>
    </row>
    <row r="97" spans="1:23" x14ac:dyDescent="0.2">
      <c r="A97" t="s">
        <v>21</v>
      </c>
      <c r="B97">
        <v>1674</v>
      </c>
      <c r="C97">
        <v>1</v>
      </c>
      <c r="D97" s="1">
        <v>33412</v>
      </c>
      <c r="E97" s="3">
        <f t="shared" si="1"/>
        <v>1991</v>
      </c>
      <c r="F97" t="s">
        <v>22</v>
      </c>
      <c r="G97">
        <v>3</v>
      </c>
      <c r="H97" t="s">
        <v>123</v>
      </c>
      <c r="I97" t="s">
        <v>99</v>
      </c>
      <c r="M97">
        <v>7</v>
      </c>
      <c r="N97">
        <v>6</v>
      </c>
      <c r="O97" t="s">
        <v>30</v>
      </c>
      <c r="P97">
        <v>3.1</v>
      </c>
      <c r="Q97" t="s">
        <v>26</v>
      </c>
      <c r="R97" t="s">
        <v>27</v>
      </c>
      <c r="S97" t="s">
        <v>28</v>
      </c>
    </row>
    <row r="98" spans="1:23" x14ac:dyDescent="0.2">
      <c r="A98" t="s">
        <v>21</v>
      </c>
      <c r="B98">
        <v>1674</v>
      </c>
      <c r="C98">
        <v>1</v>
      </c>
      <c r="D98" s="1">
        <v>33423</v>
      </c>
      <c r="E98" s="3">
        <f t="shared" si="1"/>
        <v>1991</v>
      </c>
      <c r="F98" t="s">
        <v>22</v>
      </c>
      <c r="G98">
        <v>3</v>
      </c>
      <c r="H98" t="s">
        <v>31</v>
      </c>
      <c r="I98" t="s">
        <v>99</v>
      </c>
      <c r="M98">
        <v>8</v>
      </c>
      <c r="N98">
        <v>8</v>
      </c>
      <c r="O98" t="s">
        <v>30</v>
      </c>
      <c r="P98">
        <v>3</v>
      </c>
      <c r="Q98" t="s">
        <v>26</v>
      </c>
      <c r="R98" t="s">
        <v>27</v>
      </c>
      <c r="S98" t="s">
        <v>28</v>
      </c>
    </row>
    <row r="99" spans="1:23" x14ac:dyDescent="0.2">
      <c r="A99" s="6" t="s">
        <v>21</v>
      </c>
      <c r="B99" s="6">
        <v>1674</v>
      </c>
      <c r="C99" s="6">
        <v>1</v>
      </c>
      <c r="D99" s="4">
        <v>33437</v>
      </c>
      <c r="E99" s="5">
        <f t="shared" si="1"/>
        <v>1991</v>
      </c>
      <c r="F99" s="6" t="s">
        <v>22</v>
      </c>
      <c r="G99" s="6">
        <v>3</v>
      </c>
      <c r="H99" s="6" t="s">
        <v>38</v>
      </c>
      <c r="I99" s="6" t="s">
        <v>99</v>
      </c>
      <c r="J99" s="6"/>
      <c r="K99" s="6"/>
      <c r="L99" s="6"/>
      <c r="M99" s="6">
        <v>10</v>
      </c>
      <c r="N99" s="6">
        <v>8</v>
      </c>
      <c r="O99" s="6" t="s">
        <v>32</v>
      </c>
      <c r="P99" s="6">
        <v>2.8</v>
      </c>
      <c r="Q99" t="s">
        <v>26</v>
      </c>
      <c r="R99" t="s">
        <v>27</v>
      </c>
      <c r="S99" t="s">
        <v>28</v>
      </c>
    </row>
    <row r="100" spans="1:23" x14ac:dyDescent="0.2">
      <c r="A100" s="6" t="s">
        <v>21</v>
      </c>
      <c r="B100" s="6">
        <v>1674</v>
      </c>
      <c r="C100" s="6">
        <v>1</v>
      </c>
      <c r="D100" s="4">
        <v>33437</v>
      </c>
      <c r="E100" s="5">
        <f t="shared" si="1"/>
        <v>1991</v>
      </c>
      <c r="F100" s="6" t="s">
        <v>22</v>
      </c>
      <c r="G100" s="6">
        <v>2</v>
      </c>
      <c r="H100" s="6" t="s">
        <v>126</v>
      </c>
      <c r="I100" s="6" t="s">
        <v>96</v>
      </c>
      <c r="J100" s="6" t="s">
        <v>127</v>
      </c>
      <c r="K100" s="6"/>
      <c r="L100" s="6"/>
      <c r="M100" s="6">
        <v>5</v>
      </c>
      <c r="N100" s="6">
        <v>8</v>
      </c>
      <c r="O100" s="6" t="s">
        <v>30</v>
      </c>
      <c r="P100" s="6">
        <v>3.2</v>
      </c>
      <c r="Q100" t="s">
        <v>26</v>
      </c>
      <c r="R100" t="s">
        <v>27</v>
      </c>
      <c r="S100" t="s">
        <v>28</v>
      </c>
      <c r="W100" s="15">
        <f>AVERAGE(P99:P100)</f>
        <v>3</v>
      </c>
    </row>
    <row r="101" spans="1:23" x14ac:dyDescent="0.2">
      <c r="A101" t="s">
        <v>21</v>
      </c>
      <c r="B101">
        <v>1674</v>
      </c>
      <c r="C101">
        <v>1</v>
      </c>
      <c r="D101" s="1">
        <v>33448</v>
      </c>
      <c r="E101" s="3">
        <f t="shared" si="1"/>
        <v>1991</v>
      </c>
      <c r="F101" t="s">
        <v>22</v>
      </c>
      <c r="G101">
        <v>3</v>
      </c>
      <c r="H101" t="s">
        <v>31</v>
      </c>
      <c r="I101" t="s">
        <v>99</v>
      </c>
      <c r="M101">
        <v>10</v>
      </c>
      <c r="N101">
        <v>8</v>
      </c>
      <c r="O101" t="s">
        <v>30</v>
      </c>
      <c r="P101">
        <v>3.1</v>
      </c>
      <c r="Q101" t="s">
        <v>26</v>
      </c>
      <c r="R101" t="s">
        <v>27</v>
      </c>
      <c r="S101" t="s">
        <v>28</v>
      </c>
    </row>
    <row r="102" spans="1:23" x14ac:dyDescent="0.2">
      <c r="A102" t="s">
        <v>21</v>
      </c>
      <c r="B102">
        <v>1674</v>
      </c>
      <c r="C102">
        <v>1</v>
      </c>
      <c r="D102" s="1">
        <v>33463</v>
      </c>
      <c r="E102" s="3">
        <f t="shared" si="1"/>
        <v>1991</v>
      </c>
      <c r="F102" t="s">
        <v>22</v>
      </c>
      <c r="G102">
        <v>3</v>
      </c>
      <c r="H102" t="s">
        <v>102</v>
      </c>
      <c r="I102" t="s">
        <v>99</v>
      </c>
      <c r="M102">
        <v>7</v>
      </c>
      <c r="N102">
        <v>6</v>
      </c>
      <c r="O102" t="s">
        <v>30</v>
      </c>
      <c r="P102">
        <v>3</v>
      </c>
      <c r="Q102" t="s">
        <v>26</v>
      </c>
      <c r="R102" t="s">
        <v>27</v>
      </c>
      <c r="S102" t="s">
        <v>28</v>
      </c>
    </row>
    <row r="103" spans="1:23" x14ac:dyDescent="0.2">
      <c r="A103" t="s">
        <v>21</v>
      </c>
      <c r="B103">
        <v>1674</v>
      </c>
      <c r="C103">
        <v>1</v>
      </c>
      <c r="D103" s="1">
        <v>33471</v>
      </c>
      <c r="E103" s="3">
        <f t="shared" si="1"/>
        <v>1991</v>
      </c>
      <c r="F103" t="s">
        <v>22</v>
      </c>
      <c r="G103">
        <v>2</v>
      </c>
      <c r="H103" t="s">
        <v>125</v>
      </c>
      <c r="I103" t="s">
        <v>86</v>
      </c>
      <c r="O103" t="s">
        <v>32</v>
      </c>
      <c r="P103">
        <v>2.8</v>
      </c>
      <c r="Q103" t="s">
        <v>26</v>
      </c>
      <c r="R103" t="s">
        <v>27</v>
      </c>
      <c r="S103" t="s">
        <v>28</v>
      </c>
    </row>
    <row r="104" spans="1:23" x14ac:dyDescent="0.2">
      <c r="A104" t="s">
        <v>21</v>
      </c>
      <c r="B104">
        <v>1674</v>
      </c>
      <c r="C104">
        <v>1</v>
      </c>
      <c r="D104" s="1">
        <v>33475</v>
      </c>
      <c r="E104" s="3">
        <f t="shared" si="1"/>
        <v>1991</v>
      </c>
      <c r="F104" t="s">
        <v>22</v>
      </c>
      <c r="G104">
        <v>3</v>
      </c>
      <c r="H104" t="s">
        <v>123</v>
      </c>
      <c r="I104" t="s">
        <v>99</v>
      </c>
      <c r="M104">
        <v>1</v>
      </c>
      <c r="N104">
        <v>6</v>
      </c>
      <c r="O104" t="s">
        <v>32</v>
      </c>
      <c r="P104">
        <v>3.1</v>
      </c>
      <c r="Q104" t="s">
        <v>26</v>
      </c>
      <c r="R104" t="s">
        <v>27</v>
      </c>
      <c r="S104" t="s">
        <v>28</v>
      </c>
    </row>
    <row r="105" spans="1:23" x14ac:dyDescent="0.2">
      <c r="A105" t="s">
        <v>21</v>
      </c>
      <c r="B105">
        <v>1674</v>
      </c>
      <c r="C105">
        <v>1</v>
      </c>
      <c r="D105" s="1">
        <v>33486</v>
      </c>
      <c r="E105" s="3">
        <f t="shared" si="1"/>
        <v>1991</v>
      </c>
      <c r="F105" t="s">
        <v>22</v>
      </c>
      <c r="G105">
        <v>3</v>
      </c>
      <c r="H105" t="s">
        <v>42</v>
      </c>
      <c r="I105" t="s">
        <v>99</v>
      </c>
      <c r="M105">
        <v>7</v>
      </c>
      <c r="N105">
        <v>8</v>
      </c>
      <c r="O105" t="s">
        <v>30</v>
      </c>
      <c r="P105">
        <v>3</v>
      </c>
      <c r="Q105" t="s">
        <v>26</v>
      </c>
      <c r="R105" t="s">
        <v>27</v>
      </c>
      <c r="S105" t="s">
        <v>28</v>
      </c>
    </row>
    <row r="106" spans="1:23" x14ac:dyDescent="0.2">
      <c r="A106" t="s">
        <v>21</v>
      </c>
      <c r="B106">
        <v>1674</v>
      </c>
      <c r="C106">
        <v>1</v>
      </c>
      <c r="D106" s="1">
        <v>33497</v>
      </c>
      <c r="E106" s="3">
        <f t="shared" si="1"/>
        <v>1991</v>
      </c>
      <c r="F106" t="s">
        <v>22</v>
      </c>
      <c r="G106">
        <v>3</v>
      </c>
      <c r="H106" t="s">
        <v>123</v>
      </c>
      <c r="I106" t="s">
        <v>99</v>
      </c>
      <c r="M106">
        <v>7</v>
      </c>
      <c r="N106">
        <v>8</v>
      </c>
      <c r="O106" t="s">
        <v>30</v>
      </c>
      <c r="P106">
        <v>3</v>
      </c>
      <c r="Q106" t="s">
        <v>26</v>
      </c>
      <c r="R106" t="s">
        <v>27</v>
      </c>
      <c r="S106" t="s">
        <v>28</v>
      </c>
    </row>
    <row r="107" spans="1:23" x14ac:dyDescent="0.2">
      <c r="A107" t="s">
        <v>21</v>
      </c>
      <c r="B107">
        <v>1674</v>
      </c>
      <c r="C107">
        <v>1</v>
      </c>
      <c r="D107" s="1">
        <v>33509</v>
      </c>
      <c r="E107" s="3">
        <f t="shared" si="1"/>
        <v>1991</v>
      </c>
      <c r="F107" t="s">
        <v>22</v>
      </c>
      <c r="G107">
        <v>3</v>
      </c>
      <c r="H107" t="s">
        <v>102</v>
      </c>
      <c r="I107" t="s">
        <v>99</v>
      </c>
      <c r="M107">
        <v>10</v>
      </c>
      <c r="N107">
        <v>6</v>
      </c>
      <c r="O107" t="s">
        <v>32</v>
      </c>
      <c r="P107">
        <v>2.9</v>
      </c>
      <c r="Q107" t="s">
        <v>26</v>
      </c>
      <c r="R107" t="s">
        <v>27</v>
      </c>
      <c r="S107" t="s">
        <v>28</v>
      </c>
    </row>
    <row r="108" spans="1:23" x14ac:dyDescent="0.2">
      <c r="A108" t="s">
        <v>21</v>
      </c>
      <c r="B108">
        <v>1674</v>
      </c>
      <c r="C108">
        <v>1</v>
      </c>
      <c r="D108" s="1">
        <v>33510</v>
      </c>
      <c r="E108" s="3">
        <f t="shared" si="1"/>
        <v>1991</v>
      </c>
      <c r="F108" t="s">
        <v>22</v>
      </c>
      <c r="G108">
        <v>3</v>
      </c>
      <c r="H108" t="s">
        <v>38</v>
      </c>
      <c r="I108" t="s">
        <v>99</v>
      </c>
      <c r="M108">
        <v>10</v>
      </c>
      <c r="N108">
        <v>8</v>
      </c>
      <c r="O108" t="s">
        <v>30</v>
      </c>
      <c r="P108">
        <v>3.1</v>
      </c>
      <c r="Q108" t="s">
        <v>26</v>
      </c>
      <c r="R108" t="s">
        <v>27</v>
      </c>
      <c r="S108" t="s">
        <v>28</v>
      </c>
    </row>
    <row r="109" spans="1:23" x14ac:dyDescent="0.2">
      <c r="A109" t="s">
        <v>21</v>
      </c>
      <c r="B109">
        <v>1674</v>
      </c>
      <c r="C109">
        <v>1</v>
      </c>
      <c r="D109" s="1">
        <v>33514</v>
      </c>
      <c r="E109" s="3">
        <f t="shared" si="1"/>
        <v>1991</v>
      </c>
      <c r="F109" t="s">
        <v>22</v>
      </c>
      <c r="G109">
        <v>3</v>
      </c>
      <c r="H109" t="s">
        <v>103</v>
      </c>
      <c r="I109" t="s">
        <v>99</v>
      </c>
      <c r="M109">
        <v>7</v>
      </c>
      <c r="N109">
        <v>5</v>
      </c>
      <c r="O109" t="s">
        <v>25</v>
      </c>
      <c r="P109">
        <v>2.7</v>
      </c>
      <c r="Q109" t="s">
        <v>26</v>
      </c>
      <c r="R109" t="s">
        <v>27</v>
      </c>
      <c r="S109" t="s">
        <v>28</v>
      </c>
    </row>
    <row r="110" spans="1:23" x14ac:dyDescent="0.2">
      <c r="A110" t="s">
        <v>21</v>
      </c>
      <c r="B110">
        <v>1674</v>
      </c>
      <c r="C110">
        <v>1</v>
      </c>
      <c r="D110" s="1">
        <v>33745</v>
      </c>
      <c r="E110" s="3">
        <f t="shared" si="1"/>
        <v>1992</v>
      </c>
      <c r="F110" t="s">
        <v>22</v>
      </c>
      <c r="G110">
        <v>3</v>
      </c>
      <c r="H110" t="s">
        <v>114</v>
      </c>
      <c r="I110" t="s">
        <v>99</v>
      </c>
      <c r="M110">
        <v>8</v>
      </c>
      <c r="N110">
        <v>8</v>
      </c>
      <c r="O110" t="s">
        <v>30</v>
      </c>
      <c r="P110">
        <v>3.4</v>
      </c>
      <c r="Q110" t="s">
        <v>26</v>
      </c>
      <c r="R110" t="s">
        <v>27</v>
      </c>
      <c r="S110" t="s">
        <v>28</v>
      </c>
    </row>
    <row r="111" spans="1:23" x14ac:dyDescent="0.2">
      <c r="A111" t="s">
        <v>21</v>
      </c>
      <c r="B111">
        <v>1674</v>
      </c>
      <c r="C111">
        <v>1</v>
      </c>
      <c r="D111" s="1">
        <v>33752</v>
      </c>
      <c r="E111" s="3">
        <f t="shared" si="1"/>
        <v>1992</v>
      </c>
      <c r="F111" t="s">
        <v>22</v>
      </c>
      <c r="G111">
        <v>2</v>
      </c>
      <c r="H111" t="s">
        <v>133</v>
      </c>
      <c r="I111" t="s">
        <v>81</v>
      </c>
      <c r="J111" t="s">
        <v>96</v>
      </c>
      <c r="M111">
        <v>8</v>
      </c>
      <c r="N111">
        <v>6</v>
      </c>
      <c r="O111" t="s">
        <v>30</v>
      </c>
      <c r="P111">
        <v>3</v>
      </c>
      <c r="Q111" t="s">
        <v>26</v>
      </c>
      <c r="R111" t="s">
        <v>27</v>
      </c>
      <c r="S111" t="s">
        <v>28</v>
      </c>
    </row>
    <row r="112" spans="1:23" x14ac:dyDescent="0.2">
      <c r="A112" t="s">
        <v>21</v>
      </c>
      <c r="B112">
        <v>1674</v>
      </c>
      <c r="C112">
        <v>1</v>
      </c>
      <c r="D112" s="1">
        <v>33755</v>
      </c>
      <c r="E112" s="3">
        <f t="shared" si="1"/>
        <v>1992</v>
      </c>
      <c r="F112" t="s">
        <v>22</v>
      </c>
      <c r="G112">
        <v>3</v>
      </c>
      <c r="H112" t="s">
        <v>31</v>
      </c>
      <c r="I112" t="s">
        <v>99</v>
      </c>
      <c r="M112">
        <v>7</v>
      </c>
      <c r="N112">
        <v>1</v>
      </c>
      <c r="O112" t="s">
        <v>32</v>
      </c>
      <c r="P112">
        <v>3</v>
      </c>
      <c r="Q112" t="s">
        <v>26</v>
      </c>
      <c r="R112" t="s">
        <v>27</v>
      </c>
      <c r="S112" t="s">
        <v>28</v>
      </c>
    </row>
    <row r="113" spans="1:34" x14ac:dyDescent="0.2">
      <c r="A113" t="s">
        <v>21</v>
      </c>
      <c r="B113">
        <v>1674</v>
      </c>
      <c r="C113">
        <v>1</v>
      </c>
      <c r="D113" s="1">
        <v>33762</v>
      </c>
      <c r="E113" s="3">
        <f t="shared" si="1"/>
        <v>1992</v>
      </c>
      <c r="F113" t="s">
        <v>22</v>
      </c>
      <c r="G113">
        <v>3</v>
      </c>
      <c r="H113" t="s">
        <v>102</v>
      </c>
      <c r="I113" t="s">
        <v>99</v>
      </c>
      <c r="M113">
        <v>7</v>
      </c>
      <c r="N113">
        <v>1</v>
      </c>
      <c r="O113" t="s">
        <v>30</v>
      </c>
      <c r="P113">
        <v>3.4</v>
      </c>
      <c r="Q113" t="s">
        <v>26</v>
      </c>
      <c r="R113" t="s">
        <v>27</v>
      </c>
      <c r="S113" t="s">
        <v>28</v>
      </c>
    </row>
    <row r="114" spans="1:34" x14ac:dyDescent="0.2">
      <c r="A114" t="s">
        <v>21</v>
      </c>
      <c r="B114">
        <v>1674</v>
      </c>
      <c r="C114">
        <v>1</v>
      </c>
      <c r="D114" s="1">
        <v>33766</v>
      </c>
      <c r="E114" s="3">
        <f t="shared" si="1"/>
        <v>1992</v>
      </c>
      <c r="F114" t="s">
        <v>22</v>
      </c>
      <c r="G114">
        <v>2</v>
      </c>
      <c r="H114" t="s">
        <v>42</v>
      </c>
      <c r="I114" t="s">
        <v>86</v>
      </c>
      <c r="M114">
        <v>10</v>
      </c>
      <c r="N114">
        <v>2</v>
      </c>
      <c r="O114" t="s">
        <v>30</v>
      </c>
      <c r="P114">
        <v>3.2</v>
      </c>
      <c r="Q114" t="s">
        <v>26</v>
      </c>
      <c r="R114" t="s">
        <v>27</v>
      </c>
      <c r="S114" t="s">
        <v>28</v>
      </c>
    </row>
    <row r="115" spans="1:34" x14ac:dyDescent="0.2">
      <c r="A115" t="s">
        <v>21</v>
      </c>
      <c r="B115">
        <v>1674</v>
      </c>
      <c r="C115">
        <v>1</v>
      </c>
      <c r="D115" s="1">
        <v>33776</v>
      </c>
      <c r="E115" s="3">
        <f t="shared" si="1"/>
        <v>1992</v>
      </c>
      <c r="F115" t="s">
        <v>22</v>
      </c>
      <c r="G115">
        <v>3</v>
      </c>
      <c r="H115" t="s">
        <v>42</v>
      </c>
      <c r="I115" t="s">
        <v>99</v>
      </c>
      <c r="M115">
        <v>9</v>
      </c>
      <c r="N115">
        <v>5</v>
      </c>
      <c r="O115" t="s">
        <v>32</v>
      </c>
      <c r="P115">
        <v>3</v>
      </c>
      <c r="Q115" t="s">
        <v>26</v>
      </c>
      <c r="R115" t="s">
        <v>27</v>
      </c>
      <c r="S115" t="s">
        <v>28</v>
      </c>
    </row>
    <row r="116" spans="1:34" x14ac:dyDescent="0.2">
      <c r="A116" t="s">
        <v>21</v>
      </c>
      <c r="B116">
        <v>1674</v>
      </c>
      <c r="C116">
        <v>1</v>
      </c>
      <c r="D116" s="1">
        <v>33785</v>
      </c>
      <c r="E116" s="3">
        <f t="shared" si="1"/>
        <v>1992</v>
      </c>
      <c r="F116" t="s">
        <v>22</v>
      </c>
      <c r="G116">
        <v>3</v>
      </c>
      <c r="H116" t="s">
        <v>31</v>
      </c>
      <c r="I116" t="s">
        <v>99</v>
      </c>
      <c r="M116">
        <v>4</v>
      </c>
      <c r="N116">
        <v>4</v>
      </c>
      <c r="O116" t="s">
        <v>32</v>
      </c>
      <c r="P116">
        <v>3.2</v>
      </c>
      <c r="Q116" t="s">
        <v>26</v>
      </c>
      <c r="R116" t="s">
        <v>27</v>
      </c>
      <c r="S116" t="s">
        <v>28</v>
      </c>
    </row>
    <row r="117" spans="1:34" x14ac:dyDescent="0.2">
      <c r="A117" t="s">
        <v>21</v>
      </c>
      <c r="B117">
        <v>1674</v>
      </c>
      <c r="C117">
        <v>1</v>
      </c>
      <c r="D117" s="1">
        <v>33793</v>
      </c>
      <c r="E117" s="3">
        <f t="shared" si="1"/>
        <v>1992</v>
      </c>
      <c r="F117" t="s">
        <v>22</v>
      </c>
      <c r="G117">
        <v>2</v>
      </c>
      <c r="H117" t="s">
        <v>111</v>
      </c>
      <c r="I117" t="s">
        <v>81</v>
      </c>
      <c r="J117" t="s">
        <v>96</v>
      </c>
      <c r="M117">
        <v>7</v>
      </c>
      <c r="N117">
        <v>6</v>
      </c>
      <c r="O117" t="s">
        <v>30</v>
      </c>
      <c r="P117">
        <v>2.2999999999999998</v>
      </c>
      <c r="Q117" t="s">
        <v>26</v>
      </c>
      <c r="R117" t="s">
        <v>27</v>
      </c>
      <c r="S117" t="s">
        <v>28</v>
      </c>
    </row>
    <row r="118" spans="1:34" x14ac:dyDescent="0.2">
      <c r="A118" t="s">
        <v>21</v>
      </c>
      <c r="B118">
        <v>1674</v>
      </c>
      <c r="C118">
        <v>1</v>
      </c>
      <c r="D118" s="1">
        <v>33799</v>
      </c>
      <c r="E118" s="3">
        <f t="shared" si="1"/>
        <v>1992</v>
      </c>
      <c r="F118" t="s">
        <v>22</v>
      </c>
      <c r="G118">
        <v>3</v>
      </c>
      <c r="H118" t="s">
        <v>123</v>
      </c>
      <c r="I118" t="s">
        <v>99</v>
      </c>
      <c r="M118">
        <v>6</v>
      </c>
      <c r="N118">
        <v>7</v>
      </c>
      <c r="O118" t="s">
        <v>30</v>
      </c>
      <c r="P118">
        <v>3</v>
      </c>
      <c r="Q118" t="s">
        <v>26</v>
      </c>
      <c r="R118" t="s">
        <v>27</v>
      </c>
      <c r="S118" t="s">
        <v>28</v>
      </c>
    </row>
    <row r="119" spans="1:34" x14ac:dyDescent="0.2">
      <c r="A119" t="s">
        <v>21</v>
      </c>
      <c r="B119">
        <v>1674</v>
      </c>
      <c r="C119">
        <v>1</v>
      </c>
      <c r="D119" s="1">
        <v>33805</v>
      </c>
      <c r="E119" s="3">
        <f t="shared" si="1"/>
        <v>1992</v>
      </c>
      <c r="F119" t="s">
        <v>22</v>
      </c>
      <c r="G119">
        <v>2</v>
      </c>
      <c r="I119" t="s">
        <v>129</v>
      </c>
      <c r="J119" t="s">
        <v>96</v>
      </c>
      <c r="M119">
        <v>3</v>
      </c>
      <c r="N119">
        <v>4</v>
      </c>
      <c r="O119" t="s">
        <v>30</v>
      </c>
      <c r="P119">
        <v>2.5</v>
      </c>
      <c r="Q119" t="s">
        <v>26</v>
      </c>
      <c r="R119" t="s">
        <v>27</v>
      </c>
      <c r="S119" t="s">
        <v>28</v>
      </c>
    </row>
    <row r="120" spans="1:34" x14ac:dyDescent="0.2">
      <c r="A120" t="s">
        <v>21</v>
      </c>
      <c r="B120">
        <v>1674</v>
      </c>
      <c r="C120">
        <v>1</v>
      </c>
      <c r="D120" s="1">
        <v>33812</v>
      </c>
      <c r="E120" s="3">
        <f t="shared" si="1"/>
        <v>1992</v>
      </c>
      <c r="F120" t="s">
        <v>22</v>
      </c>
      <c r="G120">
        <v>3</v>
      </c>
      <c r="H120" t="s">
        <v>102</v>
      </c>
      <c r="I120" t="s">
        <v>99</v>
      </c>
      <c r="M120">
        <v>5</v>
      </c>
      <c r="N120">
        <v>6</v>
      </c>
      <c r="O120" t="s">
        <v>32</v>
      </c>
      <c r="P120">
        <v>3.4</v>
      </c>
      <c r="Q120" t="s">
        <v>26</v>
      </c>
      <c r="R120" t="s">
        <v>27</v>
      </c>
      <c r="S120" t="s">
        <v>28</v>
      </c>
    </row>
    <row r="121" spans="1:34" x14ac:dyDescent="0.2">
      <c r="A121" t="s">
        <v>21</v>
      </c>
      <c r="B121">
        <v>1674</v>
      </c>
      <c r="C121">
        <v>1</v>
      </c>
      <c r="D121" s="1">
        <v>33815</v>
      </c>
      <c r="E121" s="3">
        <f t="shared" si="1"/>
        <v>1992</v>
      </c>
      <c r="F121" t="s">
        <v>22</v>
      </c>
      <c r="G121">
        <v>2</v>
      </c>
      <c r="H121" t="s">
        <v>101</v>
      </c>
      <c r="I121" t="s">
        <v>86</v>
      </c>
      <c r="M121">
        <v>15</v>
      </c>
      <c r="N121">
        <v>2</v>
      </c>
      <c r="O121" t="s">
        <v>32</v>
      </c>
      <c r="P121">
        <v>3.5</v>
      </c>
      <c r="Q121" t="s">
        <v>26</v>
      </c>
      <c r="R121" t="s">
        <v>27</v>
      </c>
      <c r="S121" t="s">
        <v>28</v>
      </c>
    </row>
    <row r="122" spans="1:34" s="7" customFormat="1" x14ac:dyDescent="0.2">
      <c r="A122" s="7" t="s">
        <v>21</v>
      </c>
      <c r="B122" s="7">
        <v>1674</v>
      </c>
      <c r="C122" s="7">
        <v>1</v>
      </c>
      <c r="D122" s="8">
        <v>33826</v>
      </c>
      <c r="E122" s="9">
        <f t="shared" si="1"/>
        <v>1992</v>
      </c>
      <c r="F122" s="7" t="s">
        <v>22</v>
      </c>
      <c r="G122" s="7">
        <v>3</v>
      </c>
      <c r="H122" s="7" t="s">
        <v>102</v>
      </c>
      <c r="I122" s="7" t="s">
        <v>99</v>
      </c>
      <c r="M122" s="7">
        <v>7</v>
      </c>
      <c r="N122" s="7">
        <v>7</v>
      </c>
      <c r="O122" s="7" t="s">
        <v>30</v>
      </c>
      <c r="P122" s="7">
        <v>3.4</v>
      </c>
      <c r="Q122" s="7" t="s">
        <v>26</v>
      </c>
      <c r="R122" s="7" t="s">
        <v>27</v>
      </c>
      <c r="S122" s="7" t="s">
        <v>28</v>
      </c>
      <c r="W122" s="16"/>
      <c r="Y122" s="127"/>
      <c r="Z122" s="127"/>
      <c r="AA122" s="127"/>
      <c r="AB122" s="127"/>
      <c r="AC122" s="130"/>
      <c r="AD122" s="130"/>
      <c r="AE122" s="130"/>
      <c r="AF122" s="131"/>
      <c r="AG122" s="131"/>
      <c r="AH122" s="131"/>
    </row>
    <row r="123" spans="1:34" s="7" customFormat="1" x14ac:dyDescent="0.2">
      <c r="A123" s="7" t="s">
        <v>21</v>
      </c>
      <c r="B123" s="7">
        <v>1674</v>
      </c>
      <c r="C123" s="7">
        <v>1</v>
      </c>
      <c r="D123" s="8">
        <v>33829</v>
      </c>
      <c r="E123" s="9">
        <f t="shared" si="1"/>
        <v>1992</v>
      </c>
      <c r="F123" s="7" t="s">
        <v>22</v>
      </c>
      <c r="G123" s="7">
        <v>2</v>
      </c>
      <c r="H123" s="7" t="s">
        <v>130</v>
      </c>
      <c r="I123" s="7" t="s">
        <v>129</v>
      </c>
      <c r="J123" s="7" t="s">
        <v>96</v>
      </c>
      <c r="M123" s="7">
        <v>10</v>
      </c>
      <c r="N123" s="7">
        <v>7</v>
      </c>
      <c r="O123" s="7" t="s">
        <v>30</v>
      </c>
      <c r="P123" s="7">
        <v>3</v>
      </c>
      <c r="Q123" s="7" t="s">
        <v>26</v>
      </c>
      <c r="R123" s="7" t="s">
        <v>27</v>
      </c>
      <c r="S123" s="7" t="s">
        <v>28</v>
      </c>
      <c r="W123" s="16"/>
      <c r="Y123" s="127"/>
      <c r="Z123" s="127"/>
      <c r="AA123" s="127"/>
      <c r="AB123" s="127"/>
      <c r="AC123" s="130"/>
      <c r="AD123" s="130"/>
      <c r="AE123" s="130"/>
      <c r="AF123" s="131"/>
      <c r="AG123" s="131"/>
      <c r="AH123" s="131"/>
    </row>
    <row r="124" spans="1:34" s="7" customFormat="1" x14ac:dyDescent="0.2">
      <c r="A124" s="7" t="s">
        <v>21</v>
      </c>
      <c r="B124" s="7">
        <v>1674</v>
      </c>
      <c r="C124" s="7">
        <v>1</v>
      </c>
      <c r="D124" s="8">
        <v>33840</v>
      </c>
      <c r="E124" s="9">
        <f t="shared" si="1"/>
        <v>1992</v>
      </c>
      <c r="F124" s="7" t="s">
        <v>22</v>
      </c>
      <c r="G124" s="7">
        <v>3</v>
      </c>
      <c r="H124" s="7" t="s">
        <v>103</v>
      </c>
      <c r="I124" s="7" t="s">
        <v>99</v>
      </c>
      <c r="M124" s="7">
        <v>9</v>
      </c>
      <c r="N124" s="7">
        <v>5</v>
      </c>
      <c r="O124" s="7" t="s">
        <v>30</v>
      </c>
      <c r="P124" s="7">
        <v>3.5</v>
      </c>
      <c r="Q124" s="7" t="s">
        <v>26</v>
      </c>
      <c r="R124" s="7" t="s">
        <v>27</v>
      </c>
      <c r="S124" s="7" t="s">
        <v>28</v>
      </c>
      <c r="W124" s="16"/>
      <c r="Y124" s="127"/>
      <c r="Z124" s="127"/>
      <c r="AA124" s="127"/>
      <c r="AB124" s="127"/>
      <c r="AC124" s="130"/>
      <c r="AD124" s="130"/>
      <c r="AE124" s="130"/>
      <c r="AF124" s="131"/>
      <c r="AG124" s="131"/>
      <c r="AH124" s="131"/>
    </row>
    <row r="125" spans="1:34" x14ac:dyDescent="0.2">
      <c r="A125" t="s">
        <v>21</v>
      </c>
      <c r="B125">
        <v>1674</v>
      </c>
      <c r="C125">
        <v>1</v>
      </c>
      <c r="D125" s="1">
        <v>33854</v>
      </c>
      <c r="E125" s="3">
        <f t="shared" si="1"/>
        <v>1992</v>
      </c>
      <c r="F125" t="s">
        <v>22</v>
      </c>
      <c r="G125">
        <v>3</v>
      </c>
      <c r="H125" t="s">
        <v>102</v>
      </c>
      <c r="I125" t="s">
        <v>99</v>
      </c>
      <c r="M125">
        <v>6</v>
      </c>
      <c r="N125">
        <v>5</v>
      </c>
      <c r="O125" t="s">
        <v>32</v>
      </c>
      <c r="P125">
        <v>3.2</v>
      </c>
      <c r="Q125" t="s">
        <v>26</v>
      </c>
      <c r="R125" t="s">
        <v>27</v>
      </c>
      <c r="S125" t="s">
        <v>28</v>
      </c>
    </row>
    <row r="126" spans="1:34" x14ac:dyDescent="0.2">
      <c r="A126" t="s">
        <v>21</v>
      </c>
      <c r="B126">
        <v>1674</v>
      </c>
      <c r="C126">
        <v>1</v>
      </c>
      <c r="D126" s="1">
        <v>33861</v>
      </c>
      <c r="E126" s="3">
        <f t="shared" si="1"/>
        <v>1992</v>
      </c>
      <c r="F126" t="s">
        <v>22</v>
      </c>
      <c r="G126">
        <v>3</v>
      </c>
      <c r="H126" t="s">
        <v>123</v>
      </c>
      <c r="I126" t="s">
        <v>99</v>
      </c>
      <c r="M126">
        <v>6</v>
      </c>
      <c r="N126">
        <v>7</v>
      </c>
      <c r="O126" t="s">
        <v>32</v>
      </c>
      <c r="P126">
        <v>3.4</v>
      </c>
      <c r="Q126" t="s">
        <v>26</v>
      </c>
      <c r="R126" t="s">
        <v>27</v>
      </c>
      <c r="S126" t="s">
        <v>28</v>
      </c>
    </row>
    <row r="127" spans="1:34" x14ac:dyDescent="0.2">
      <c r="A127" t="s">
        <v>21</v>
      </c>
      <c r="B127">
        <v>1674</v>
      </c>
      <c r="C127">
        <v>1</v>
      </c>
      <c r="D127" s="1">
        <v>33862</v>
      </c>
      <c r="E127" s="3">
        <f t="shared" si="1"/>
        <v>1992</v>
      </c>
      <c r="F127" t="s">
        <v>22</v>
      </c>
      <c r="G127">
        <v>2</v>
      </c>
      <c r="H127" t="s">
        <v>132</v>
      </c>
      <c r="I127" t="s">
        <v>127</v>
      </c>
      <c r="J127" t="s">
        <v>96</v>
      </c>
      <c r="N127">
        <v>6</v>
      </c>
      <c r="O127" t="s">
        <v>30</v>
      </c>
      <c r="P127">
        <v>2.5</v>
      </c>
      <c r="Q127" t="s">
        <v>26</v>
      </c>
      <c r="R127" t="s">
        <v>27</v>
      </c>
      <c r="S127" t="s">
        <v>28</v>
      </c>
    </row>
    <row r="128" spans="1:34" x14ac:dyDescent="0.2">
      <c r="A128" t="s">
        <v>21</v>
      </c>
      <c r="B128">
        <v>1674</v>
      </c>
      <c r="C128">
        <v>1</v>
      </c>
      <c r="D128" s="1">
        <v>33877</v>
      </c>
      <c r="E128" s="3">
        <f t="shared" si="1"/>
        <v>1992</v>
      </c>
      <c r="F128" t="s">
        <v>22</v>
      </c>
      <c r="G128">
        <v>3</v>
      </c>
      <c r="H128" t="s">
        <v>42</v>
      </c>
      <c r="I128" t="s">
        <v>99</v>
      </c>
      <c r="M128">
        <v>7</v>
      </c>
      <c r="N128">
        <v>5</v>
      </c>
      <c r="O128" t="s">
        <v>32</v>
      </c>
      <c r="P128">
        <v>3.5</v>
      </c>
      <c r="Q128" t="s">
        <v>26</v>
      </c>
      <c r="R128" t="s">
        <v>27</v>
      </c>
      <c r="S128" t="s">
        <v>28</v>
      </c>
    </row>
    <row r="129" spans="1:19" x14ac:dyDescent="0.2">
      <c r="A129" t="s">
        <v>21</v>
      </c>
      <c r="B129">
        <v>1674</v>
      </c>
      <c r="C129">
        <v>1</v>
      </c>
      <c r="D129" s="1">
        <v>33887</v>
      </c>
      <c r="E129" s="3">
        <f t="shared" si="1"/>
        <v>1992</v>
      </c>
      <c r="F129" t="s">
        <v>22</v>
      </c>
      <c r="G129">
        <v>3</v>
      </c>
      <c r="H129" t="s">
        <v>103</v>
      </c>
      <c r="I129" t="s">
        <v>99</v>
      </c>
      <c r="M129">
        <v>6</v>
      </c>
      <c r="N129">
        <v>6</v>
      </c>
      <c r="O129" t="s">
        <v>30</v>
      </c>
      <c r="P129">
        <v>3.2</v>
      </c>
      <c r="Q129" t="s">
        <v>26</v>
      </c>
      <c r="R129" t="s">
        <v>27</v>
      </c>
      <c r="S129" t="s">
        <v>28</v>
      </c>
    </row>
    <row r="130" spans="1:19" x14ac:dyDescent="0.2">
      <c r="A130" t="s">
        <v>21</v>
      </c>
      <c r="B130">
        <v>1674</v>
      </c>
      <c r="C130">
        <v>1</v>
      </c>
      <c r="D130" s="1">
        <v>33897</v>
      </c>
      <c r="E130" s="3">
        <f t="shared" ref="E130:E193" si="2">YEAR(D130)</f>
        <v>1992</v>
      </c>
      <c r="F130" t="s">
        <v>22</v>
      </c>
      <c r="G130">
        <v>3</v>
      </c>
      <c r="H130" t="s">
        <v>42</v>
      </c>
      <c r="I130" t="s">
        <v>99</v>
      </c>
      <c r="M130">
        <v>5</v>
      </c>
      <c r="N130">
        <v>6</v>
      </c>
      <c r="O130" t="s">
        <v>30</v>
      </c>
      <c r="P130">
        <v>3.3</v>
      </c>
      <c r="Q130" t="s">
        <v>26</v>
      </c>
      <c r="R130" t="s">
        <v>27</v>
      </c>
      <c r="S130" t="s">
        <v>28</v>
      </c>
    </row>
    <row r="131" spans="1:19" x14ac:dyDescent="0.2">
      <c r="A131" t="s">
        <v>21</v>
      </c>
      <c r="B131">
        <v>1674</v>
      </c>
      <c r="C131">
        <v>1</v>
      </c>
      <c r="D131" s="1">
        <v>33908</v>
      </c>
      <c r="E131" s="3">
        <f t="shared" si="2"/>
        <v>1992</v>
      </c>
      <c r="F131" t="s">
        <v>22</v>
      </c>
      <c r="G131">
        <v>3</v>
      </c>
      <c r="H131" t="s">
        <v>123</v>
      </c>
      <c r="I131" t="s">
        <v>99</v>
      </c>
      <c r="M131">
        <v>6</v>
      </c>
      <c r="N131">
        <v>7</v>
      </c>
      <c r="O131" t="s">
        <v>30</v>
      </c>
      <c r="P131">
        <v>3.4</v>
      </c>
      <c r="Q131" t="s">
        <v>26</v>
      </c>
      <c r="R131" t="s">
        <v>27</v>
      </c>
      <c r="S131" t="s">
        <v>28</v>
      </c>
    </row>
    <row r="132" spans="1:19" x14ac:dyDescent="0.2">
      <c r="A132" t="s">
        <v>21</v>
      </c>
      <c r="B132">
        <v>1674</v>
      </c>
      <c r="C132">
        <v>1</v>
      </c>
      <c r="D132" s="1">
        <v>33922</v>
      </c>
      <c r="E132" s="3">
        <f t="shared" si="2"/>
        <v>1992</v>
      </c>
      <c r="F132" t="s">
        <v>22</v>
      </c>
      <c r="G132">
        <v>3</v>
      </c>
      <c r="H132" t="s">
        <v>102</v>
      </c>
      <c r="I132" t="s">
        <v>99</v>
      </c>
      <c r="M132">
        <v>7</v>
      </c>
      <c r="N132">
        <v>7</v>
      </c>
      <c r="O132" t="s">
        <v>30</v>
      </c>
      <c r="P132">
        <v>3.5</v>
      </c>
      <c r="Q132" t="s">
        <v>26</v>
      </c>
      <c r="R132" t="s">
        <v>27</v>
      </c>
      <c r="S132" t="s">
        <v>28</v>
      </c>
    </row>
    <row r="133" spans="1:19" x14ac:dyDescent="0.2">
      <c r="A133" t="s">
        <v>21</v>
      </c>
      <c r="B133">
        <v>1674</v>
      </c>
      <c r="C133">
        <v>1</v>
      </c>
      <c r="D133" s="1">
        <v>34511</v>
      </c>
      <c r="E133" s="3">
        <f t="shared" si="2"/>
        <v>1994</v>
      </c>
      <c r="F133" t="s">
        <v>22</v>
      </c>
      <c r="G133">
        <v>2</v>
      </c>
      <c r="H133" t="s">
        <v>106</v>
      </c>
      <c r="I133" t="s">
        <v>86</v>
      </c>
      <c r="M133">
        <v>12</v>
      </c>
      <c r="N133">
        <v>4</v>
      </c>
      <c r="O133" t="s">
        <v>30</v>
      </c>
      <c r="P133">
        <v>3.8</v>
      </c>
      <c r="Q133" t="s">
        <v>26</v>
      </c>
      <c r="R133" t="s">
        <v>27</v>
      </c>
      <c r="S133" t="s">
        <v>28</v>
      </c>
    </row>
    <row r="134" spans="1:19" x14ac:dyDescent="0.2">
      <c r="A134" t="s">
        <v>21</v>
      </c>
      <c r="B134">
        <v>1674</v>
      </c>
      <c r="C134">
        <v>1</v>
      </c>
      <c r="D134" s="1">
        <v>34573</v>
      </c>
      <c r="E134" s="3">
        <f t="shared" si="2"/>
        <v>1994</v>
      </c>
      <c r="F134" t="s">
        <v>22</v>
      </c>
      <c r="G134">
        <v>2</v>
      </c>
      <c r="H134" t="s">
        <v>38</v>
      </c>
      <c r="I134" t="s">
        <v>86</v>
      </c>
      <c r="M134">
        <v>12</v>
      </c>
      <c r="N134">
        <v>8</v>
      </c>
      <c r="O134" t="s">
        <v>30</v>
      </c>
      <c r="P134">
        <v>3.3</v>
      </c>
      <c r="Q134" t="s">
        <v>26</v>
      </c>
      <c r="R134" t="s">
        <v>27</v>
      </c>
      <c r="S134" t="s">
        <v>28</v>
      </c>
    </row>
    <row r="135" spans="1:19" x14ac:dyDescent="0.2">
      <c r="A135" t="s">
        <v>21</v>
      </c>
      <c r="B135">
        <v>1674</v>
      </c>
      <c r="C135">
        <v>1</v>
      </c>
      <c r="D135" s="1">
        <v>34839</v>
      </c>
      <c r="E135" s="3">
        <f t="shared" si="2"/>
        <v>1995</v>
      </c>
      <c r="F135" t="s">
        <v>22</v>
      </c>
      <c r="G135">
        <v>2</v>
      </c>
      <c r="H135" t="s">
        <v>121</v>
      </c>
      <c r="I135" t="s">
        <v>86</v>
      </c>
      <c r="M135">
        <v>7</v>
      </c>
      <c r="N135">
        <v>6</v>
      </c>
      <c r="O135" t="s">
        <v>32</v>
      </c>
      <c r="P135">
        <v>3.2</v>
      </c>
      <c r="Q135" t="s">
        <v>26</v>
      </c>
      <c r="R135" t="s">
        <v>27</v>
      </c>
      <c r="S135" t="s">
        <v>28</v>
      </c>
    </row>
    <row r="136" spans="1:19" x14ac:dyDescent="0.2">
      <c r="A136" t="s">
        <v>21</v>
      </c>
      <c r="B136">
        <v>1674</v>
      </c>
      <c r="C136">
        <v>1</v>
      </c>
      <c r="D136" s="1">
        <v>34845</v>
      </c>
      <c r="E136" s="3">
        <f t="shared" si="2"/>
        <v>1995</v>
      </c>
      <c r="F136" t="s">
        <v>22</v>
      </c>
      <c r="G136">
        <v>3</v>
      </c>
      <c r="H136" t="s">
        <v>100</v>
      </c>
      <c r="I136" t="s">
        <v>134</v>
      </c>
      <c r="M136">
        <v>5</v>
      </c>
      <c r="N136">
        <v>6</v>
      </c>
      <c r="O136" t="s">
        <v>32</v>
      </c>
      <c r="P136">
        <v>2.8</v>
      </c>
      <c r="Q136" t="s">
        <v>26</v>
      </c>
      <c r="R136" t="s">
        <v>27</v>
      </c>
      <c r="S136" t="s">
        <v>28</v>
      </c>
    </row>
    <row r="137" spans="1:19" x14ac:dyDescent="0.2">
      <c r="A137" t="s">
        <v>21</v>
      </c>
      <c r="B137">
        <v>1674</v>
      </c>
      <c r="C137">
        <v>1</v>
      </c>
      <c r="D137" s="1">
        <v>34860</v>
      </c>
      <c r="E137" s="3">
        <f t="shared" si="2"/>
        <v>1995</v>
      </c>
      <c r="F137" t="s">
        <v>22</v>
      </c>
      <c r="G137">
        <v>3</v>
      </c>
      <c r="H137" t="s">
        <v>135</v>
      </c>
      <c r="I137" t="s">
        <v>134</v>
      </c>
      <c r="M137">
        <v>1</v>
      </c>
      <c r="N137">
        <v>1</v>
      </c>
      <c r="O137" t="s">
        <v>30</v>
      </c>
      <c r="P137">
        <v>2.6</v>
      </c>
      <c r="Q137" t="s">
        <v>26</v>
      </c>
      <c r="R137" t="s">
        <v>27</v>
      </c>
      <c r="S137" t="s">
        <v>28</v>
      </c>
    </row>
    <row r="138" spans="1:19" x14ac:dyDescent="0.2">
      <c r="A138" t="s">
        <v>21</v>
      </c>
      <c r="B138">
        <v>1674</v>
      </c>
      <c r="C138">
        <v>1</v>
      </c>
      <c r="D138" s="1">
        <v>34879</v>
      </c>
      <c r="E138" s="3">
        <f t="shared" si="2"/>
        <v>1995</v>
      </c>
      <c r="F138" t="s">
        <v>22</v>
      </c>
      <c r="G138">
        <v>3</v>
      </c>
      <c r="H138" t="s">
        <v>136</v>
      </c>
      <c r="I138" t="s">
        <v>134</v>
      </c>
      <c r="M138">
        <v>3</v>
      </c>
      <c r="N138">
        <v>4</v>
      </c>
      <c r="O138" t="s">
        <v>32</v>
      </c>
      <c r="P138">
        <v>3.1</v>
      </c>
      <c r="Q138" t="s">
        <v>26</v>
      </c>
      <c r="R138" t="s">
        <v>27</v>
      </c>
      <c r="S138" t="s">
        <v>28</v>
      </c>
    </row>
    <row r="139" spans="1:19" x14ac:dyDescent="0.2">
      <c r="A139" t="s">
        <v>21</v>
      </c>
      <c r="B139">
        <v>1674</v>
      </c>
      <c r="C139">
        <v>1</v>
      </c>
      <c r="D139" s="1">
        <v>34911</v>
      </c>
      <c r="E139" s="3">
        <f t="shared" si="2"/>
        <v>1995</v>
      </c>
      <c r="F139" t="s">
        <v>22</v>
      </c>
      <c r="G139">
        <v>3</v>
      </c>
      <c r="H139" t="s">
        <v>125</v>
      </c>
      <c r="I139" t="s">
        <v>134</v>
      </c>
      <c r="M139">
        <v>5</v>
      </c>
      <c r="N139">
        <v>6</v>
      </c>
      <c r="O139" t="s">
        <v>30</v>
      </c>
      <c r="P139">
        <v>2.4</v>
      </c>
      <c r="Q139" t="s">
        <v>26</v>
      </c>
      <c r="R139" t="s">
        <v>27</v>
      </c>
      <c r="S139" t="s">
        <v>28</v>
      </c>
    </row>
    <row r="140" spans="1:19" x14ac:dyDescent="0.2">
      <c r="A140" t="s">
        <v>21</v>
      </c>
      <c r="B140">
        <v>1674</v>
      </c>
      <c r="C140">
        <v>1</v>
      </c>
      <c r="D140" s="1">
        <v>34925</v>
      </c>
      <c r="E140" s="3">
        <f t="shared" si="2"/>
        <v>1995</v>
      </c>
      <c r="F140" t="s">
        <v>22</v>
      </c>
      <c r="G140">
        <v>3</v>
      </c>
      <c r="H140" t="s">
        <v>73</v>
      </c>
      <c r="I140" t="s">
        <v>134</v>
      </c>
      <c r="M140">
        <v>7</v>
      </c>
      <c r="N140">
        <v>1</v>
      </c>
      <c r="O140" t="s">
        <v>32</v>
      </c>
      <c r="P140">
        <v>3</v>
      </c>
      <c r="Q140" t="s">
        <v>26</v>
      </c>
      <c r="R140" t="s">
        <v>27</v>
      </c>
      <c r="S140" t="s">
        <v>28</v>
      </c>
    </row>
    <row r="141" spans="1:19" x14ac:dyDescent="0.2">
      <c r="A141" t="s">
        <v>21</v>
      </c>
      <c r="B141">
        <v>1674</v>
      </c>
      <c r="C141">
        <v>1</v>
      </c>
      <c r="D141" s="1">
        <v>34939</v>
      </c>
      <c r="E141" s="3">
        <f t="shared" si="2"/>
        <v>1995</v>
      </c>
      <c r="F141" t="s">
        <v>22</v>
      </c>
      <c r="G141">
        <v>3</v>
      </c>
      <c r="H141" t="s">
        <v>38</v>
      </c>
      <c r="I141" t="s">
        <v>134</v>
      </c>
      <c r="M141">
        <v>6</v>
      </c>
      <c r="N141">
        <v>1</v>
      </c>
      <c r="O141" t="s">
        <v>30</v>
      </c>
      <c r="P141">
        <v>2.4</v>
      </c>
      <c r="Q141" t="s">
        <v>26</v>
      </c>
      <c r="R141" t="s">
        <v>27</v>
      </c>
      <c r="S141" t="s">
        <v>28</v>
      </c>
    </row>
    <row r="142" spans="1:19" x14ac:dyDescent="0.2">
      <c r="A142" t="s">
        <v>21</v>
      </c>
      <c r="B142">
        <v>1674</v>
      </c>
      <c r="C142">
        <v>1</v>
      </c>
      <c r="D142" s="1">
        <v>34954</v>
      </c>
      <c r="E142" s="3">
        <f t="shared" si="2"/>
        <v>1995</v>
      </c>
      <c r="F142" t="s">
        <v>22</v>
      </c>
      <c r="G142">
        <v>3</v>
      </c>
      <c r="H142" t="s">
        <v>137</v>
      </c>
      <c r="I142" t="s">
        <v>134</v>
      </c>
      <c r="M142">
        <v>12</v>
      </c>
      <c r="N142">
        <v>6</v>
      </c>
      <c r="O142" t="s">
        <v>30</v>
      </c>
      <c r="P142">
        <v>2.7</v>
      </c>
      <c r="Q142" t="s">
        <v>26</v>
      </c>
      <c r="R142" t="s">
        <v>27</v>
      </c>
      <c r="S142" t="s">
        <v>28</v>
      </c>
    </row>
    <row r="143" spans="1:19" x14ac:dyDescent="0.2">
      <c r="A143" t="s">
        <v>21</v>
      </c>
      <c r="B143">
        <v>1674</v>
      </c>
      <c r="C143">
        <v>1</v>
      </c>
      <c r="D143" s="1">
        <v>34966</v>
      </c>
      <c r="E143" s="3">
        <f t="shared" si="2"/>
        <v>1995</v>
      </c>
      <c r="F143" t="s">
        <v>22</v>
      </c>
      <c r="G143">
        <v>3</v>
      </c>
      <c r="H143" t="s">
        <v>138</v>
      </c>
      <c r="I143" t="s">
        <v>134</v>
      </c>
      <c r="M143">
        <v>8</v>
      </c>
      <c r="N143">
        <v>6</v>
      </c>
      <c r="O143" t="s">
        <v>30</v>
      </c>
      <c r="P143">
        <v>2.2999999999999998</v>
      </c>
      <c r="Q143" t="s">
        <v>26</v>
      </c>
      <c r="R143" t="s">
        <v>27</v>
      </c>
      <c r="S143" t="s">
        <v>28</v>
      </c>
    </row>
    <row r="144" spans="1:19" x14ac:dyDescent="0.2">
      <c r="A144" t="s">
        <v>21</v>
      </c>
      <c r="B144">
        <v>1674</v>
      </c>
      <c r="C144">
        <v>1</v>
      </c>
      <c r="D144" s="1">
        <v>35230</v>
      </c>
      <c r="E144" s="3">
        <f t="shared" si="2"/>
        <v>1996</v>
      </c>
      <c r="F144" t="s">
        <v>22</v>
      </c>
      <c r="G144">
        <v>3</v>
      </c>
      <c r="H144" t="s">
        <v>44</v>
      </c>
      <c r="I144" t="s">
        <v>139</v>
      </c>
      <c r="M144">
        <v>5</v>
      </c>
      <c r="N144">
        <v>6</v>
      </c>
      <c r="O144" t="s">
        <v>25</v>
      </c>
      <c r="P144">
        <v>3.1</v>
      </c>
      <c r="Q144" t="s">
        <v>26</v>
      </c>
      <c r="R144" t="s">
        <v>140</v>
      </c>
      <c r="S144" t="s">
        <v>28</v>
      </c>
    </row>
    <row r="145" spans="1:23" x14ac:dyDescent="0.2">
      <c r="A145" t="s">
        <v>21</v>
      </c>
      <c r="B145">
        <v>1674</v>
      </c>
      <c r="C145">
        <v>1</v>
      </c>
      <c r="D145" s="1">
        <v>35245</v>
      </c>
      <c r="E145" s="3">
        <f t="shared" si="2"/>
        <v>1996</v>
      </c>
      <c r="F145" t="s">
        <v>22</v>
      </c>
      <c r="G145">
        <v>3</v>
      </c>
      <c r="H145" t="s">
        <v>23</v>
      </c>
      <c r="I145" t="s">
        <v>139</v>
      </c>
      <c r="M145">
        <v>15</v>
      </c>
      <c r="N145">
        <v>5</v>
      </c>
      <c r="O145" t="s">
        <v>32</v>
      </c>
      <c r="P145">
        <v>2.9</v>
      </c>
      <c r="Q145" t="s">
        <v>26</v>
      </c>
      <c r="R145" t="s">
        <v>140</v>
      </c>
      <c r="S145" t="s">
        <v>28</v>
      </c>
    </row>
    <row r="146" spans="1:23" x14ac:dyDescent="0.2">
      <c r="A146" t="s">
        <v>21</v>
      </c>
      <c r="B146">
        <v>1674</v>
      </c>
      <c r="C146">
        <v>1</v>
      </c>
      <c r="D146" s="1">
        <v>35259</v>
      </c>
      <c r="E146" s="3">
        <f t="shared" si="2"/>
        <v>1996</v>
      </c>
      <c r="F146" t="s">
        <v>22</v>
      </c>
      <c r="G146">
        <v>3</v>
      </c>
      <c r="H146" t="s">
        <v>141</v>
      </c>
      <c r="I146" t="s">
        <v>139</v>
      </c>
      <c r="M146">
        <v>5</v>
      </c>
      <c r="N146">
        <v>7</v>
      </c>
      <c r="O146" t="s">
        <v>25</v>
      </c>
      <c r="P146">
        <v>2.9</v>
      </c>
      <c r="Q146" t="s">
        <v>26</v>
      </c>
      <c r="R146" t="s">
        <v>140</v>
      </c>
      <c r="S146" t="s">
        <v>28</v>
      </c>
    </row>
    <row r="147" spans="1:23" x14ac:dyDescent="0.2">
      <c r="A147" t="s">
        <v>21</v>
      </c>
      <c r="B147">
        <v>1674</v>
      </c>
      <c r="C147">
        <v>1</v>
      </c>
      <c r="D147" s="1">
        <v>35271</v>
      </c>
      <c r="E147" s="3">
        <f t="shared" si="2"/>
        <v>1996</v>
      </c>
      <c r="F147" t="s">
        <v>22</v>
      </c>
      <c r="G147">
        <v>3</v>
      </c>
      <c r="H147" t="s">
        <v>46</v>
      </c>
      <c r="I147" t="s">
        <v>139</v>
      </c>
      <c r="M147">
        <v>5</v>
      </c>
      <c r="N147">
        <v>6</v>
      </c>
      <c r="O147" t="s">
        <v>25</v>
      </c>
      <c r="P147">
        <v>2.4</v>
      </c>
      <c r="Q147" t="s">
        <v>26</v>
      </c>
      <c r="R147" t="s">
        <v>140</v>
      </c>
      <c r="S147" t="s">
        <v>28</v>
      </c>
    </row>
    <row r="148" spans="1:23" x14ac:dyDescent="0.2">
      <c r="A148" t="s">
        <v>21</v>
      </c>
      <c r="B148">
        <v>1674</v>
      </c>
      <c r="C148">
        <v>1</v>
      </c>
      <c r="D148" s="1">
        <v>35285</v>
      </c>
      <c r="E148" s="3">
        <f t="shared" si="2"/>
        <v>1996</v>
      </c>
      <c r="F148" t="s">
        <v>22</v>
      </c>
      <c r="G148">
        <v>3</v>
      </c>
      <c r="H148" t="s">
        <v>108</v>
      </c>
      <c r="I148" t="s">
        <v>139</v>
      </c>
      <c r="M148">
        <v>5</v>
      </c>
      <c r="N148">
        <v>6</v>
      </c>
      <c r="O148" t="s">
        <v>30</v>
      </c>
      <c r="P148">
        <v>2.4</v>
      </c>
      <c r="Q148" t="s">
        <v>26</v>
      </c>
      <c r="R148" t="s">
        <v>140</v>
      </c>
      <c r="S148" t="s">
        <v>28</v>
      </c>
    </row>
    <row r="149" spans="1:23" x14ac:dyDescent="0.2">
      <c r="A149" t="s">
        <v>21</v>
      </c>
      <c r="B149">
        <v>1674</v>
      </c>
      <c r="C149">
        <v>1</v>
      </c>
      <c r="D149" s="1">
        <v>35292</v>
      </c>
      <c r="E149" s="3">
        <f t="shared" si="2"/>
        <v>1996</v>
      </c>
      <c r="F149" t="s">
        <v>22</v>
      </c>
      <c r="G149">
        <v>3</v>
      </c>
      <c r="H149" t="s">
        <v>73</v>
      </c>
      <c r="I149" t="s">
        <v>139</v>
      </c>
      <c r="M149">
        <v>3</v>
      </c>
      <c r="N149">
        <v>6</v>
      </c>
      <c r="O149" t="s">
        <v>32</v>
      </c>
      <c r="P149">
        <v>2.2999999999999998</v>
      </c>
      <c r="Q149" t="s">
        <v>26</v>
      </c>
      <c r="R149" t="s">
        <v>140</v>
      </c>
      <c r="S149" t="s">
        <v>28</v>
      </c>
    </row>
    <row r="150" spans="1:23" x14ac:dyDescent="0.2">
      <c r="A150" t="s">
        <v>21</v>
      </c>
      <c r="B150">
        <v>1674</v>
      </c>
      <c r="C150">
        <v>1</v>
      </c>
      <c r="D150" s="1">
        <v>35309</v>
      </c>
      <c r="E150" s="3">
        <f t="shared" si="2"/>
        <v>1996</v>
      </c>
      <c r="F150" t="s">
        <v>22</v>
      </c>
      <c r="G150">
        <v>3</v>
      </c>
      <c r="H150" t="s">
        <v>93</v>
      </c>
      <c r="I150" t="s">
        <v>139</v>
      </c>
      <c r="M150">
        <v>3</v>
      </c>
      <c r="N150">
        <v>6</v>
      </c>
      <c r="O150" t="s">
        <v>32</v>
      </c>
      <c r="P150">
        <v>1.9</v>
      </c>
      <c r="Q150" t="s">
        <v>26</v>
      </c>
      <c r="R150" t="s">
        <v>140</v>
      </c>
      <c r="S150" t="s">
        <v>28</v>
      </c>
    </row>
    <row r="151" spans="1:23" x14ac:dyDescent="0.2">
      <c r="A151" t="s">
        <v>21</v>
      </c>
      <c r="B151">
        <v>1674</v>
      </c>
      <c r="C151">
        <v>1</v>
      </c>
      <c r="D151" s="1">
        <v>35325</v>
      </c>
      <c r="E151" s="3">
        <f t="shared" si="2"/>
        <v>1996</v>
      </c>
      <c r="F151" t="s">
        <v>22</v>
      </c>
      <c r="G151">
        <v>3</v>
      </c>
      <c r="H151" t="s">
        <v>106</v>
      </c>
      <c r="I151" t="s">
        <v>139</v>
      </c>
      <c r="M151">
        <v>2</v>
      </c>
      <c r="N151">
        <v>6</v>
      </c>
      <c r="O151" t="s">
        <v>32</v>
      </c>
      <c r="P151">
        <v>1.7</v>
      </c>
      <c r="Q151" t="s">
        <v>26</v>
      </c>
      <c r="R151" t="s">
        <v>140</v>
      </c>
      <c r="S151" t="s">
        <v>28</v>
      </c>
    </row>
    <row r="152" spans="1:23" x14ac:dyDescent="0.2">
      <c r="A152" t="s">
        <v>21</v>
      </c>
      <c r="B152">
        <v>1674</v>
      </c>
      <c r="C152">
        <v>1</v>
      </c>
      <c r="D152" s="1">
        <v>35340</v>
      </c>
      <c r="E152" s="3">
        <f t="shared" si="2"/>
        <v>1996</v>
      </c>
      <c r="F152" t="s">
        <v>22</v>
      </c>
      <c r="G152">
        <v>3</v>
      </c>
      <c r="H152" t="s">
        <v>36</v>
      </c>
      <c r="I152" t="s">
        <v>139</v>
      </c>
      <c r="M152">
        <v>5</v>
      </c>
      <c r="N152">
        <v>6</v>
      </c>
      <c r="O152" t="s">
        <v>32</v>
      </c>
      <c r="P152">
        <v>1.7</v>
      </c>
      <c r="Q152" t="s">
        <v>26</v>
      </c>
      <c r="R152" t="s">
        <v>140</v>
      </c>
      <c r="S152" t="s">
        <v>28</v>
      </c>
    </row>
    <row r="153" spans="1:23" x14ac:dyDescent="0.2">
      <c r="A153" t="s">
        <v>21</v>
      </c>
      <c r="B153">
        <v>1674</v>
      </c>
      <c r="C153">
        <v>1</v>
      </c>
      <c r="D153" s="1">
        <v>35346</v>
      </c>
      <c r="E153" s="3">
        <f t="shared" si="2"/>
        <v>1996</v>
      </c>
      <c r="F153" t="s">
        <v>22</v>
      </c>
      <c r="G153">
        <v>3</v>
      </c>
      <c r="H153" t="s">
        <v>73</v>
      </c>
      <c r="I153" t="s">
        <v>139</v>
      </c>
      <c r="M153">
        <v>5</v>
      </c>
      <c r="N153">
        <v>6</v>
      </c>
      <c r="O153" t="s">
        <v>25</v>
      </c>
      <c r="P153">
        <v>1.6</v>
      </c>
      <c r="Q153" t="s">
        <v>26</v>
      </c>
      <c r="R153" t="s">
        <v>140</v>
      </c>
      <c r="S153" t="s">
        <v>28</v>
      </c>
    </row>
    <row r="154" spans="1:23" x14ac:dyDescent="0.2">
      <c r="A154" t="s">
        <v>21</v>
      </c>
      <c r="B154">
        <v>1674</v>
      </c>
      <c r="C154">
        <v>1</v>
      </c>
      <c r="D154" s="1">
        <v>35609</v>
      </c>
      <c r="E154" s="3">
        <f t="shared" si="2"/>
        <v>1997</v>
      </c>
      <c r="F154" t="s">
        <v>22</v>
      </c>
      <c r="G154">
        <v>3</v>
      </c>
      <c r="H154" t="s">
        <v>142</v>
      </c>
      <c r="I154" t="s">
        <v>139</v>
      </c>
      <c r="M154">
        <v>3</v>
      </c>
      <c r="N154">
        <v>6</v>
      </c>
      <c r="O154" t="s">
        <v>30</v>
      </c>
      <c r="P154">
        <v>3.1</v>
      </c>
      <c r="Q154" t="s">
        <v>26</v>
      </c>
      <c r="R154" t="s">
        <v>140</v>
      </c>
      <c r="S154" t="s">
        <v>28</v>
      </c>
    </row>
    <row r="155" spans="1:23" x14ac:dyDescent="0.2">
      <c r="A155" t="s">
        <v>21</v>
      </c>
      <c r="B155">
        <v>1674</v>
      </c>
      <c r="C155">
        <v>1</v>
      </c>
      <c r="D155" s="1">
        <v>35623</v>
      </c>
      <c r="E155" s="3">
        <f t="shared" si="2"/>
        <v>1997</v>
      </c>
      <c r="F155" t="s">
        <v>22</v>
      </c>
      <c r="G155">
        <v>3</v>
      </c>
      <c r="H155" t="s">
        <v>143</v>
      </c>
      <c r="I155" t="s">
        <v>139</v>
      </c>
      <c r="M155">
        <v>3</v>
      </c>
      <c r="N155">
        <v>5</v>
      </c>
      <c r="O155" t="s">
        <v>30</v>
      </c>
      <c r="P155">
        <v>3.9</v>
      </c>
      <c r="Q155" t="s">
        <v>26</v>
      </c>
      <c r="R155" t="s">
        <v>140</v>
      </c>
      <c r="S155" t="s">
        <v>28</v>
      </c>
    </row>
    <row r="156" spans="1:23" x14ac:dyDescent="0.2">
      <c r="A156" t="s">
        <v>21</v>
      </c>
      <c r="B156">
        <v>1674</v>
      </c>
      <c r="C156">
        <v>1</v>
      </c>
      <c r="D156" s="1">
        <v>35635</v>
      </c>
      <c r="E156" s="3">
        <f t="shared" si="2"/>
        <v>1997</v>
      </c>
      <c r="F156" t="s">
        <v>22</v>
      </c>
      <c r="G156">
        <v>3</v>
      </c>
      <c r="H156" t="s">
        <v>101</v>
      </c>
      <c r="I156" t="s">
        <v>139</v>
      </c>
      <c r="M156">
        <v>5</v>
      </c>
      <c r="N156">
        <v>4</v>
      </c>
      <c r="O156" t="s">
        <v>30</v>
      </c>
      <c r="P156">
        <v>3.4</v>
      </c>
      <c r="Q156" t="s">
        <v>26</v>
      </c>
      <c r="R156" t="s">
        <v>140</v>
      </c>
      <c r="S156" t="s">
        <v>28</v>
      </c>
    </row>
    <row r="157" spans="1:23" x14ac:dyDescent="0.2">
      <c r="A157" t="s">
        <v>21</v>
      </c>
      <c r="B157">
        <v>1674</v>
      </c>
      <c r="C157">
        <v>1</v>
      </c>
      <c r="D157" s="1">
        <v>35650</v>
      </c>
      <c r="E157" s="3">
        <f t="shared" si="2"/>
        <v>1997</v>
      </c>
      <c r="F157" t="s">
        <v>22</v>
      </c>
      <c r="G157">
        <v>3</v>
      </c>
      <c r="H157" t="s">
        <v>62</v>
      </c>
      <c r="I157" t="s">
        <v>139</v>
      </c>
      <c r="M157">
        <v>7</v>
      </c>
      <c r="N157">
        <v>2</v>
      </c>
      <c r="O157" t="s">
        <v>30</v>
      </c>
      <c r="P157">
        <v>2.6</v>
      </c>
      <c r="Q157" t="s">
        <v>26</v>
      </c>
      <c r="R157" t="s">
        <v>140</v>
      </c>
      <c r="S157" t="s">
        <v>28</v>
      </c>
    </row>
    <row r="158" spans="1:23" x14ac:dyDescent="0.2">
      <c r="A158" s="6" t="s">
        <v>21</v>
      </c>
      <c r="B158" s="6">
        <v>1674</v>
      </c>
      <c r="C158" s="6">
        <v>1</v>
      </c>
      <c r="D158" s="4">
        <v>35654</v>
      </c>
      <c r="E158" s="5">
        <f t="shared" si="2"/>
        <v>1997</v>
      </c>
      <c r="F158" s="6" t="s">
        <v>22</v>
      </c>
      <c r="G158" s="6">
        <v>2</v>
      </c>
      <c r="H158" s="6" t="s">
        <v>144</v>
      </c>
      <c r="I158" s="6" t="s">
        <v>86</v>
      </c>
      <c r="J158" s="6" t="s">
        <v>145</v>
      </c>
      <c r="K158" s="6"/>
      <c r="L158" s="6"/>
      <c r="M158" s="6">
        <v>15</v>
      </c>
      <c r="N158" s="6">
        <v>8</v>
      </c>
      <c r="O158" s="6" t="s">
        <v>30</v>
      </c>
      <c r="P158" s="6">
        <v>3.1</v>
      </c>
      <c r="Q158" t="s">
        <v>26</v>
      </c>
      <c r="R158" t="s">
        <v>140</v>
      </c>
      <c r="S158" t="s">
        <v>28</v>
      </c>
    </row>
    <row r="159" spans="1:23" x14ac:dyDescent="0.2">
      <c r="A159" s="6" t="s">
        <v>21</v>
      </c>
      <c r="B159" s="6">
        <v>1674</v>
      </c>
      <c r="C159" s="6">
        <v>1</v>
      </c>
      <c r="D159" s="4">
        <v>35654</v>
      </c>
      <c r="E159" s="5">
        <f t="shared" si="2"/>
        <v>1997</v>
      </c>
      <c r="F159" s="6" t="s">
        <v>22</v>
      </c>
      <c r="G159" s="6">
        <v>2</v>
      </c>
      <c r="H159" s="6" t="s">
        <v>144</v>
      </c>
      <c r="I159" s="6" t="s">
        <v>86</v>
      </c>
      <c r="J159" s="6" t="s">
        <v>145</v>
      </c>
      <c r="K159" s="6"/>
      <c r="L159" s="6"/>
      <c r="M159" s="6">
        <v>15</v>
      </c>
      <c r="N159" s="6">
        <v>8</v>
      </c>
      <c r="O159" s="6" t="s">
        <v>30</v>
      </c>
      <c r="P159" s="6">
        <v>2.9</v>
      </c>
      <c r="Q159" t="s">
        <v>26</v>
      </c>
      <c r="R159" t="s">
        <v>27</v>
      </c>
      <c r="S159" t="s">
        <v>28</v>
      </c>
    </row>
    <row r="160" spans="1:23" x14ac:dyDescent="0.2">
      <c r="A160" s="6" t="s">
        <v>21</v>
      </c>
      <c r="B160" s="6">
        <v>1674</v>
      </c>
      <c r="C160" s="6">
        <v>1</v>
      </c>
      <c r="D160" s="4">
        <v>35654</v>
      </c>
      <c r="E160" s="5">
        <f t="shared" si="2"/>
        <v>1997</v>
      </c>
      <c r="F160" s="6" t="s">
        <v>22</v>
      </c>
      <c r="G160" s="6">
        <v>2</v>
      </c>
      <c r="H160" s="6" t="s">
        <v>144</v>
      </c>
      <c r="I160" s="6" t="s">
        <v>86</v>
      </c>
      <c r="J160" s="6" t="s">
        <v>145</v>
      </c>
      <c r="K160" s="6"/>
      <c r="L160" s="6"/>
      <c r="M160" s="6">
        <v>15</v>
      </c>
      <c r="N160" s="6">
        <v>8</v>
      </c>
      <c r="O160" s="6" t="s">
        <v>30</v>
      </c>
      <c r="P160" s="6">
        <v>2.7</v>
      </c>
      <c r="Q160" t="s">
        <v>26</v>
      </c>
      <c r="R160" t="s">
        <v>28</v>
      </c>
      <c r="S160" t="s">
        <v>28</v>
      </c>
      <c r="W160" s="15">
        <f>AVERAGE(P158:P160)</f>
        <v>2.9</v>
      </c>
    </row>
    <row r="161" spans="1:19" x14ac:dyDescent="0.2">
      <c r="A161" t="s">
        <v>21</v>
      </c>
      <c r="B161">
        <v>1674</v>
      </c>
      <c r="C161">
        <v>1</v>
      </c>
      <c r="D161" s="1">
        <v>35668</v>
      </c>
      <c r="E161" s="3">
        <f t="shared" si="2"/>
        <v>1997</v>
      </c>
      <c r="F161" t="s">
        <v>22</v>
      </c>
      <c r="G161">
        <v>3</v>
      </c>
      <c r="H161" t="s">
        <v>67</v>
      </c>
      <c r="I161" t="s">
        <v>139</v>
      </c>
      <c r="M161">
        <v>5</v>
      </c>
      <c r="N161">
        <v>8</v>
      </c>
      <c r="O161" t="s">
        <v>32</v>
      </c>
      <c r="P161">
        <v>3.8</v>
      </c>
      <c r="Q161" t="s">
        <v>26</v>
      </c>
      <c r="R161" t="s">
        <v>140</v>
      </c>
      <c r="S161" t="s">
        <v>28</v>
      </c>
    </row>
    <row r="162" spans="1:19" x14ac:dyDescent="0.2">
      <c r="A162" t="s">
        <v>21</v>
      </c>
      <c r="B162">
        <v>1674</v>
      </c>
      <c r="C162">
        <v>1</v>
      </c>
      <c r="D162" s="1">
        <v>35687</v>
      </c>
      <c r="E162" s="3">
        <f t="shared" si="2"/>
        <v>1997</v>
      </c>
      <c r="F162" t="s">
        <v>22</v>
      </c>
      <c r="G162">
        <v>3</v>
      </c>
      <c r="H162" t="s">
        <v>77</v>
      </c>
      <c r="I162" t="s">
        <v>139</v>
      </c>
      <c r="M162">
        <v>2</v>
      </c>
      <c r="N162">
        <v>5</v>
      </c>
      <c r="O162" t="s">
        <v>25</v>
      </c>
      <c r="P162">
        <v>2.7</v>
      </c>
      <c r="Q162" t="s">
        <v>26</v>
      </c>
      <c r="R162" t="s">
        <v>140</v>
      </c>
      <c r="S162" t="s">
        <v>28</v>
      </c>
    </row>
    <row r="163" spans="1:19" x14ac:dyDescent="0.2">
      <c r="A163" t="s">
        <v>21</v>
      </c>
      <c r="B163">
        <v>1674</v>
      </c>
      <c r="C163">
        <v>1</v>
      </c>
      <c r="D163" s="1">
        <v>35701</v>
      </c>
      <c r="E163" s="3">
        <f t="shared" si="2"/>
        <v>1997</v>
      </c>
      <c r="F163" t="s">
        <v>22</v>
      </c>
      <c r="G163">
        <v>3</v>
      </c>
      <c r="H163" t="s">
        <v>42</v>
      </c>
      <c r="I163" t="s">
        <v>139</v>
      </c>
      <c r="M163">
        <v>5</v>
      </c>
      <c r="N163">
        <v>8</v>
      </c>
      <c r="O163" t="s">
        <v>32</v>
      </c>
      <c r="P163">
        <v>2.6</v>
      </c>
      <c r="Q163" t="s">
        <v>26</v>
      </c>
      <c r="R163" t="s">
        <v>140</v>
      </c>
      <c r="S163" t="s">
        <v>28</v>
      </c>
    </row>
    <row r="164" spans="1:19" x14ac:dyDescent="0.2">
      <c r="A164" t="s">
        <v>21</v>
      </c>
      <c r="B164">
        <v>1674</v>
      </c>
      <c r="C164">
        <v>1</v>
      </c>
      <c r="D164" s="1">
        <v>35716</v>
      </c>
      <c r="E164" s="3">
        <f t="shared" si="2"/>
        <v>1997</v>
      </c>
      <c r="F164" t="s">
        <v>22</v>
      </c>
      <c r="G164">
        <v>3</v>
      </c>
      <c r="H164" t="s">
        <v>23</v>
      </c>
      <c r="I164" t="s">
        <v>139</v>
      </c>
      <c r="M164">
        <v>2</v>
      </c>
      <c r="N164">
        <v>8</v>
      </c>
      <c r="O164" t="s">
        <v>25</v>
      </c>
      <c r="P164">
        <v>2.5</v>
      </c>
      <c r="Q164" t="s">
        <v>26</v>
      </c>
      <c r="R164" t="s">
        <v>140</v>
      </c>
      <c r="S164" t="s">
        <v>28</v>
      </c>
    </row>
    <row r="165" spans="1:19" x14ac:dyDescent="0.2">
      <c r="A165" t="s">
        <v>21</v>
      </c>
      <c r="B165">
        <v>1674</v>
      </c>
      <c r="C165">
        <v>1</v>
      </c>
      <c r="D165" s="1">
        <v>35726</v>
      </c>
      <c r="E165" s="3">
        <f t="shared" si="2"/>
        <v>1997</v>
      </c>
      <c r="F165" t="s">
        <v>22</v>
      </c>
      <c r="G165">
        <v>3</v>
      </c>
      <c r="H165" t="s">
        <v>116</v>
      </c>
      <c r="I165" t="s">
        <v>139</v>
      </c>
      <c r="M165">
        <v>7</v>
      </c>
      <c r="N165">
        <v>7</v>
      </c>
      <c r="O165" t="s">
        <v>25</v>
      </c>
      <c r="P165">
        <v>2.4</v>
      </c>
      <c r="Q165" t="s">
        <v>26</v>
      </c>
      <c r="R165" t="s">
        <v>140</v>
      </c>
      <c r="S165" t="s">
        <v>28</v>
      </c>
    </row>
    <row r="166" spans="1:19" x14ac:dyDescent="0.2">
      <c r="A166" t="s">
        <v>21</v>
      </c>
      <c r="B166">
        <v>1674</v>
      </c>
      <c r="C166">
        <v>1</v>
      </c>
      <c r="D166" s="1">
        <v>35929</v>
      </c>
      <c r="E166" s="3">
        <f t="shared" si="2"/>
        <v>1998</v>
      </c>
      <c r="F166" t="s">
        <v>22</v>
      </c>
      <c r="G166">
        <v>3</v>
      </c>
      <c r="H166" t="s">
        <v>71</v>
      </c>
      <c r="I166" t="s">
        <v>139</v>
      </c>
      <c r="M166">
        <v>5</v>
      </c>
      <c r="N166">
        <v>5</v>
      </c>
      <c r="O166" t="s">
        <v>32</v>
      </c>
      <c r="P166">
        <v>3.7</v>
      </c>
      <c r="Q166" t="s">
        <v>26</v>
      </c>
      <c r="R166" t="s">
        <v>140</v>
      </c>
      <c r="S166" t="s">
        <v>28</v>
      </c>
    </row>
    <row r="167" spans="1:19" x14ac:dyDescent="0.2">
      <c r="A167" t="s">
        <v>21</v>
      </c>
      <c r="B167">
        <v>1674</v>
      </c>
      <c r="C167">
        <v>1</v>
      </c>
      <c r="D167" s="1">
        <v>35948</v>
      </c>
      <c r="E167" s="3">
        <f t="shared" si="2"/>
        <v>1998</v>
      </c>
      <c r="F167" t="s">
        <v>22</v>
      </c>
      <c r="G167">
        <v>3</v>
      </c>
      <c r="H167" t="s">
        <v>114</v>
      </c>
      <c r="I167" t="s">
        <v>139</v>
      </c>
      <c r="M167">
        <v>15</v>
      </c>
      <c r="N167">
        <v>5</v>
      </c>
      <c r="O167" t="s">
        <v>32</v>
      </c>
      <c r="P167">
        <v>3.1</v>
      </c>
      <c r="Q167" t="s">
        <v>26</v>
      </c>
      <c r="R167" t="s">
        <v>140</v>
      </c>
      <c r="S167" t="s">
        <v>28</v>
      </c>
    </row>
    <row r="168" spans="1:19" x14ac:dyDescent="0.2">
      <c r="A168" t="s">
        <v>21</v>
      </c>
      <c r="B168">
        <v>1674</v>
      </c>
      <c r="C168">
        <v>1</v>
      </c>
      <c r="D168" s="1">
        <v>35964</v>
      </c>
      <c r="E168" s="3">
        <f t="shared" si="2"/>
        <v>1998</v>
      </c>
      <c r="F168" t="s">
        <v>22</v>
      </c>
      <c r="G168">
        <v>3</v>
      </c>
      <c r="H168" t="s">
        <v>143</v>
      </c>
      <c r="I168" t="s">
        <v>139</v>
      </c>
      <c r="M168">
        <v>2</v>
      </c>
      <c r="N168">
        <v>5</v>
      </c>
      <c r="O168" t="s">
        <v>25</v>
      </c>
      <c r="P168">
        <v>2.5</v>
      </c>
      <c r="Q168" t="s">
        <v>26</v>
      </c>
      <c r="R168" t="s">
        <v>140</v>
      </c>
      <c r="S168" t="s">
        <v>28</v>
      </c>
    </row>
    <row r="169" spans="1:19" x14ac:dyDescent="0.2">
      <c r="A169" t="s">
        <v>21</v>
      </c>
      <c r="B169">
        <v>1674</v>
      </c>
      <c r="C169">
        <v>1</v>
      </c>
      <c r="D169" s="1">
        <v>35982</v>
      </c>
      <c r="E169" s="3">
        <f t="shared" si="2"/>
        <v>1998</v>
      </c>
      <c r="F169" t="s">
        <v>22</v>
      </c>
      <c r="G169">
        <v>3</v>
      </c>
      <c r="H169" t="s">
        <v>146</v>
      </c>
      <c r="I169" t="s">
        <v>139</v>
      </c>
      <c r="M169">
        <v>5</v>
      </c>
      <c r="N169">
        <v>4</v>
      </c>
      <c r="O169" t="s">
        <v>32</v>
      </c>
      <c r="P169">
        <v>3</v>
      </c>
      <c r="Q169" t="s">
        <v>26</v>
      </c>
      <c r="R169" t="s">
        <v>140</v>
      </c>
      <c r="S169" t="s">
        <v>28</v>
      </c>
    </row>
    <row r="170" spans="1:19" x14ac:dyDescent="0.2">
      <c r="A170" t="s">
        <v>21</v>
      </c>
      <c r="B170">
        <v>1674</v>
      </c>
      <c r="C170">
        <v>1</v>
      </c>
      <c r="D170" s="1">
        <v>36006</v>
      </c>
      <c r="E170" s="3">
        <f t="shared" si="2"/>
        <v>1998</v>
      </c>
      <c r="F170" t="s">
        <v>22</v>
      </c>
      <c r="G170">
        <v>3</v>
      </c>
      <c r="H170" t="s">
        <v>101</v>
      </c>
      <c r="I170" t="s">
        <v>139</v>
      </c>
      <c r="M170">
        <v>8</v>
      </c>
      <c r="N170">
        <v>8</v>
      </c>
      <c r="O170" t="s">
        <v>32</v>
      </c>
      <c r="P170">
        <v>2.85</v>
      </c>
      <c r="Q170" t="s">
        <v>26</v>
      </c>
      <c r="R170" t="s">
        <v>140</v>
      </c>
      <c r="S170" t="s">
        <v>28</v>
      </c>
    </row>
    <row r="171" spans="1:19" x14ac:dyDescent="0.2">
      <c r="A171" t="s">
        <v>21</v>
      </c>
      <c r="B171">
        <v>1674</v>
      </c>
      <c r="C171">
        <v>1</v>
      </c>
      <c r="D171" s="1">
        <v>36011</v>
      </c>
      <c r="E171" s="3">
        <f t="shared" si="2"/>
        <v>1998</v>
      </c>
      <c r="F171" t="s">
        <v>22</v>
      </c>
      <c r="G171">
        <v>3</v>
      </c>
      <c r="H171" t="s">
        <v>94</v>
      </c>
      <c r="I171" t="s">
        <v>139</v>
      </c>
      <c r="M171">
        <v>5</v>
      </c>
      <c r="N171">
        <v>8</v>
      </c>
      <c r="O171" t="s">
        <v>32</v>
      </c>
      <c r="P171">
        <v>2</v>
      </c>
      <c r="Q171" t="s">
        <v>26</v>
      </c>
      <c r="R171" t="s">
        <v>140</v>
      </c>
      <c r="S171" t="s">
        <v>28</v>
      </c>
    </row>
    <row r="172" spans="1:19" x14ac:dyDescent="0.2">
      <c r="A172" t="s">
        <v>21</v>
      </c>
      <c r="B172">
        <v>1674</v>
      </c>
      <c r="C172">
        <v>1</v>
      </c>
      <c r="D172" s="1">
        <v>36022</v>
      </c>
      <c r="E172" s="3">
        <f t="shared" si="2"/>
        <v>1998</v>
      </c>
      <c r="F172" t="s">
        <v>22</v>
      </c>
      <c r="G172">
        <v>3</v>
      </c>
      <c r="H172" t="s">
        <v>101</v>
      </c>
      <c r="I172" t="s">
        <v>139</v>
      </c>
      <c r="M172">
        <v>12</v>
      </c>
      <c r="N172">
        <v>7</v>
      </c>
      <c r="O172" t="s">
        <v>32</v>
      </c>
      <c r="P172">
        <v>2.1</v>
      </c>
      <c r="Q172" t="s">
        <v>26</v>
      </c>
      <c r="R172" t="s">
        <v>140</v>
      </c>
      <c r="S172" t="s">
        <v>28</v>
      </c>
    </row>
    <row r="173" spans="1:19" x14ac:dyDescent="0.2">
      <c r="A173" t="s">
        <v>21</v>
      </c>
      <c r="B173">
        <v>1674</v>
      </c>
      <c r="C173">
        <v>1</v>
      </c>
      <c r="D173" s="1">
        <v>36041</v>
      </c>
      <c r="E173" s="3">
        <f t="shared" si="2"/>
        <v>1998</v>
      </c>
      <c r="F173" t="s">
        <v>22</v>
      </c>
      <c r="G173">
        <v>3</v>
      </c>
      <c r="H173" t="s">
        <v>147</v>
      </c>
      <c r="I173" t="s">
        <v>139</v>
      </c>
      <c r="M173">
        <v>3</v>
      </c>
      <c r="N173">
        <v>6</v>
      </c>
      <c r="O173" t="s">
        <v>32</v>
      </c>
      <c r="P173">
        <v>2.0499999999999998</v>
      </c>
      <c r="Q173" t="s">
        <v>26</v>
      </c>
      <c r="R173" t="s">
        <v>140</v>
      </c>
      <c r="S173" t="s">
        <v>28</v>
      </c>
    </row>
    <row r="174" spans="1:19" x14ac:dyDescent="0.2">
      <c r="A174" t="s">
        <v>21</v>
      </c>
      <c r="B174">
        <v>1674</v>
      </c>
      <c r="C174">
        <v>1</v>
      </c>
      <c r="D174" s="1">
        <v>36055</v>
      </c>
      <c r="E174" s="3">
        <f t="shared" si="2"/>
        <v>1998</v>
      </c>
      <c r="F174" t="s">
        <v>22</v>
      </c>
      <c r="G174">
        <v>3</v>
      </c>
      <c r="H174" t="s">
        <v>84</v>
      </c>
      <c r="I174" t="s">
        <v>139</v>
      </c>
      <c r="M174">
        <v>10</v>
      </c>
      <c r="N174">
        <v>8</v>
      </c>
      <c r="O174" t="s">
        <v>32</v>
      </c>
      <c r="P174">
        <v>2.2000000000000002</v>
      </c>
      <c r="Q174" t="s">
        <v>26</v>
      </c>
      <c r="R174" t="s">
        <v>140</v>
      </c>
      <c r="S174" t="s">
        <v>28</v>
      </c>
    </row>
    <row r="175" spans="1:19" x14ac:dyDescent="0.2">
      <c r="A175" t="s">
        <v>21</v>
      </c>
      <c r="B175">
        <v>1674</v>
      </c>
      <c r="C175">
        <v>1</v>
      </c>
      <c r="D175" s="1">
        <v>36064</v>
      </c>
      <c r="E175" s="3">
        <f t="shared" si="2"/>
        <v>1998</v>
      </c>
      <c r="F175" t="s">
        <v>22</v>
      </c>
      <c r="G175">
        <v>3</v>
      </c>
      <c r="H175" t="s">
        <v>131</v>
      </c>
      <c r="I175" t="s">
        <v>139</v>
      </c>
      <c r="M175">
        <v>5</v>
      </c>
      <c r="N175">
        <v>5</v>
      </c>
      <c r="O175" t="s">
        <v>32</v>
      </c>
      <c r="P175">
        <v>3.2</v>
      </c>
      <c r="Q175" t="s">
        <v>26</v>
      </c>
      <c r="R175" t="s">
        <v>140</v>
      </c>
      <c r="S175" t="s">
        <v>28</v>
      </c>
    </row>
    <row r="176" spans="1:19" x14ac:dyDescent="0.2">
      <c r="A176" t="s">
        <v>21</v>
      </c>
      <c r="B176">
        <v>1674</v>
      </c>
      <c r="C176">
        <v>1</v>
      </c>
      <c r="D176" s="1">
        <v>36077</v>
      </c>
      <c r="E176" s="3">
        <f t="shared" si="2"/>
        <v>1998</v>
      </c>
      <c r="F176" t="s">
        <v>22</v>
      </c>
      <c r="G176">
        <v>3</v>
      </c>
      <c r="H176" t="s">
        <v>49</v>
      </c>
      <c r="I176" t="s">
        <v>139</v>
      </c>
      <c r="M176">
        <v>3</v>
      </c>
      <c r="N176">
        <v>6</v>
      </c>
      <c r="O176" t="s">
        <v>32</v>
      </c>
      <c r="P176">
        <v>3.5</v>
      </c>
      <c r="Q176" t="s">
        <v>26</v>
      </c>
      <c r="R176" t="s">
        <v>140</v>
      </c>
      <c r="S176" t="s">
        <v>28</v>
      </c>
    </row>
    <row r="177" spans="1:20" x14ac:dyDescent="0.2">
      <c r="A177" t="s">
        <v>21</v>
      </c>
      <c r="B177">
        <v>1674</v>
      </c>
      <c r="C177">
        <v>1</v>
      </c>
      <c r="D177" s="1">
        <v>36297</v>
      </c>
      <c r="E177" s="3">
        <f t="shared" si="2"/>
        <v>1999</v>
      </c>
      <c r="F177" t="s">
        <v>22</v>
      </c>
      <c r="G177">
        <v>3</v>
      </c>
      <c r="H177" t="s">
        <v>31</v>
      </c>
      <c r="I177" t="s">
        <v>139</v>
      </c>
      <c r="M177">
        <v>15</v>
      </c>
      <c r="N177">
        <v>5</v>
      </c>
      <c r="O177" t="s">
        <v>30</v>
      </c>
      <c r="P177">
        <v>2.9</v>
      </c>
      <c r="Q177" t="s">
        <v>26</v>
      </c>
      <c r="R177" t="s">
        <v>140</v>
      </c>
      <c r="S177" t="s">
        <v>28</v>
      </c>
    </row>
    <row r="178" spans="1:20" x14ac:dyDescent="0.2">
      <c r="A178" t="s">
        <v>21</v>
      </c>
      <c r="B178">
        <v>1674</v>
      </c>
      <c r="C178">
        <v>1</v>
      </c>
      <c r="D178" s="1">
        <v>36320</v>
      </c>
      <c r="E178" s="3">
        <f t="shared" si="2"/>
        <v>1999</v>
      </c>
      <c r="F178" t="s">
        <v>22</v>
      </c>
      <c r="G178">
        <v>3</v>
      </c>
      <c r="H178" t="s">
        <v>68</v>
      </c>
      <c r="I178" t="s">
        <v>139</v>
      </c>
      <c r="M178">
        <v>5</v>
      </c>
      <c r="N178">
        <v>5</v>
      </c>
      <c r="O178" t="s">
        <v>32</v>
      </c>
      <c r="P178">
        <v>2.8</v>
      </c>
      <c r="Q178" t="s">
        <v>26</v>
      </c>
      <c r="R178" t="s">
        <v>140</v>
      </c>
      <c r="S178" t="s">
        <v>28</v>
      </c>
    </row>
    <row r="179" spans="1:20" x14ac:dyDescent="0.2">
      <c r="A179" t="s">
        <v>21</v>
      </c>
      <c r="B179">
        <v>1674</v>
      </c>
      <c r="C179">
        <v>1</v>
      </c>
      <c r="D179" s="1">
        <v>36333</v>
      </c>
      <c r="E179" s="3">
        <f t="shared" si="2"/>
        <v>1999</v>
      </c>
      <c r="F179" t="s">
        <v>22</v>
      </c>
      <c r="G179">
        <v>3</v>
      </c>
      <c r="H179" t="s">
        <v>147</v>
      </c>
      <c r="I179" t="s">
        <v>139</v>
      </c>
      <c r="M179">
        <v>5</v>
      </c>
      <c r="N179">
        <v>8</v>
      </c>
      <c r="O179" t="s">
        <v>32</v>
      </c>
      <c r="P179">
        <v>3.5</v>
      </c>
      <c r="Q179" t="s">
        <v>26</v>
      </c>
      <c r="R179" t="s">
        <v>140</v>
      </c>
      <c r="S179" t="s">
        <v>28</v>
      </c>
    </row>
    <row r="180" spans="1:20" x14ac:dyDescent="0.2">
      <c r="A180" t="s">
        <v>21</v>
      </c>
      <c r="B180">
        <v>1674</v>
      </c>
      <c r="C180">
        <v>1</v>
      </c>
      <c r="D180" s="1">
        <v>36347</v>
      </c>
      <c r="E180" s="3">
        <f t="shared" si="2"/>
        <v>1999</v>
      </c>
      <c r="F180" t="s">
        <v>22</v>
      </c>
      <c r="G180">
        <v>3</v>
      </c>
      <c r="H180" t="s">
        <v>91</v>
      </c>
      <c r="I180" t="s">
        <v>139</v>
      </c>
      <c r="M180">
        <v>9</v>
      </c>
      <c r="N180">
        <v>5</v>
      </c>
      <c r="O180" t="s">
        <v>25</v>
      </c>
      <c r="P180">
        <v>2.85</v>
      </c>
      <c r="Q180" t="s">
        <v>26</v>
      </c>
      <c r="R180" t="s">
        <v>140</v>
      </c>
      <c r="S180" t="s">
        <v>28</v>
      </c>
    </row>
    <row r="181" spans="1:20" x14ac:dyDescent="0.2">
      <c r="A181" t="s">
        <v>21</v>
      </c>
      <c r="B181">
        <v>1674</v>
      </c>
      <c r="C181">
        <v>1</v>
      </c>
      <c r="D181" s="1">
        <v>36363</v>
      </c>
      <c r="E181" s="3">
        <f t="shared" si="2"/>
        <v>1999</v>
      </c>
      <c r="F181" t="s">
        <v>22</v>
      </c>
      <c r="G181">
        <v>3</v>
      </c>
      <c r="H181" t="s">
        <v>84</v>
      </c>
      <c r="I181" t="s">
        <v>139</v>
      </c>
      <c r="M181">
        <v>5</v>
      </c>
      <c r="N181">
        <v>5</v>
      </c>
      <c r="O181" t="s">
        <v>25</v>
      </c>
      <c r="P181">
        <v>2.5</v>
      </c>
      <c r="Q181" t="s">
        <v>26</v>
      </c>
      <c r="R181" t="s">
        <v>140</v>
      </c>
      <c r="S181" t="s">
        <v>28</v>
      </c>
    </row>
    <row r="182" spans="1:20" x14ac:dyDescent="0.2">
      <c r="A182" t="s">
        <v>21</v>
      </c>
      <c r="B182">
        <v>1674</v>
      </c>
      <c r="C182">
        <v>1</v>
      </c>
      <c r="D182" s="1">
        <v>36378</v>
      </c>
      <c r="E182" s="3">
        <f t="shared" si="2"/>
        <v>1999</v>
      </c>
      <c r="F182" t="s">
        <v>22</v>
      </c>
      <c r="G182">
        <v>3</v>
      </c>
      <c r="H182" t="s">
        <v>131</v>
      </c>
      <c r="I182" t="s">
        <v>139</v>
      </c>
      <c r="M182">
        <v>5</v>
      </c>
      <c r="N182">
        <v>5</v>
      </c>
      <c r="O182" t="s">
        <v>32</v>
      </c>
      <c r="P182">
        <v>1.9</v>
      </c>
      <c r="Q182" t="s">
        <v>26</v>
      </c>
      <c r="R182" t="s">
        <v>140</v>
      </c>
      <c r="S182" t="s">
        <v>28</v>
      </c>
    </row>
    <row r="183" spans="1:20" x14ac:dyDescent="0.2">
      <c r="A183" t="s">
        <v>21</v>
      </c>
      <c r="B183">
        <v>1674</v>
      </c>
      <c r="C183">
        <v>1</v>
      </c>
      <c r="D183" s="1">
        <v>36395</v>
      </c>
      <c r="E183" s="3">
        <f t="shared" si="2"/>
        <v>1999</v>
      </c>
      <c r="F183" t="s">
        <v>22</v>
      </c>
      <c r="G183">
        <v>3</v>
      </c>
      <c r="H183" t="s">
        <v>23</v>
      </c>
      <c r="I183" t="s">
        <v>139</v>
      </c>
      <c r="M183">
        <v>3</v>
      </c>
      <c r="N183">
        <v>5</v>
      </c>
      <c r="O183" t="s">
        <v>32</v>
      </c>
      <c r="P183">
        <v>3.1</v>
      </c>
      <c r="Q183" t="s">
        <v>26</v>
      </c>
      <c r="R183" t="s">
        <v>140</v>
      </c>
      <c r="S183" t="s">
        <v>28</v>
      </c>
    </row>
    <row r="184" spans="1:20" x14ac:dyDescent="0.2">
      <c r="A184" t="s">
        <v>21</v>
      </c>
      <c r="B184">
        <v>1674</v>
      </c>
      <c r="C184">
        <v>1</v>
      </c>
      <c r="D184" s="1">
        <v>36418</v>
      </c>
      <c r="E184" s="3">
        <f t="shared" si="2"/>
        <v>1999</v>
      </c>
      <c r="F184" t="s">
        <v>22</v>
      </c>
      <c r="G184">
        <v>3</v>
      </c>
      <c r="H184" t="s">
        <v>103</v>
      </c>
      <c r="I184" t="s">
        <v>139</v>
      </c>
      <c r="M184">
        <v>10</v>
      </c>
      <c r="N184">
        <v>7</v>
      </c>
      <c r="O184" t="s">
        <v>32</v>
      </c>
      <c r="P184">
        <v>2.1</v>
      </c>
      <c r="Q184" t="s">
        <v>26</v>
      </c>
      <c r="R184" t="s">
        <v>140</v>
      </c>
      <c r="S184" t="s">
        <v>28</v>
      </c>
    </row>
    <row r="185" spans="1:20" x14ac:dyDescent="0.2">
      <c r="A185" t="s">
        <v>21</v>
      </c>
      <c r="B185">
        <v>1674</v>
      </c>
      <c r="C185">
        <v>1</v>
      </c>
      <c r="D185" s="1">
        <v>36434</v>
      </c>
      <c r="E185" s="3">
        <f t="shared" si="2"/>
        <v>1999</v>
      </c>
      <c r="F185" t="s">
        <v>22</v>
      </c>
      <c r="G185">
        <v>3</v>
      </c>
      <c r="H185" t="s">
        <v>116</v>
      </c>
      <c r="I185" t="s">
        <v>139</v>
      </c>
      <c r="M185">
        <v>7</v>
      </c>
      <c r="N185">
        <v>8</v>
      </c>
      <c r="O185" t="s">
        <v>32</v>
      </c>
      <c r="P185">
        <v>2.2999999999999998</v>
      </c>
      <c r="Q185" t="s">
        <v>26</v>
      </c>
      <c r="R185" t="s">
        <v>140</v>
      </c>
      <c r="S185" t="s">
        <v>28</v>
      </c>
    </row>
    <row r="186" spans="1:20" x14ac:dyDescent="0.2">
      <c r="A186" t="s">
        <v>21</v>
      </c>
      <c r="B186">
        <v>1674</v>
      </c>
      <c r="C186">
        <v>1</v>
      </c>
      <c r="D186" s="1">
        <v>36662</v>
      </c>
      <c r="E186" s="3">
        <f t="shared" si="2"/>
        <v>2000</v>
      </c>
      <c r="F186" t="s">
        <v>22</v>
      </c>
      <c r="G186">
        <v>3</v>
      </c>
      <c r="H186" t="s">
        <v>38</v>
      </c>
      <c r="I186" t="s">
        <v>139</v>
      </c>
      <c r="M186">
        <v>8</v>
      </c>
      <c r="N186">
        <v>7</v>
      </c>
      <c r="O186" t="s">
        <v>32</v>
      </c>
      <c r="P186">
        <v>3.3</v>
      </c>
      <c r="Q186" t="s">
        <v>26</v>
      </c>
      <c r="R186" t="s">
        <v>140</v>
      </c>
      <c r="S186" t="s">
        <v>28</v>
      </c>
      <c r="T186" t="s">
        <v>148</v>
      </c>
    </row>
    <row r="187" spans="1:20" x14ac:dyDescent="0.2">
      <c r="A187" t="s">
        <v>21</v>
      </c>
      <c r="B187">
        <v>1674</v>
      </c>
      <c r="C187">
        <v>1</v>
      </c>
      <c r="D187" s="1">
        <v>36676</v>
      </c>
      <c r="E187" s="3">
        <f t="shared" si="2"/>
        <v>2000</v>
      </c>
      <c r="F187" t="s">
        <v>22</v>
      </c>
      <c r="G187">
        <v>3</v>
      </c>
      <c r="H187" t="s">
        <v>128</v>
      </c>
      <c r="I187" t="s">
        <v>139</v>
      </c>
      <c r="M187">
        <v>5</v>
      </c>
      <c r="N187">
        <v>7</v>
      </c>
      <c r="O187" t="s">
        <v>32</v>
      </c>
      <c r="P187">
        <v>2.8</v>
      </c>
      <c r="Q187" t="s">
        <v>26</v>
      </c>
      <c r="R187" t="s">
        <v>140</v>
      </c>
      <c r="S187" t="s">
        <v>28</v>
      </c>
      <c r="T187" t="s">
        <v>148</v>
      </c>
    </row>
    <row r="188" spans="1:20" x14ac:dyDescent="0.2">
      <c r="A188" t="s">
        <v>21</v>
      </c>
      <c r="B188">
        <v>1674</v>
      </c>
      <c r="C188">
        <v>1</v>
      </c>
      <c r="D188" s="1">
        <v>36689</v>
      </c>
      <c r="E188" s="3">
        <f t="shared" si="2"/>
        <v>2000</v>
      </c>
      <c r="F188" t="s">
        <v>22</v>
      </c>
      <c r="G188">
        <v>2</v>
      </c>
      <c r="H188" t="s">
        <v>149</v>
      </c>
      <c r="I188" t="s">
        <v>86</v>
      </c>
      <c r="M188">
        <v>0</v>
      </c>
      <c r="N188">
        <v>0</v>
      </c>
      <c r="O188" t="s">
        <v>32</v>
      </c>
      <c r="P188">
        <v>2.7</v>
      </c>
      <c r="Q188" t="s">
        <v>26</v>
      </c>
      <c r="R188" t="s">
        <v>140</v>
      </c>
      <c r="S188" t="s">
        <v>28</v>
      </c>
      <c r="T188" t="s">
        <v>150</v>
      </c>
    </row>
    <row r="189" spans="1:20" x14ac:dyDescent="0.2">
      <c r="A189" t="s">
        <v>21</v>
      </c>
      <c r="B189">
        <v>1674</v>
      </c>
      <c r="C189">
        <v>1</v>
      </c>
      <c r="D189" s="1">
        <v>36690</v>
      </c>
      <c r="E189" s="3">
        <f t="shared" si="2"/>
        <v>2000</v>
      </c>
      <c r="F189" t="s">
        <v>22</v>
      </c>
      <c r="G189">
        <v>3</v>
      </c>
      <c r="H189" t="s">
        <v>67</v>
      </c>
      <c r="I189" t="s">
        <v>139</v>
      </c>
      <c r="M189">
        <v>2</v>
      </c>
      <c r="N189">
        <v>1</v>
      </c>
      <c r="O189" t="s">
        <v>32</v>
      </c>
      <c r="P189">
        <v>2.7</v>
      </c>
      <c r="Q189" t="s">
        <v>26</v>
      </c>
      <c r="R189" t="s">
        <v>140</v>
      </c>
      <c r="S189" t="s">
        <v>28</v>
      </c>
      <c r="T189" t="s">
        <v>148</v>
      </c>
    </row>
    <row r="190" spans="1:20" x14ac:dyDescent="0.2">
      <c r="A190" t="s">
        <v>21</v>
      </c>
      <c r="B190">
        <v>1674</v>
      </c>
      <c r="C190">
        <v>1</v>
      </c>
      <c r="D190" s="1">
        <v>36710</v>
      </c>
      <c r="E190" s="3">
        <f t="shared" si="2"/>
        <v>2000</v>
      </c>
      <c r="F190" t="s">
        <v>22</v>
      </c>
      <c r="G190">
        <v>3</v>
      </c>
      <c r="H190" t="s">
        <v>36</v>
      </c>
      <c r="I190" t="s">
        <v>139</v>
      </c>
      <c r="M190">
        <v>2</v>
      </c>
      <c r="N190">
        <v>5</v>
      </c>
      <c r="O190" t="s">
        <v>32</v>
      </c>
      <c r="P190">
        <v>2.8</v>
      </c>
      <c r="Q190" t="s">
        <v>26</v>
      </c>
      <c r="R190" t="s">
        <v>140</v>
      </c>
      <c r="S190" t="s">
        <v>28</v>
      </c>
      <c r="T190" t="s">
        <v>148</v>
      </c>
    </row>
    <row r="191" spans="1:20" x14ac:dyDescent="0.2">
      <c r="A191" t="s">
        <v>21</v>
      </c>
      <c r="B191">
        <v>1674</v>
      </c>
      <c r="C191">
        <v>1</v>
      </c>
      <c r="D191" s="1">
        <v>36728</v>
      </c>
      <c r="E191" s="3">
        <f t="shared" si="2"/>
        <v>2000</v>
      </c>
      <c r="F191" t="s">
        <v>22</v>
      </c>
      <c r="G191">
        <v>3</v>
      </c>
      <c r="H191" t="s">
        <v>44</v>
      </c>
      <c r="I191" t="s">
        <v>139</v>
      </c>
      <c r="M191">
        <v>2</v>
      </c>
      <c r="N191">
        <v>8</v>
      </c>
      <c r="O191" t="s">
        <v>30</v>
      </c>
      <c r="P191">
        <v>2.8</v>
      </c>
      <c r="Q191" t="s">
        <v>26</v>
      </c>
      <c r="R191" t="s">
        <v>140</v>
      </c>
      <c r="S191" t="s">
        <v>28</v>
      </c>
      <c r="T191" t="s">
        <v>148</v>
      </c>
    </row>
    <row r="192" spans="1:20" x14ac:dyDescent="0.2">
      <c r="A192" t="s">
        <v>21</v>
      </c>
      <c r="B192">
        <v>1674</v>
      </c>
      <c r="C192">
        <v>1</v>
      </c>
      <c r="D192" s="1">
        <v>36746</v>
      </c>
      <c r="E192" s="3">
        <f t="shared" si="2"/>
        <v>2000</v>
      </c>
      <c r="F192" t="s">
        <v>22</v>
      </c>
      <c r="G192">
        <v>3</v>
      </c>
      <c r="H192" t="s">
        <v>106</v>
      </c>
      <c r="I192" t="s">
        <v>139</v>
      </c>
      <c r="M192">
        <v>5</v>
      </c>
      <c r="N192">
        <v>8</v>
      </c>
      <c r="O192" t="s">
        <v>32</v>
      </c>
      <c r="P192">
        <v>2.2999999999999998</v>
      </c>
      <c r="Q192" t="s">
        <v>26</v>
      </c>
      <c r="R192" t="s">
        <v>140</v>
      </c>
      <c r="S192" t="s">
        <v>28</v>
      </c>
      <c r="T192" t="s">
        <v>148</v>
      </c>
    </row>
    <row r="193" spans="1:20" x14ac:dyDescent="0.2">
      <c r="A193" t="s">
        <v>21</v>
      </c>
      <c r="B193">
        <v>1674</v>
      </c>
      <c r="C193">
        <v>1</v>
      </c>
      <c r="D193" s="1">
        <v>36752</v>
      </c>
      <c r="E193" s="3">
        <f t="shared" si="2"/>
        <v>2000</v>
      </c>
      <c r="F193" t="s">
        <v>22</v>
      </c>
      <c r="G193">
        <v>2</v>
      </c>
      <c r="H193" t="s">
        <v>101</v>
      </c>
      <c r="I193" t="s">
        <v>86</v>
      </c>
      <c r="M193">
        <v>0</v>
      </c>
      <c r="N193">
        <v>0</v>
      </c>
      <c r="O193" t="s">
        <v>32</v>
      </c>
      <c r="P193">
        <v>2.5</v>
      </c>
      <c r="Q193" t="s">
        <v>26</v>
      </c>
      <c r="R193" t="s">
        <v>140</v>
      </c>
      <c r="S193" t="s">
        <v>28</v>
      </c>
      <c r="T193" t="s">
        <v>150</v>
      </c>
    </row>
    <row r="194" spans="1:20" x14ac:dyDescent="0.2">
      <c r="A194" t="s">
        <v>21</v>
      </c>
      <c r="B194">
        <v>1674</v>
      </c>
      <c r="C194">
        <v>1</v>
      </c>
      <c r="D194" s="1">
        <v>36760</v>
      </c>
      <c r="E194" s="3">
        <f t="shared" ref="E194:E257" si="3">YEAR(D194)</f>
        <v>2000</v>
      </c>
      <c r="F194" t="s">
        <v>22</v>
      </c>
      <c r="G194">
        <v>3</v>
      </c>
      <c r="H194" t="s">
        <v>77</v>
      </c>
      <c r="I194" t="s">
        <v>139</v>
      </c>
      <c r="M194">
        <v>5</v>
      </c>
      <c r="N194">
        <v>8</v>
      </c>
      <c r="O194" t="s">
        <v>32</v>
      </c>
      <c r="P194">
        <v>2</v>
      </c>
      <c r="Q194" t="s">
        <v>26</v>
      </c>
      <c r="R194" t="s">
        <v>140</v>
      </c>
      <c r="S194" t="s">
        <v>28</v>
      </c>
      <c r="T194" t="s">
        <v>148</v>
      </c>
    </row>
    <row r="195" spans="1:20" x14ac:dyDescent="0.2">
      <c r="A195" t="s">
        <v>21</v>
      </c>
      <c r="B195">
        <v>1674</v>
      </c>
      <c r="C195">
        <v>1</v>
      </c>
      <c r="D195" s="1">
        <v>36789</v>
      </c>
      <c r="E195" s="3">
        <f t="shared" si="3"/>
        <v>2000</v>
      </c>
      <c r="F195" t="s">
        <v>22</v>
      </c>
      <c r="G195">
        <v>3</v>
      </c>
      <c r="H195" t="s">
        <v>79</v>
      </c>
      <c r="I195" t="s">
        <v>139</v>
      </c>
      <c r="M195">
        <v>7</v>
      </c>
      <c r="N195">
        <v>5</v>
      </c>
      <c r="O195" t="s">
        <v>32</v>
      </c>
      <c r="P195">
        <v>2.6</v>
      </c>
      <c r="Q195" t="s">
        <v>26</v>
      </c>
      <c r="R195" t="s">
        <v>140</v>
      </c>
      <c r="S195" t="s">
        <v>28</v>
      </c>
      <c r="T195" t="s">
        <v>148</v>
      </c>
    </row>
    <row r="196" spans="1:20" x14ac:dyDescent="0.2">
      <c r="A196" t="s">
        <v>21</v>
      </c>
      <c r="B196">
        <v>1674</v>
      </c>
      <c r="C196">
        <v>1</v>
      </c>
      <c r="D196" s="1">
        <v>36802</v>
      </c>
      <c r="E196" s="3">
        <f t="shared" si="3"/>
        <v>2000</v>
      </c>
      <c r="F196" t="s">
        <v>22</v>
      </c>
      <c r="G196">
        <v>3</v>
      </c>
      <c r="H196" t="s">
        <v>23</v>
      </c>
      <c r="I196" t="s">
        <v>139</v>
      </c>
      <c r="M196">
        <v>5</v>
      </c>
      <c r="N196">
        <v>5</v>
      </c>
      <c r="O196" t="s">
        <v>32</v>
      </c>
      <c r="P196">
        <v>2.4</v>
      </c>
      <c r="Q196" t="s">
        <v>26</v>
      </c>
      <c r="R196" t="s">
        <v>140</v>
      </c>
      <c r="S196" t="s">
        <v>28</v>
      </c>
      <c r="T196" t="s">
        <v>148</v>
      </c>
    </row>
    <row r="197" spans="1:20" x14ac:dyDescent="0.2">
      <c r="A197" t="s">
        <v>21</v>
      </c>
      <c r="B197">
        <v>1674</v>
      </c>
      <c r="C197">
        <v>1</v>
      </c>
      <c r="D197" s="1">
        <v>37020</v>
      </c>
      <c r="E197" s="3">
        <f t="shared" si="3"/>
        <v>2001</v>
      </c>
      <c r="F197" t="s">
        <v>22</v>
      </c>
      <c r="G197">
        <v>3</v>
      </c>
      <c r="H197" t="s">
        <v>100</v>
      </c>
      <c r="I197" t="s">
        <v>139</v>
      </c>
      <c r="M197">
        <v>5</v>
      </c>
      <c r="N197">
        <v>5</v>
      </c>
      <c r="O197" t="s">
        <v>32</v>
      </c>
      <c r="P197">
        <v>2.2999999999999998</v>
      </c>
      <c r="Q197" t="s">
        <v>26</v>
      </c>
      <c r="R197" t="s">
        <v>140</v>
      </c>
      <c r="S197" t="s">
        <v>28</v>
      </c>
      <c r="T197" t="s">
        <v>148</v>
      </c>
    </row>
    <row r="198" spans="1:20" x14ac:dyDescent="0.2">
      <c r="A198" t="s">
        <v>21</v>
      </c>
      <c r="B198">
        <v>1674</v>
      </c>
      <c r="C198">
        <v>1</v>
      </c>
      <c r="D198" s="1">
        <v>37037</v>
      </c>
      <c r="E198" s="3">
        <f t="shared" si="3"/>
        <v>2001</v>
      </c>
      <c r="F198" t="s">
        <v>22</v>
      </c>
      <c r="G198">
        <v>3</v>
      </c>
      <c r="H198" t="s">
        <v>46</v>
      </c>
      <c r="I198" t="s">
        <v>139</v>
      </c>
      <c r="M198">
        <v>3</v>
      </c>
      <c r="N198">
        <v>5</v>
      </c>
      <c r="O198" t="s">
        <v>32</v>
      </c>
      <c r="P198">
        <v>2.5</v>
      </c>
      <c r="Q198" t="s">
        <v>26</v>
      </c>
      <c r="R198" t="s">
        <v>140</v>
      </c>
      <c r="S198" t="s">
        <v>28</v>
      </c>
      <c r="T198" t="s">
        <v>148</v>
      </c>
    </row>
    <row r="199" spans="1:20" x14ac:dyDescent="0.2">
      <c r="A199" t="s">
        <v>21</v>
      </c>
      <c r="B199">
        <v>1674</v>
      </c>
      <c r="C199">
        <v>1</v>
      </c>
      <c r="D199" s="1">
        <v>37050</v>
      </c>
      <c r="E199" s="3">
        <f t="shared" si="3"/>
        <v>2001</v>
      </c>
      <c r="F199" t="s">
        <v>22</v>
      </c>
      <c r="G199">
        <v>3</v>
      </c>
      <c r="H199" t="s">
        <v>62</v>
      </c>
      <c r="I199" t="s">
        <v>139</v>
      </c>
      <c r="M199">
        <v>7</v>
      </c>
      <c r="N199">
        <v>8</v>
      </c>
      <c r="O199" t="s">
        <v>32</v>
      </c>
      <c r="P199">
        <v>3.1</v>
      </c>
      <c r="Q199" t="s">
        <v>26</v>
      </c>
      <c r="R199" t="s">
        <v>140</v>
      </c>
      <c r="S199" t="s">
        <v>28</v>
      </c>
      <c r="T199" t="s">
        <v>148</v>
      </c>
    </row>
    <row r="200" spans="1:20" x14ac:dyDescent="0.2">
      <c r="A200" t="s">
        <v>21</v>
      </c>
      <c r="B200">
        <v>1674</v>
      </c>
      <c r="C200">
        <v>1</v>
      </c>
      <c r="D200" s="1">
        <v>37067</v>
      </c>
      <c r="E200" s="3">
        <f t="shared" si="3"/>
        <v>2001</v>
      </c>
      <c r="F200" t="s">
        <v>22</v>
      </c>
      <c r="G200">
        <v>3</v>
      </c>
      <c r="H200" t="s">
        <v>91</v>
      </c>
      <c r="I200" t="s">
        <v>139</v>
      </c>
      <c r="M200">
        <v>4</v>
      </c>
      <c r="N200">
        <v>6</v>
      </c>
      <c r="O200" t="s">
        <v>32</v>
      </c>
      <c r="P200">
        <v>3</v>
      </c>
      <c r="Q200" t="s">
        <v>26</v>
      </c>
      <c r="R200" t="s">
        <v>140</v>
      </c>
      <c r="S200" t="s">
        <v>28</v>
      </c>
      <c r="T200" t="s">
        <v>148</v>
      </c>
    </row>
    <row r="201" spans="1:20" x14ac:dyDescent="0.2">
      <c r="A201" t="s">
        <v>21</v>
      </c>
      <c r="B201">
        <v>1674</v>
      </c>
      <c r="C201">
        <v>1</v>
      </c>
      <c r="D201" s="1">
        <v>37075</v>
      </c>
      <c r="E201" s="3">
        <f t="shared" si="3"/>
        <v>2001</v>
      </c>
      <c r="F201" t="s">
        <v>22</v>
      </c>
      <c r="G201">
        <v>3</v>
      </c>
      <c r="H201" t="s">
        <v>67</v>
      </c>
      <c r="I201" t="s">
        <v>139</v>
      </c>
      <c r="M201">
        <v>7</v>
      </c>
      <c r="N201">
        <v>8</v>
      </c>
      <c r="O201" t="s">
        <v>32</v>
      </c>
      <c r="P201">
        <v>2.85</v>
      </c>
      <c r="Q201" t="s">
        <v>26</v>
      </c>
      <c r="R201" t="s">
        <v>140</v>
      </c>
      <c r="S201" t="s">
        <v>28</v>
      </c>
      <c r="T201" t="s">
        <v>148</v>
      </c>
    </row>
    <row r="202" spans="1:20" x14ac:dyDescent="0.2">
      <c r="A202" t="s">
        <v>21</v>
      </c>
      <c r="B202">
        <v>1674</v>
      </c>
      <c r="C202">
        <v>1</v>
      </c>
      <c r="D202" s="1">
        <v>37090</v>
      </c>
      <c r="E202" s="3">
        <f t="shared" si="3"/>
        <v>2001</v>
      </c>
      <c r="F202" t="s">
        <v>22</v>
      </c>
      <c r="G202">
        <v>3</v>
      </c>
      <c r="H202" t="s">
        <v>73</v>
      </c>
      <c r="I202" t="s">
        <v>139</v>
      </c>
      <c r="M202">
        <v>3</v>
      </c>
      <c r="N202">
        <v>8</v>
      </c>
      <c r="O202" t="s">
        <v>30</v>
      </c>
      <c r="P202">
        <v>2.2000000000000002</v>
      </c>
      <c r="Q202" t="s">
        <v>26</v>
      </c>
      <c r="R202" t="s">
        <v>140</v>
      </c>
      <c r="S202" t="s">
        <v>28</v>
      </c>
      <c r="T202" t="s">
        <v>148</v>
      </c>
    </row>
    <row r="203" spans="1:20" x14ac:dyDescent="0.2">
      <c r="A203" t="s">
        <v>21</v>
      </c>
      <c r="B203">
        <v>1674</v>
      </c>
      <c r="C203">
        <v>1</v>
      </c>
      <c r="D203" s="1">
        <v>37103</v>
      </c>
      <c r="E203" s="3">
        <f t="shared" si="3"/>
        <v>2001</v>
      </c>
      <c r="F203" t="s">
        <v>22</v>
      </c>
      <c r="G203">
        <v>3</v>
      </c>
      <c r="H203" t="s">
        <v>151</v>
      </c>
      <c r="I203" t="s">
        <v>139</v>
      </c>
      <c r="M203">
        <v>4</v>
      </c>
      <c r="N203">
        <v>8</v>
      </c>
      <c r="O203" t="s">
        <v>30</v>
      </c>
      <c r="P203">
        <v>2.2000000000000002</v>
      </c>
      <c r="Q203" t="s">
        <v>26</v>
      </c>
      <c r="R203" t="s">
        <v>140</v>
      </c>
      <c r="S203" t="s">
        <v>28</v>
      </c>
      <c r="T203" t="s">
        <v>148</v>
      </c>
    </row>
    <row r="204" spans="1:20" x14ac:dyDescent="0.2">
      <c r="A204" t="s">
        <v>21</v>
      </c>
      <c r="B204">
        <v>1674</v>
      </c>
      <c r="C204">
        <v>1</v>
      </c>
      <c r="D204" s="1">
        <v>37117</v>
      </c>
      <c r="E204" s="3">
        <f t="shared" si="3"/>
        <v>2001</v>
      </c>
      <c r="F204" t="s">
        <v>22</v>
      </c>
      <c r="G204">
        <v>3</v>
      </c>
      <c r="H204" t="s">
        <v>69</v>
      </c>
      <c r="I204" t="s">
        <v>139</v>
      </c>
      <c r="M204">
        <v>7</v>
      </c>
      <c r="N204">
        <v>8</v>
      </c>
      <c r="O204" t="s">
        <v>32</v>
      </c>
      <c r="P204">
        <v>2.1</v>
      </c>
      <c r="Q204" t="s">
        <v>26</v>
      </c>
      <c r="R204" t="s">
        <v>140</v>
      </c>
      <c r="S204" t="s">
        <v>28</v>
      </c>
      <c r="T204" t="s">
        <v>148</v>
      </c>
    </row>
    <row r="205" spans="1:20" x14ac:dyDescent="0.2">
      <c r="A205" t="s">
        <v>21</v>
      </c>
      <c r="B205">
        <v>1674</v>
      </c>
      <c r="C205">
        <v>1</v>
      </c>
      <c r="D205" s="1">
        <v>37133</v>
      </c>
      <c r="E205" s="3">
        <f t="shared" si="3"/>
        <v>2001</v>
      </c>
      <c r="F205" t="s">
        <v>22</v>
      </c>
      <c r="G205">
        <v>3</v>
      </c>
      <c r="H205" t="s">
        <v>49</v>
      </c>
      <c r="I205" t="s">
        <v>139</v>
      </c>
      <c r="M205">
        <v>7</v>
      </c>
      <c r="N205">
        <v>5</v>
      </c>
      <c r="O205" t="s">
        <v>32</v>
      </c>
      <c r="P205">
        <v>1.7</v>
      </c>
      <c r="Q205" t="s">
        <v>26</v>
      </c>
      <c r="R205" t="s">
        <v>140</v>
      </c>
      <c r="S205" t="s">
        <v>28</v>
      </c>
      <c r="T205" t="s">
        <v>148</v>
      </c>
    </row>
    <row r="206" spans="1:20" x14ac:dyDescent="0.2">
      <c r="A206" t="s">
        <v>21</v>
      </c>
      <c r="B206">
        <v>1674</v>
      </c>
      <c r="C206">
        <v>1</v>
      </c>
      <c r="D206" s="1">
        <v>37153</v>
      </c>
      <c r="E206" s="3">
        <f t="shared" si="3"/>
        <v>2001</v>
      </c>
      <c r="F206" t="s">
        <v>22</v>
      </c>
      <c r="G206">
        <v>3</v>
      </c>
      <c r="H206" t="s">
        <v>77</v>
      </c>
      <c r="I206" t="s">
        <v>139</v>
      </c>
      <c r="M206">
        <v>0</v>
      </c>
      <c r="N206">
        <v>0</v>
      </c>
      <c r="O206" t="s">
        <v>30</v>
      </c>
      <c r="P206">
        <v>1.9</v>
      </c>
      <c r="Q206" t="s">
        <v>26</v>
      </c>
      <c r="R206" t="s">
        <v>140</v>
      </c>
      <c r="S206" t="s">
        <v>28</v>
      </c>
      <c r="T206" t="s">
        <v>148</v>
      </c>
    </row>
    <row r="207" spans="1:20" x14ac:dyDescent="0.2">
      <c r="A207" t="s">
        <v>21</v>
      </c>
      <c r="B207">
        <v>1674</v>
      </c>
      <c r="C207">
        <v>1</v>
      </c>
      <c r="D207" s="1">
        <v>37167</v>
      </c>
      <c r="E207" s="3">
        <f t="shared" si="3"/>
        <v>2001</v>
      </c>
      <c r="F207" t="s">
        <v>22</v>
      </c>
      <c r="G207">
        <v>3</v>
      </c>
      <c r="H207" t="s">
        <v>49</v>
      </c>
      <c r="I207" t="s">
        <v>139</v>
      </c>
      <c r="M207">
        <v>0</v>
      </c>
      <c r="N207">
        <v>0</v>
      </c>
      <c r="O207" t="s">
        <v>25</v>
      </c>
      <c r="P207">
        <v>1.9</v>
      </c>
      <c r="Q207" t="s">
        <v>26</v>
      </c>
      <c r="R207" t="s">
        <v>140</v>
      </c>
      <c r="S207" t="s">
        <v>28</v>
      </c>
      <c r="T207" t="s">
        <v>148</v>
      </c>
    </row>
    <row r="208" spans="1:20" x14ac:dyDescent="0.2">
      <c r="A208" t="s">
        <v>21</v>
      </c>
      <c r="B208">
        <v>1674</v>
      </c>
      <c r="C208">
        <v>1</v>
      </c>
      <c r="D208" s="1">
        <v>37180</v>
      </c>
      <c r="E208" s="3">
        <f t="shared" si="3"/>
        <v>2001</v>
      </c>
      <c r="F208" t="s">
        <v>22</v>
      </c>
      <c r="G208">
        <v>3</v>
      </c>
      <c r="H208" t="s">
        <v>68</v>
      </c>
      <c r="I208" t="s">
        <v>139</v>
      </c>
      <c r="M208">
        <v>5</v>
      </c>
      <c r="N208">
        <v>5</v>
      </c>
      <c r="O208" t="s">
        <v>32</v>
      </c>
      <c r="P208">
        <v>1.8</v>
      </c>
      <c r="Q208" t="s">
        <v>26</v>
      </c>
      <c r="R208" t="s">
        <v>140</v>
      </c>
      <c r="S208" t="s">
        <v>28</v>
      </c>
      <c r="T208" t="s">
        <v>148</v>
      </c>
    </row>
    <row r="209" spans="1:20" x14ac:dyDescent="0.2">
      <c r="A209" t="s">
        <v>21</v>
      </c>
      <c r="B209">
        <v>1674</v>
      </c>
      <c r="C209">
        <v>1</v>
      </c>
      <c r="D209" s="1">
        <v>37394</v>
      </c>
      <c r="E209" s="3">
        <f t="shared" si="3"/>
        <v>2002</v>
      </c>
      <c r="F209" t="s">
        <v>22</v>
      </c>
      <c r="G209">
        <v>2</v>
      </c>
      <c r="H209" t="s">
        <v>102</v>
      </c>
      <c r="I209" t="s">
        <v>86</v>
      </c>
      <c r="M209">
        <v>3</v>
      </c>
      <c r="N209">
        <v>8</v>
      </c>
      <c r="O209" t="s">
        <v>32</v>
      </c>
      <c r="P209">
        <v>2.92</v>
      </c>
      <c r="Q209" t="s">
        <v>26</v>
      </c>
      <c r="R209" t="s">
        <v>140</v>
      </c>
      <c r="S209" t="s">
        <v>28</v>
      </c>
      <c r="T209" t="s">
        <v>150</v>
      </c>
    </row>
    <row r="210" spans="1:20" x14ac:dyDescent="0.2">
      <c r="A210" t="s">
        <v>21</v>
      </c>
      <c r="B210">
        <v>1674</v>
      </c>
      <c r="C210">
        <v>1</v>
      </c>
      <c r="D210" s="1">
        <v>37413</v>
      </c>
      <c r="E210" s="3">
        <f t="shared" si="3"/>
        <v>2002</v>
      </c>
      <c r="F210" t="s">
        <v>22</v>
      </c>
      <c r="G210">
        <v>3</v>
      </c>
      <c r="H210" t="s">
        <v>111</v>
      </c>
      <c r="I210" t="s">
        <v>139</v>
      </c>
      <c r="M210">
        <v>10</v>
      </c>
      <c r="N210">
        <v>6</v>
      </c>
      <c r="O210" t="s">
        <v>25</v>
      </c>
      <c r="P210">
        <v>2.8</v>
      </c>
      <c r="Q210" t="s">
        <v>26</v>
      </c>
      <c r="R210" t="s">
        <v>140</v>
      </c>
      <c r="S210" t="s">
        <v>28</v>
      </c>
      <c r="T210" t="s">
        <v>148</v>
      </c>
    </row>
    <row r="211" spans="1:20" x14ac:dyDescent="0.2">
      <c r="A211" t="s">
        <v>21</v>
      </c>
      <c r="B211">
        <v>1674</v>
      </c>
      <c r="C211">
        <v>1</v>
      </c>
      <c r="D211" s="1">
        <v>37427</v>
      </c>
      <c r="E211" s="3">
        <f t="shared" si="3"/>
        <v>2002</v>
      </c>
      <c r="F211" t="s">
        <v>22</v>
      </c>
      <c r="G211">
        <v>3</v>
      </c>
      <c r="H211" t="s">
        <v>73</v>
      </c>
      <c r="I211" t="s">
        <v>139</v>
      </c>
      <c r="M211">
        <v>5</v>
      </c>
      <c r="N211">
        <v>6</v>
      </c>
      <c r="O211" t="s">
        <v>30</v>
      </c>
      <c r="P211">
        <v>3.1</v>
      </c>
      <c r="Q211" t="s">
        <v>26</v>
      </c>
      <c r="R211" t="s">
        <v>140</v>
      </c>
      <c r="S211" t="s">
        <v>28</v>
      </c>
      <c r="T211" t="s">
        <v>148</v>
      </c>
    </row>
    <row r="212" spans="1:20" x14ac:dyDescent="0.2">
      <c r="A212" t="s">
        <v>21</v>
      </c>
      <c r="B212">
        <v>1674</v>
      </c>
      <c r="C212">
        <v>1</v>
      </c>
      <c r="D212" s="1">
        <v>37451</v>
      </c>
      <c r="E212" s="3">
        <f t="shared" si="3"/>
        <v>2002</v>
      </c>
      <c r="F212" t="s">
        <v>22</v>
      </c>
      <c r="G212">
        <v>3</v>
      </c>
      <c r="H212" t="s">
        <v>152</v>
      </c>
      <c r="I212" t="s">
        <v>139</v>
      </c>
      <c r="M212">
        <v>2</v>
      </c>
      <c r="N212">
        <v>6</v>
      </c>
      <c r="O212" t="s">
        <v>32</v>
      </c>
      <c r="P212">
        <v>3.2</v>
      </c>
      <c r="Q212" t="s">
        <v>26</v>
      </c>
      <c r="R212" t="s">
        <v>140</v>
      </c>
      <c r="S212" t="s">
        <v>28</v>
      </c>
      <c r="T212" t="s">
        <v>148</v>
      </c>
    </row>
    <row r="213" spans="1:20" x14ac:dyDescent="0.2">
      <c r="A213" t="s">
        <v>21</v>
      </c>
      <c r="B213">
        <v>1674</v>
      </c>
      <c r="C213">
        <v>1</v>
      </c>
      <c r="D213" s="1">
        <v>37473</v>
      </c>
      <c r="E213" s="3">
        <f t="shared" si="3"/>
        <v>2002</v>
      </c>
      <c r="F213" t="s">
        <v>22</v>
      </c>
      <c r="G213">
        <v>3</v>
      </c>
      <c r="H213" t="s">
        <v>62</v>
      </c>
      <c r="I213" t="s">
        <v>139</v>
      </c>
      <c r="M213">
        <v>5</v>
      </c>
      <c r="N213">
        <v>6</v>
      </c>
      <c r="O213" t="s">
        <v>25</v>
      </c>
      <c r="P213">
        <v>2.2999999999999998</v>
      </c>
      <c r="Q213" t="s">
        <v>26</v>
      </c>
      <c r="R213" t="s">
        <v>140</v>
      </c>
      <c r="S213" t="s">
        <v>28</v>
      </c>
      <c r="T213" t="s">
        <v>148</v>
      </c>
    </row>
    <row r="214" spans="1:20" x14ac:dyDescent="0.2">
      <c r="A214" t="s">
        <v>21</v>
      </c>
      <c r="B214">
        <v>1674</v>
      </c>
      <c r="C214">
        <v>1</v>
      </c>
      <c r="D214" s="1">
        <v>37489</v>
      </c>
      <c r="E214" s="3">
        <f t="shared" si="3"/>
        <v>2002</v>
      </c>
      <c r="F214" t="s">
        <v>22</v>
      </c>
      <c r="G214">
        <v>3</v>
      </c>
      <c r="H214" t="s">
        <v>116</v>
      </c>
      <c r="I214" t="s">
        <v>139</v>
      </c>
      <c r="M214">
        <v>8</v>
      </c>
      <c r="N214">
        <v>6</v>
      </c>
      <c r="O214" t="s">
        <v>32</v>
      </c>
      <c r="P214">
        <v>1.9</v>
      </c>
      <c r="Q214" t="s">
        <v>26</v>
      </c>
      <c r="R214" t="s">
        <v>140</v>
      </c>
      <c r="S214" t="s">
        <v>28</v>
      </c>
      <c r="T214" t="s">
        <v>148</v>
      </c>
    </row>
    <row r="215" spans="1:20" x14ac:dyDescent="0.2">
      <c r="A215" t="s">
        <v>21</v>
      </c>
      <c r="B215">
        <v>1674</v>
      </c>
      <c r="C215">
        <v>1</v>
      </c>
      <c r="D215" s="1">
        <v>37501</v>
      </c>
      <c r="E215" s="3">
        <f t="shared" si="3"/>
        <v>2002</v>
      </c>
      <c r="F215" t="s">
        <v>22</v>
      </c>
      <c r="G215">
        <v>3</v>
      </c>
      <c r="H215" t="s">
        <v>42</v>
      </c>
      <c r="I215" t="s">
        <v>139</v>
      </c>
      <c r="M215">
        <v>3</v>
      </c>
      <c r="N215">
        <v>5</v>
      </c>
      <c r="O215" t="s">
        <v>25</v>
      </c>
      <c r="P215">
        <v>1.7</v>
      </c>
      <c r="Q215" t="s">
        <v>26</v>
      </c>
      <c r="R215" t="s">
        <v>140</v>
      </c>
      <c r="S215" t="s">
        <v>28</v>
      </c>
      <c r="T215" t="s">
        <v>148</v>
      </c>
    </row>
    <row r="216" spans="1:20" x14ac:dyDescent="0.2">
      <c r="A216" t="s">
        <v>21</v>
      </c>
      <c r="B216">
        <v>1674</v>
      </c>
      <c r="C216">
        <v>1</v>
      </c>
      <c r="D216" s="1">
        <v>37511</v>
      </c>
      <c r="E216" s="3">
        <f t="shared" si="3"/>
        <v>2002</v>
      </c>
      <c r="F216" t="s">
        <v>22</v>
      </c>
      <c r="G216">
        <v>3</v>
      </c>
      <c r="H216" t="s">
        <v>128</v>
      </c>
      <c r="I216" t="s">
        <v>139</v>
      </c>
      <c r="M216">
        <v>3</v>
      </c>
      <c r="N216">
        <v>5</v>
      </c>
      <c r="O216" t="s">
        <v>32</v>
      </c>
      <c r="P216">
        <v>1.7</v>
      </c>
      <c r="Q216" t="s">
        <v>26</v>
      </c>
      <c r="R216" t="s">
        <v>140</v>
      </c>
      <c r="S216" t="s">
        <v>28</v>
      </c>
      <c r="T216" t="s">
        <v>148</v>
      </c>
    </row>
    <row r="217" spans="1:20" x14ac:dyDescent="0.2">
      <c r="A217" t="s">
        <v>21</v>
      </c>
      <c r="B217">
        <v>1674</v>
      </c>
      <c r="C217">
        <v>1</v>
      </c>
      <c r="D217" s="1">
        <v>37769</v>
      </c>
      <c r="E217" s="3">
        <f t="shared" si="3"/>
        <v>2003</v>
      </c>
      <c r="F217" t="s">
        <v>22</v>
      </c>
      <c r="G217">
        <v>2</v>
      </c>
      <c r="H217" t="s">
        <v>36</v>
      </c>
      <c r="I217" t="s">
        <v>96</v>
      </c>
      <c r="J217" t="s">
        <v>153</v>
      </c>
      <c r="M217">
        <v>0</v>
      </c>
      <c r="N217">
        <v>0</v>
      </c>
      <c r="O217" t="s">
        <v>30</v>
      </c>
      <c r="P217">
        <v>3.3</v>
      </c>
      <c r="Q217" t="s">
        <v>26</v>
      </c>
      <c r="R217" t="s">
        <v>140</v>
      </c>
      <c r="S217" t="s">
        <v>28</v>
      </c>
      <c r="T217" t="s">
        <v>154</v>
      </c>
    </row>
    <row r="218" spans="1:20" x14ac:dyDescent="0.2">
      <c r="A218" t="s">
        <v>21</v>
      </c>
      <c r="B218">
        <v>1674</v>
      </c>
      <c r="C218">
        <v>1</v>
      </c>
      <c r="D218" s="1">
        <v>37775</v>
      </c>
      <c r="E218" s="3">
        <f t="shared" si="3"/>
        <v>2003</v>
      </c>
      <c r="F218" t="s">
        <v>22</v>
      </c>
      <c r="G218">
        <v>3</v>
      </c>
      <c r="H218" t="s">
        <v>131</v>
      </c>
      <c r="I218" t="s">
        <v>139</v>
      </c>
      <c r="M218">
        <v>8</v>
      </c>
      <c r="N218">
        <v>5</v>
      </c>
      <c r="O218" t="s">
        <v>25</v>
      </c>
      <c r="P218">
        <v>2.75</v>
      </c>
      <c r="Q218" t="s">
        <v>26</v>
      </c>
      <c r="R218" t="s">
        <v>140</v>
      </c>
      <c r="S218" t="s">
        <v>28</v>
      </c>
      <c r="T218" t="s">
        <v>148</v>
      </c>
    </row>
    <row r="219" spans="1:20" x14ac:dyDescent="0.2">
      <c r="A219" t="s">
        <v>21</v>
      </c>
      <c r="B219">
        <v>1674</v>
      </c>
      <c r="C219">
        <v>1</v>
      </c>
      <c r="D219" s="1">
        <v>37789</v>
      </c>
      <c r="E219" s="3">
        <f t="shared" si="3"/>
        <v>2003</v>
      </c>
      <c r="F219" t="s">
        <v>22</v>
      </c>
      <c r="G219">
        <v>3</v>
      </c>
      <c r="H219" t="s">
        <v>109</v>
      </c>
      <c r="I219" t="s">
        <v>139</v>
      </c>
      <c r="M219">
        <v>5</v>
      </c>
      <c r="N219">
        <v>6</v>
      </c>
      <c r="O219" t="s">
        <v>32</v>
      </c>
      <c r="P219">
        <v>2.9</v>
      </c>
      <c r="Q219" t="s">
        <v>26</v>
      </c>
      <c r="R219" t="s">
        <v>140</v>
      </c>
      <c r="S219" t="s">
        <v>28</v>
      </c>
      <c r="T219" t="s">
        <v>148</v>
      </c>
    </row>
    <row r="220" spans="1:20" x14ac:dyDescent="0.2">
      <c r="A220" t="s">
        <v>21</v>
      </c>
      <c r="B220">
        <v>1674</v>
      </c>
      <c r="C220">
        <v>1</v>
      </c>
      <c r="D220" s="1">
        <v>37798</v>
      </c>
      <c r="E220" s="3">
        <f t="shared" si="3"/>
        <v>2003</v>
      </c>
      <c r="F220" t="s">
        <v>22</v>
      </c>
      <c r="G220">
        <v>3</v>
      </c>
      <c r="H220" t="s">
        <v>71</v>
      </c>
      <c r="I220" t="s">
        <v>139</v>
      </c>
      <c r="M220">
        <v>6</v>
      </c>
      <c r="N220">
        <v>6</v>
      </c>
      <c r="O220" t="s">
        <v>32</v>
      </c>
      <c r="P220">
        <v>2.9</v>
      </c>
      <c r="Q220" t="s">
        <v>26</v>
      </c>
      <c r="R220" t="s">
        <v>140</v>
      </c>
      <c r="S220" t="s">
        <v>28</v>
      </c>
      <c r="T220" t="s">
        <v>148</v>
      </c>
    </row>
    <row r="221" spans="1:20" x14ac:dyDescent="0.2">
      <c r="A221" t="s">
        <v>21</v>
      </c>
      <c r="B221">
        <v>1674</v>
      </c>
      <c r="C221">
        <v>1</v>
      </c>
      <c r="D221" s="1">
        <v>37817</v>
      </c>
      <c r="E221" s="3">
        <f t="shared" si="3"/>
        <v>2003</v>
      </c>
      <c r="F221" t="s">
        <v>22</v>
      </c>
      <c r="G221">
        <v>3</v>
      </c>
      <c r="H221" t="s">
        <v>77</v>
      </c>
      <c r="I221" t="s">
        <v>139</v>
      </c>
      <c r="M221">
        <v>12</v>
      </c>
      <c r="N221">
        <v>5</v>
      </c>
      <c r="O221" t="s">
        <v>25</v>
      </c>
      <c r="P221">
        <v>3.1</v>
      </c>
      <c r="Q221" t="s">
        <v>26</v>
      </c>
      <c r="R221" t="s">
        <v>140</v>
      </c>
      <c r="S221" t="s">
        <v>28</v>
      </c>
      <c r="T221" t="s">
        <v>148</v>
      </c>
    </row>
    <row r="222" spans="1:20" x14ac:dyDescent="0.2">
      <c r="A222" t="s">
        <v>21</v>
      </c>
      <c r="B222">
        <v>1674</v>
      </c>
      <c r="C222">
        <v>1</v>
      </c>
      <c r="D222" s="1">
        <v>37833</v>
      </c>
      <c r="E222" s="3">
        <f t="shared" si="3"/>
        <v>2003</v>
      </c>
      <c r="F222" t="s">
        <v>22</v>
      </c>
      <c r="G222">
        <v>3</v>
      </c>
      <c r="H222" t="s">
        <v>68</v>
      </c>
      <c r="I222" t="s">
        <v>139</v>
      </c>
      <c r="M222">
        <v>3</v>
      </c>
      <c r="N222">
        <v>5</v>
      </c>
      <c r="O222" t="s">
        <v>32</v>
      </c>
      <c r="P222">
        <v>2.7</v>
      </c>
      <c r="Q222" t="s">
        <v>26</v>
      </c>
      <c r="R222" t="s">
        <v>140</v>
      </c>
      <c r="S222" t="s">
        <v>28</v>
      </c>
      <c r="T222" t="s">
        <v>148</v>
      </c>
    </row>
    <row r="223" spans="1:20" x14ac:dyDescent="0.2">
      <c r="A223" t="s">
        <v>21</v>
      </c>
      <c r="B223">
        <v>1674</v>
      </c>
      <c r="C223">
        <v>1</v>
      </c>
      <c r="D223" s="1">
        <v>37847</v>
      </c>
      <c r="E223" s="3">
        <f t="shared" si="3"/>
        <v>2003</v>
      </c>
      <c r="F223" t="s">
        <v>22</v>
      </c>
      <c r="G223">
        <v>3</v>
      </c>
      <c r="H223" t="s">
        <v>71</v>
      </c>
      <c r="I223" t="s">
        <v>139</v>
      </c>
      <c r="M223">
        <v>5</v>
      </c>
      <c r="N223">
        <v>5</v>
      </c>
      <c r="O223" t="s">
        <v>25</v>
      </c>
      <c r="P223">
        <v>2.65</v>
      </c>
      <c r="Q223" t="s">
        <v>26</v>
      </c>
      <c r="R223" t="s">
        <v>140</v>
      </c>
      <c r="S223" t="s">
        <v>28</v>
      </c>
      <c r="T223" t="s">
        <v>148</v>
      </c>
    </row>
    <row r="224" spans="1:20" x14ac:dyDescent="0.2">
      <c r="A224" t="s">
        <v>21</v>
      </c>
      <c r="B224">
        <v>1674</v>
      </c>
      <c r="C224">
        <v>1</v>
      </c>
      <c r="D224" s="1">
        <v>37854</v>
      </c>
      <c r="E224" s="3">
        <f t="shared" si="3"/>
        <v>2003</v>
      </c>
      <c r="F224" t="s">
        <v>22</v>
      </c>
      <c r="G224">
        <v>3</v>
      </c>
      <c r="H224" t="s">
        <v>94</v>
      </c>
      <c r="I224" t="s">
        <v>139</v>
      </c>
      <c r="M224">
        <v>5</v>
      </c>
      <c r="N224">
        <v>5</v>
      </c>
      <c r="O224" t="s">
        <v>25</v>
      </c>
      <c r="P224">
        <v>2.4</v>
      </c>
      <c r="Q224" t="s">
        <v>26</v>
      </c>
      <c r="R224" t="s">
        <v>140</v>
      </c>
      <c r="S224" t="s">
        <v>28</v>
      </c>
      <c r="T224" t="s">
        <v>148</v>
      </c>
    </row>
    <row r="225" spans="1:23" x14ac:dyDescent="0.2">
      <c r="A225" t="s">
        <v>21</v>
      </c>
      <c r="B225">
        <v>1674</v>
      </c>
      <c r="C225">
        <v>1</v>
      </c>
      <c r="D225" s="1">
        <v>37857</v>
      </c>
      <c r="E225" s="3">
        <f t="shared" si="3"/>
        <v>2003</v>
      </c>
      <c r="F225" t="s">
        <v>22</v>
      </c>
      <c r="G225">
        <v>2</v>
      </c>
      <c r="H225" t="s">
        <v>155</v>
      </c>
      <c r="I225" t="s">
        <v>86</v>
      </c>
      <c r="M225">
        <v>15</v>
      </c>
      <c r="N225">
        <v>8</v>
      </c>
      <c r="O225" t="s">
        <v>32</v>
      </c>
      <c r="P225">
        <v>2.63</v>
      </c>
      <c r="Q225" t="s">
        <v>26</v>
      </c>
      <c r="R225" t="s">
        <v>140</v>
      </c>
      <c r="S225" t="s">
        <v>28</v>
      </c>
      <c r="T225" t="s">
        <v>150</v>
      </c>
    </row>
    <row r="226" spans="1:23" x14ac:dyDescent="0.2">
      <c r="A226" t="s">
        <v>21</v>
      </c>
      <c r="B226">
        <v>1674</v>
      </c>
      <c r="C226">
        <v>1</v>
      </c>
      <c r="D226" s="1">
        <v>37866</v>
      </c>
      <c r="E226" s="3">
        <f t="shared" si="3"/>
        <v>2003</v>
      </c>
      <c r="F226" t="s">
        <v>22</v>
      </c>
      <c r="G226">
        <v>3</v>
      </c>
      <c r="H226" t="s">
        <v>72</v>
      </c>
      <c r="I226" t="s">
        <v>139</v>
      </c>
      <c r="M226">
        <v>5</v>
      </c>
      <c r="N226">
        <v>7</v>
      </c>
      <c r="O226" t="s">
        <v>32</v>
      </c>
      <c r="P226">
        <v>2.4</v>
      </c>
      <c r="Q226" t="s">
        <v>26</v>
      </c>
      <c r="R226" t="s">
        <v>140</v>
      </c>
      <c r="S226" t="s">
        <v>28</v>
      </c>
      <c r="T226" t="s">
        <v>148</v>
      </c>
    </row>
    <row r="227" spans="1:23" x14ac:dyDescent="0.2">
      <c r="A227" t="s">
        <v>21</v>
      </c>
      <c r="B227">
        <v>1674</v>
      </c>
      <c r="C227">
        <v>1</v>
      </c>
      <c r="D227" s="1">
        <v>37881</v>
      </c>
      <c r="E227" s="3">
        <f t="shared" si="3"/>
        <v>2003</v>
      </c>
      <c r="F227" t="s">
        <v>22</v>
      </c>
      <c r="G227">
        <v>3</v>
      </c>
      <c r="H227" t="s">
        <v>71</v>
      </c>
      <c r="I227" t="s">
        <v>139</v>
      </c>
      <c r="M227">
        <v>5</v>
      </c>
      <c r="N227">
        <v>6</v>
      </c>
      <c r="O227" t="s">
        <v>32</v>
      </c>
      <c r="P227">
        <v>2.2999999999999998</v>
      </c>
      <c r="Q227" t="s">
        <v>26</v>
      </c>
      <c r="R227" t="s">
        <v>140</v>
      </c>
      <c r="S227" t="s">
        <v>28</v>
      </c>
      <c r="T227" t="s">
        <v>148</v>
      </c>
    </row>
    <row r="228" spans="1:23" x14ac:dyDescent="0.2">
      <c r="A228" t="s">
        <v>21</v>
      </c>
      <c r="B228">
        <v>1674</v>
      </c>
      <c r="C228">
        <v>1</v>
      </c>
      <c r="D228" s="1">
        <v>37894</v>
      </c>
      <c r="E228" s="3">
        <f t="shared" si="3"/>
        <v>2003</v>
      </c>
      <c r="F228" t="s">
        <v>22</v>
      </c>
      <c r="G228">
        <v>3</v>
      </c>
      <c r="H228" t="s">
        <v>112</v>
      </c>
      <c r="I228" t="s">
        <v>139</v>
      </c>
      <c r="M228">
        <v>5</v>
      </c>
      <c r="N228">
        <v>5</v>
      </c>
      <c r="O228" t="s">
        <v>25</v>
      </c>
      <c r="P228">
        <v>2.1</v>
      </c>
      <c r="Q228" t="s">
        <v>26</v>
      </c>
      <c r="R228" t="s">
        <v>140</v>
      </c>
      <c r="S228" t="s">
        <v>28</v>
      </c>
      <c r="T228" t="s">
        <v>148</v>
      </c>
    </row>
    <row r="229" spans="1:23" x14ac:dyDescent="0.2">
      <c r="A229" t="s">
        <v>21</v>
      </c>
      <c r="B229">
        <v>1674</v>
      </c>
      <c r="C229">
        <v>1</v>
      </c>
      <c r="D229" s="1">
        <v>37903</v>
      </c>
      <c r="E229" s="3">
        <f t="shared" si="3"/>
        <v>2003</v>
      </c>
      <c r="F229" t="s">
        <v>22</v>
      </c>
      <c r="G229">
        <v>3</v>
      </c>
      <c r="H229" t="s">
        <v>143</v>
      </c>
      <c r="I229" t="s">
        <v>139</v>
      </c>
      <c r="M229">
        <v>6</v>
      </c>
      <c r="N229">
        <v>5</v>
      </c>
      <c r="O229" t="s">
        <v>32</v>
      </c>
      <c r="P229">
        <v>2.1</v>
      </c>
      <c r="Q229" t="s">
        <v>26</v>
      </c>
      <c r="R229" t="s">
        <v>140</v>
      </c>
      <c r="S229" t="s">
        <v>28</v>
      </c>
      <c r="T229" t="s">
        <v>148</v>
      </c>
    </row>
    <row r="230" spans="1:23" x14ac:dyDescent="0.2">
      <c r="A230" t="s">
        <v>21</v>
      </c>
      <c r="B230">
        <v>1674</v>
      </c>
      <c r="C230">
        <v>1</v>
      </c>
      <c r="D230" s="1">
        <v>38138</v>
      </c>
      <c r="E230" s="3">
        <f t="shared" si="3"/>
        <v>2004</v>
      </c>
      <c r="F230" t="s">
        <v>22</v>
      </c>
      <c r="G230">
        <v>3</v>
      </c>
      <c r="H230" t="s">
        <v>67</v>
      </c>
      <c r="I230" t="s">
        <v>139</v>
      </c>
      <c r="M230">
        <v>5</v>
      </c>
      <c r="N230">
        <v>5</v>
      </c>
      <c r="O230" t="s">
        <v>30</v>
      </c>
      <c r="P230">
        <v>2.85</v>
      </c>
      <c r="Q230" t="s">
        <v>26</v>
      </c>
      <c r="R230" t="s">
        <v>140</v>
      </c>
      <c r="S230" t="s">
        <v>28</v>
      </c>
      <c r="T230" t="s">
        <v>148</v>
      </c>
    </row>
    <row r="231" spans="1:23" x14ac:dyDescent="0.2">
      <c r="A231" s="6" t="s">
        <v>21</v>
      </c>
      <c r="B231" s="6">
        <v>1674</v>
      </c>
      <c r="C231" s="6">
        <v>1</v>
      </c>
      <c r="D231" s="4">
        <v>38141</v>
      </c>
      <c r="E231" s="5">
        <f t="shared" si="3"/>
        <v>2004</v>
      </c>
      <c r="F231" s="6" t="s">
        <v>22</v>
      </c>
      <c r="G231" s="6">
        <v>2</v>
      </c>
      <c r="H231" s="6" t="s">
        <v>158</v>
      </c>
      <c r="I231" s="6" t="s">
        <v>115</v>
      </c>
      <c r="J231" s="6"/>
      <c r="K231" s="6"/>
      <c r="L231" s="6"/>
      <c r="M231" s="6">
        <v>7</v>
      </c>
      <c r="N231" s="6">
        <v>8</v>
      </c>
      <c r="O231" s="6" t="s">
        <v>25</v>
      </c>
      <c r="P231" s="6">
        <v>2.5</v>
      </c>
      <c r="Q231" t="s">
        <v>26</v>
      </c>
      <c r="R231" t="s">
        <v>140</v>
      </c>
      <c r="S231" t="s">
        <v>28</v>
      </c>
      <c r="T231" t="s">
        <v>156</v>
      </c>
    </row>
    <row r="232" spans="1:23" x14ac:dyDescent="0.2">
      <c r="A232" s="6" t="s">
        <v>21</v>
      </c>
      <c r="B232" s="6">
        <v>1674</v>
      </c>
      <c r="C232" s="6">
        <v>1</v>
      </c>
      <c r="D232" s="4">
        <v>38141</v>
      </c>
      <c r="E232" s="5">
        <f t="shared" si="3"/>
        <v>2004</v>
      </c>
      <c r="F232" s="6" t="s">
        <v>22</v>
      </c>
      <c r="G232" s="6">
        <v>2</v>
      </c>
      <c r="H232" s="6" t="s">
        <v>158</v>
      </c>
      <c r="I232" s="6" t="s">
        <v>115</v>
      </c>
      <c r="J232" s="6"/>
      <c r="K232" s="6"/>
      <c r="L232" s="6"/>
      <c r="M232" s="6">
        <v>7</v>
      </c>
      <c r="N232" s="6">
        <v>8</v>
      </c>
      <c r="O232" s="6" t="s">
        <v>25</v>
      </c>
      <c r="P232" s="6">
        <v>2.2000000000000002</v>
      </c>
      <c r="Q232" t="s">
        <v>26</v>
      </c>
      <c r="R232" t="s">
        <v>140</v>
      </c>
      <c r="S232" t="s">
        <v>28</v>
      </c>
      <c r="T232" t="s">
        <v>154</v>
      </c>
      <c r="W232" s="15">
        <f>AVERAGE(P231:P232)</f>
        <v>2.35</v>
      </c>
    </row>
    <row r="233" spans="1:23" x14ac:dyDescent="0.2">
      <c r="A233" t="s">
        <v>21</v>
      </c>
      <c r="B233">
        <v>1674</v>
      </c>
      <c r="C233">
        <v>1</v>
      </c>
      <c r="D233" s="1">
        <v>38167</v>
      </c>
      <c r="E233" s="3">
        <f t="shared" si="3"/>
        <v>2004</v>
      </c>
      <c r="F233" t="s">
        <v>22</v>
      </c>
      <c r="G233">
        <v>3</v>
      </c>
      <c r="H233" t="s">
        <v>108</v>
      </c>
      <c r="I233" t="s">
        <v>139</v>
      </c>
      <c r="M233">
        <v>3</v>
      </c>
      <c r="N233">
        <v>5</v>
      </c>
      <c r="O233" t="s">
        <v>32</v>
      </c>
      <c r="P233">
        <v>2.8</v>
      </c>
      <c r="Q233" t="s">
        <v>26</v>
      </c>
      <c r="R233" t="s">
        <v>140</v>
      </c>
      <c r="S233" t="s">
        <v>28</v>
      </c>
      <c r="T233" t="s">
        <v>148</v>
      </c>
    </row>
    <row r="234" spans="1:23" x14ac:dyDescent="0.2">
      <c r="A234" s="6" t="s">
        <v>21</v>
      </c>
      <c r="B234" s="6">
        <v>1674</v>
      </c>
      <c r="C234" s="6">
        <v>1</v>
      </c>
      <c r="D234" s="4">
        <v>38169</v>
      </c>
      <c r="E234" s="5">
        <f t="shared" si="3"/>
        <v>2004</v>
      </c>
      <c r="F234" s="6" t="s">
        <v>22</v>
      </c>
      <c r="G234" s="6">
        <v>3</v>
      </c>
      <c r="H234" s="6" t="s">
        <v>106</v>
      </c>
      <c r="I234" s="6" t="s">
        <v>139</v>
      </c>
      <c r="J234" s="6"/>
      <c r="K234" s="6"/>
      <c r="L234" s="6"/>
      <c r="M234" s="6">
        <v>7</v>
      </c>
      <c r="N234" s="6">
        <v>5</v>
      </c>
      <c r="O234" s="6" t="s">
        <v>25</v>
      </c>
      <c r="P234" s="6">
        <v>3</v>
      </c>
      <c r="Q234" t="s">
        <v>26</v>
      </c>
      <c r="R234" t="s">
        <v>140</v>
      </c>
      <c r="S234" t="s">
        <v>28</v>
      </c>
      <c r="T234" t="s">
        <v>148</v>
      </c>
    </row>
    <row r="235" spans="1:23" x14ac:dyDescent="0.2">
      <c r="A235" s="6" t="s">
        <v>21</v>
      </c>
      <c r="B235" s="6">
        <v>1674</v>
      </c>
      <c r="C235" s="6">
        <v>1</v>
      </c>
      <c r="D235" s="4">
        <v>38169</v>
      </c>
      <c r="E235" s="5">
        <f t="shared" si="3"/>
        <v>2004</v>
      </c>
      <c r="F235" s="6" t="s">
        <v>22</v>
      </c>
      <c r="G235" s="6">
        <v>2</v>
      </c>
      <c r="H235" s="6" t="s">
        <v>84</v>
      </c>
      <c r="I235" s="6" t="s">
        <v>96</v>
      </c>
      <c r="J235" s="6" t="s">
        <v>159</v>
      </c>
      <c r="K235" s="6"/>
      <c r="L235" s="6"/>
      <c r="M235" s="6">
        <v>10</v>
      </c>
      <c r="N235" s="6">
        <v>6</v>
      </c>
      <c r="O235" s="6" t="s">
        <v>30</v>
      </c>
      <c r="P235" s="6">
        <v>2.9</v>
      </c>
      <c r="Q235" t="s">
        <v>26</v>
      </c>
      <c r="R235" t="s">
        <v>140</v>
      </c>
      <c r="S235" t="s">
        <v>28</v>
      </c>
      <c r="T235" t="s">
        <v>154</v>
      </c>
      <c r="W235" s="15">
        <f>AVERAGE(P234:P235)</f>
        <v>2.95</v>
      </c>
    </row>
    <row r="236" spans="1:23" x14ac:dyDescent="0.2">
      <c r="A236" t="s">
        <v>21</v>
      </c>
      <c r="B236">
        <v>1674</v>
      </c>
      <c r="C236">
        <v>1</v>
      </c>
      <c r="D236" s="1">
        <v>38180</v>
      </c>
      <c r="E236" s="3">
        <f t="shared" si="3"/>
        <v>2004</v>
      </c>
      <c r="F236" t="s">
        <v>22</v>
      </c>
      <c r="G236">
        <v>3</v>
      </c>
      <c r="H236" t="s">
        <v>79</v>
      </c>
      <c r="I236" t="s">
        <v>139</v>
      </c>
      <c r="M236">
        <v>3</v>
      </c>
      <c r="N236">
        <v>5</v>
      </c>
      <c r="O236" t="s">
        <v>32</v>
      </c>
      <c r="P236">
        <v>3.5</v>
      </c>
      <c r="Q236" t="s">
        <v>26</v>
      </c>
      <c r="R236" t="s">
        <v>140</v>
      </c>
      <c r="S236" t="s">
        <v>28</v>
      </c>
      <c r="T236" t="s">
        <v>148</v>
      </c>
    </row>
    <row r="237" spans="1:23" x14ac:dyDescent="0.2">
      <c r="A237" t="s">
        <v>21</v>
      </c>
      <c r="B237">
        <v>1674</v>
      </c>
      <c r="C237">
        <v>1</v>
      </c>
      <c r="D237" s="1">
        <v>38203</v>
      </c>
      <c r="E237" s="3">
        <f t="shared" si="3"/>
        <v>2004</v>
      </c>
      <c r="F237" t="s">
        <v>22</v>
      </c>
      <c r="G237">
        <v>2</v>
      </c>
      <c r="H237" t="s">
        <v>72</v>
      </c>
      <c r="I237" t="s">
        <v>96</v>
      </c>
      <c r="J237" t="s">
        <v>160</v>
      </c>
      <c r="M237">
        <v>10</v>
      </c>
      <c r="N237">
        <v>8</v>
      </c>
      <c r="O237" t="s">
        <v>30</v>
      </c>
      <c r="P237">
        <v>2.75</v>
      </c>
      <c r="Q237" t="s">
        <v>26</v>
      </c>
      <c r="R237" t="s">
        <v>140</v>
      </c>
      <c r="S237" t="s">
        <v>28</v>
      </c>
      <c r="T237" t="s">
        <v>154</v>
      </c>
    </row>
    <row r="238" spans="1:23" x14ac:dyDescent="0.2">
      <c r="A238" t="s">
        <v>21</v>
      </c>
      <c r="B238">
        <v>1674</v>
      </c>
      <c r="C238">
        <v>1</v>
      </c>
      <c r="D238" s="1">
        <v>38205</v>
      </c>
      <c r="E238" s="3">
        <f t="shared" si="3"/>
        <v>2004</v>
      </c>
      <c r="F238" t="s">
        <v>22</v>
      </c>
      <c r="G238">
        <v>3</v>
      </c>
      <c r="H238" t="s">
        <v>157</v>
      </c>
      <c r="I238" t="s">
        <v>139</v>
      </c>
      <c r="M238">
        <v>9</v>
      </c>
      <c r="N238">
        <v>7</v>
      </c>
      <c r="O238" t="s">
        <v>25</v>
      </c>
      <c r="P238">
        <v>2.7</v>
      </c>
      <c r="Q238" t="s">
        <v>26</v>
      </c>
      <c r="R238" t="s">
        <v>140</v>
      </c>
      <c r="S238" t="s">
        <v>28</v>
      </c>
      <c r="T238" t="s">
        <v>148</v>
      </c>
    </row>
    <row r="239" spans="1:23" x14ac:dyDescent="0.2">
      <c r="A239" t="s">
        <v>21</v>
      </c>
      <c r="B239">
        <v>1674</v>
      </c>
      <c r="C239">
        <v>1</v>
      </c>
      <c r="D239" s="1">
        <v>38216</v>
      </c>
      <c r="E239" s="3">
        <f t="shared" si="3"/>
        <v>2004</v>
      </c>
      <c r="F239" t="s">
        <v>22</v>
      </c>
      <c r="G239">
        <v>3</v>
      </c>
      <c r="H239" t="s">
        <v>112</v>
      </c>
      <c r="I239" t="s">
        <v>139</v>
      </c>
      <c r="M239">
        <v>5</v>
      </c>
      <c r="N239">
        <v>3</v>
      </c>
      <c r="O239" t="s">
        <v>32</v>
      </c>
      <c r="P239">
        <v>2.4</v>
      </c>
      <c r="Q239" t="s">
        <v>26</v>
      </c>
      <c r="R239" t="s">
        <v>140</v>
      </c>
      <c r="S239" t="s">
        <v>28</v>
      </c>
      <c r="T239" t="s">
        <v>148</v>
      </c>
    </row>
    <row r="240" spans="1:23" x14ac:dyDescent="0.2">
      <c r="A240" t="s">
        <v>21</v>
      </c>
      <c r="B240">
        <v>1674</v>
      </c>
      <c r="C240">
        <v>1</v>
      </c>
      <c r="D240" s="1">
        <v>38223</v>
      </c>
      <c r="E240" s="3">
        <f t="shared" si="3"/>
        <v>2004</v>
      </c>
      <c r="F240" t="s">
        <v>22</v>
      </c>
      <c r="G240">
        <v>2</v>
      </c>
      <c r="H240" t="s">
        <v>161</v>
      </c>
      <c r="I240" t="s">
        <v>96</v>
      </c>
      <c r="M240">
        <v>25</v>
      </c>
      <c r="N240">
        <v>8</v>
      </c>
      <c r="O240" t="s">
        <v>30</v>
      </c>
      <c r="T240" t="s">
        <v>154</v>
      </c>
    </row>
    <row r="241" spans="1:23" x14ac:dyDescent="0.2">
      <c r="A241" t="s">
        <v>21</v>
      </c>
      <c r="B241">
        <v>1674</v>
      </c>
      <c r="C241">
        <v>1</v>
      </c>
      <c r="D241" s="1">
        <v>38237</v>
      </c>
      <c r="E241" s="3">
        <f t="shared" si="3"/>
        <v>2004</v>
      </c>
      <c r="F241" t="s">
        <v>22</v>
      </c>
      <c r="G241">
        <v>3</v>
      </c>
      <c r="H241" t="s">
        <v>54</v>
      </c>
      <c r="I241" t="s">
        <v>139</v>
      </c>
      <c r="M241">
        <v>11</v>
      </c>
      <c r="N241">
        <v>5</v>
      </c>
      <c r="O241" t="s">
        <v>25</v>
      </c>
      <c r="P241">
        <v>1.8</v>
      </c>
      <c r="Q241" t="s">
        <v>26</v>
      </c>
      <c r="R241" t="s">
        <v>140</v>
      </c>
      <c r="S241" t="s">
        <v>28</v>
      </c>
      <c r="T241" t="s">
        <v>148</v>
      </c>
    </row>
    <row r="242" spans="1:23" x14ac:dyDescent="0.2">
      <c r="A242" t="s">
        <v>21</v>
      </c>
      <c r="B242">
        <v>1674</v>
      </c>
      <c r="C242">
        <v>1</v>
      </c>
      <c r="D242" s="1">
        <v>38503</v>
      </c>
      <c r="E242" s="3">
        <f t="shared" si="3"/>
        <v>2005</v>
      </c>
      <c r="F242" t="s">
        <v>22</v>
      </c>
      <c r="G242">
        <v>3</v>
      </c>
      <c r="H242" t="s">
        <v>72</v>
      </c>
      <c r="I242" t="s">
        <v>139</v>
      </c>
      <c r="M242">
        <v>5</v>
      </c>
      <c r="N242">
        <v>7</v>
      </c>
      <c r="O242" t="s">
        <v>25</v>
      </c>
      <c r="P242">
        <v>2.75</v>
      </c>
      <c r="Q242" t="s">
        <v>26</v>
      </c>
      <c r="R242" t="s">
        <v>140</v>
      </c>
      <c r="S242" t="s">
        <v>28</v>
      </c>
      <c r="T242" t="s">
        <v>148</v>
      </c>
    </row>
    <row r="243" spans="1:23" x14ac:dyDescent="0.2">
      <c r="A243" t="s">
        <v>21</v>
      </c>
      <c r="B243">
        <v>1674</v>
      </c>
      <c r="C243">
        <v>1</v>
      </c>
      <c r="D243" s="1">
        <v>38518</v>
      </c>
      <c r="E243" s="3">
        <f t="shared" si="3"/>
        <v>2005</v>
      </c>
      <c r="F243" t="s">
        <v>22</v>
      </c>
      <c r="G243">
        <v>3</v>
      </c>
      <c r="H243" t="s">
        <v>131</v>
      </c>
      <c r="I243" t="s">
        <v>139</v>
      </c>
      <c r="M243">
        <v>7</v>
      </c>
      <c r="N243">
        <v>6</v>
      </c>
      <c r="O243" t="s">
        <v>32</v>
      </c>
      <c r="P243">
        <v>3.1</v>
      </c>
      <c r="Q243" t="s">
        <v>26</v>
      </c>
      <c r="R243" t="s">
        <v>140</v>
      </c>
      <c r="S243" t="s">
        <v>28</v>
      </c>
      <c r="T243" t="s">
        <v>148</v>
      </c>
    </row>
    <row r="244" spans="1:23" x14ac:dyDescent="0.2">
      <c r="A244" t="s">
        <v>21</v>
      </c>
      <c r="B244">
        <v>1674</v>
      </c>
      <c r="C244">
        <v>1</v>
      </c>
      <c r="D244" s="1">
        <v>38540</v>
      </c>
      <c r="E244" s="3">
        <f t="shared" si="3"/>
        <v>2005</v>
      </c>
      <c r="F244" t="s">
        <v>22</v>
      </c>
      <c r="G244">
        <v>3</v>
      </c>
      <c r="H244" t="s">
        <v>67</v>
      </c>
      <c r="I244" t="s">
        <v>139</v>
      </c>
      <c r="M244">
        <v>4</v>
      </c>
      <c r="N244">
        <v>8</v>
      </c>
      <c r="O244" t="s">
        <v>30</v>
      </c>
      <c r="P244">
        <v>3.4</v>
      </c>
      <c r="Q244" t="s">
        <v>26</v>
      </c>
      <c r="R244" t="s">
        <v>140</v>
      </c>
      <c r="S244" t="s">
        <v>28</v>
      </c>
      <c r="T244" t="s">
        <v>148</v>
      </c>
    </row>
    <row r="245" spans="1:23" x14ac:dyDescent="0.2">
      <c r="A245" t="s">
        <v>21</v>
      </c>
      <c r="B245">
        <v>1674</v>
      </c>
      <c r="C245">
        <v>1</v>
      </c>
      <c r="D245" s="1">
        <v>38554</v>
      </c>
      <c r="E245" s="3">
        <f t="shared" si="3"/>
        <v>2005</v>
      </c>
      <c r="F245" t="s">
        <v>22</v>
      </c>
      <c r="G245">
        <v>3</v>
      </c>
      <c r="H245" t="s">
        <v>91</v>
      </c>
      <c r="I245" t="s">
        <v>139</v>
      </c>
      <c r="M245">
        <v>3</v>
      </c>
      <c r="N245">
        <v>6</v>
      </c>
      <c r="O245" t="s">
        <v>32</v>
      </c>
      <c r="P245">
        <v>3.35</v>
      </c>
      <c r="Q245" t="s">
        <v>26</v>
      </c>
      <c r="R245" t="s">
        <v>140</v>
      </c>
      <c r="S245" t="s">
        <v>28</v>
      </c>
      <c r="T245" t="s">
        <v>148</v>
      </c>
    </row>
    <row r="246" spans="1:23" x14ac:dyDescent="0.2">
      <c r="A246" t="s">
        <v>21</v>
      </c>
      <c r="B246">
        <v>1674</v>
      </c>
      <c r="C246">
        <v>1</v>
      </c>
      <c r="D246" s="1">
        <v>38566</v>
      </c>
      <c r="E246" s="3">
        <f t="shared" si="3"/>
        <v>2005</v>
      </c>
      <c r="F246" t="s">
        <v>22</v>
      </c>
      <c r="G246">
        <v>3</v>
      </c>
      <c r="H246" t="s">
        <v>44</v>
      </c>
      <c r="I246" t="s">
        <v>139</v>
      </c>
      <c r="M246">
        <v>5</v>
      </c>
      <c r="N246">
        <v>6</v>
      </c>
      <c r="O246" t="s">
        <v>25</v>
      </c>
      <c r="P246">
        <v>3.2</v>
      </c>
      <c r="Q246" t="s">
        <v>26</v>
      </c>
      <c r="R246" t="s">
        <v>140</v>
      </c>
      <c r="S246" t="s">
        <v>28</v>
      </c>
      <c r="T246" t="s">
        <v>148</v>
      </c>
    </row>
    <row r="247" spans="1:23" x14ac:dyDescent="0.2">
      <c r="A247" s="6" t="s">
        <v>21</v>
      </c>
      <c r="B247" s="6">
        <v>1674</v>
      </c>
      <c r="C247" s="6">
        <v>1</v>
      </c>
      <c r="D247" s="4">
        <v>38583</v>
      </c>
      <c r="E247" s="5">
        <f t="shared" si="3"/>
        <v>2005</v>
      </c>
      <c r="F247" s="6" t="s">
        <v>22</v>
      </c>
      <c r="G247" s="6">
        <v>2</v>
      </c>
      <c r="H247" s="6" t="s">
        <v>117</v>
      </c>
      <c r="I247" s="6" t="s">
        <v>86</v>
      </c>
      <c r="J247" s="6"/>
      <c r="K247" s="6"/>
      <c r="L247" s="6"/>
      <c r="M247" s="6">
        <v>3</v>
      </c>
      <c r="N247" s="6">
        <v>6</v>
      </c>
      <c r="O247" s="6" t="s">
        <v>30</v>
      </c>
      <c r="P247" s="6">
        <v>2.3199999999999998</v>
      </c>
      <c r="Q247" t="s">
        <v>26</v>
      </c>
      <c r="R247" t="s">
        <v>140</v>
      </c>
      <c r="S247" t="s">
        <v>28</v>
      </c>
      <c r="T247" t="s">
        <v>150</v>
      </c>
    </row>
    <row r="248" spans="1:23" x14ac:dyDescent="0.2">
      <c r="A248" s="6" t="s">
        <v>21</v>
      </c>
      <c r="B248" s="6">
        <v>1674</v>
      </c>
      <c r="C248" s="6">
        <v>1</v>
      </c>
      <c r="D248" s="4">
        <v>38583</v>
      </c>
      <c r="E248" s="5">
        <f t="shared" si="3"/>
        <v>2005</v>
      </c>
      <c r="F248" s="6" t="s">
        <v>22</v>
      </c>
      <c r="G248" s="6">
        <v>2</v>
      </c>
      <c r="H248" s="6" t="s">
        <v>117</v>
      </c>
      <c r="I248" s="6" t="s">
        <v>86</v>
      </c>
      <c r="J248" s="6"/>
      <c r="K248" s="6"/>
      <c r="L248" s="6"/>
      <c r="M248" s="6">
        <v>3</v>
      </c>
      <c r="N248" s="6">
        <v>6</v>
      </c>
      <c r="O248" s="6" t="s">
        <v>30</v>
      </c>
      <c r="P248" s="6">
        <v>2.35</v>
      </c>
      <c r="Q248" t="s">
        <v>26</v>
      </c>
      <c r="R248" t="s">
        <v>140</v>
      </c>
      <c r="S248" t="s">
        <v>27</v>
      </c>
      <c r="T248" t="s">
        <v>150</v>
      </c>
      <c r="W248" s="15">
        <f>AVERAGE(P247:P248)</f>
        <v>2.335</v>
      </c>
    </row>
    <row r="249" spans="1:23" x14ac:dyDescent="0.2">
      <c r="A249" t="s">
        <v>21</v>
      </c>
      <c r="B249">
        <v>1674</v>
      </c>
      <c r="C249">
        <v>1</v>
      </c>
      <c r="D249" s="1">
        <v>38594</v>
      </c>
      <c r="E249" s="3">
        <f t="shared" si="3"/>
        <v>2005</v>
      </c>
      <c r="F249" t="s">
        <v>22</v>
      </c>
      <c r="G249">
        <v>3</v>
      </c>
      <c r="H249" t="s">
        <v>151</v>
      </c>
      <c r="I249" t="s">
        <v>139</v>
      </c>
      <c r="M249">
        <v>10</v>
      </c>
      <c r="N249">
        <v>6</v>
      </c>
      <c r="O249" t="s">
        <v>32</v>
      </c>
      <c r="P249">
        <v>2.2999999999999998</v>
      </c>
      <c r="Q249" t="s">
        <v>26</v>
      </c>
      <c r="R249" t="s">
        <v>140</v>
      </c>
      <c r="S249" t="s">
        <v>28</v>
      </c>
      <c r="T249" t="s">
        <v>148</v>
      </c>
    </row>
    <row r="250" spans="1:23" x14ac:dyDescent="0.2">
      <c r="A250" t="s">
        <v>21</v>
      </c>
      <c r="B250">
        <v>1674</v>
      </c>
      <c r="C250">
        <v>1</v>
      </c>
      <c r="D250" s="1">
        <v>38611</v>
      </c>
      <c r="E250" s="3">
        <f t="shared" si="3"/>
        <v>2005</v>
      </c>
      <c r="F250" t="s">
        <v>22</v>
      </c>
      <c r="G250">
        <v>3</v>
      </c>
      <c r="H250" t="s">
        <v>116</v>
      </c>
      <c r="I250" t="s">
        <v>139</v>
      </c>
      <c r="N250">
        <v>6</v>
      </c>
      <c r="O250" t="s">
        <v>32</v>
      </c>
      <c r="P250">
        <v>2.1</v>
      </c>
      <c r="Q250" t="s">
        <v>26</v>
      </c>
      <c r="R250" t="s">
        <v>140</v>
      </c>
      <c r="S250" t="s">
        <v>28</v>
      </c>
      <c r="T250" t="s">
        <v>148</v>
      </c>
    </row>
    <row r="251" spans="1:23" x14ac:dyDescent="0.2">
      <c r="A251" t="s">
        <v>21</v>
      </c>
      <c r="B251">
        <v>1674</v>
      </c>
      <c r="C251">
        <v>1</v>
      </c>
      <c r="D251" s="1">
        <v>38863</v>
      </c>
      <c r="E251" s="3">
        <f t="shared" si="3"/>
        <v>2006</v>
      </c>
      <c r="F251" t="s">
        <v>22</v>
      </c>
      <c r="G251">
        <v>3</v>
      </c>
      <c r="H251" t="s">
        <v>36</v>
      </c>
      <c r="I251" t="s">
        <v>139</v>
      </c>
      <c r="M251">
        <v>7</v>
      </c>
      <c r="N251">
        <v>6</v>
      </c>
      <c r="O251" t="s">
        <v>25</v>
      </c>
      <c r="P251">
        <v>3.05</v>
      </c>
      <c r="Q251" t="s">
        <v>26</v>
      </c>
      <c r="R251" t="s">
        <v>140</v>
      </c>
      <c r="S251" t="s">
        <v>28</v>
      </c>
      <c r="T251" t="s">
        <v>148</v>
      </c>
    </row>
    <row r="252" spans="1:23" x14ac:dyDescent="0.2">
      <c r="A252" t="s">
        <v>21</v>
      </c>
      <c r="B252">
        <v>1674</v>
      </c>
      <c r="C252">
        <v>1</v>
      </c>
      <c r="D252" s="1">
        <v>38883</v>
      </c>
      <c r="E252" s="3">
        <f t="shared" si="3"/>
        <v>2006</v>
      </c>
      <c r="F252" t="s">
        <v>22</v>
      </c>
      <c r="G252">
        <v>3</v>
      </c>
      <c r="H252" t="s">
        <v>71</v>
      </c>
      <c r="I252" t="s">
        <v>139</v>
      </c>
      <c r="M252">
        <v>4</v>
      </c>
      <c r="N252">
        <v>6</v>
      </c>
      <c r="O252" t="s">
        <v>30</v>
      </c>
      <c r="P252">
        <v>2.85</v>
      </c>
      <c r="Q252" t="s">
        <v>26</v>
      </c>
      <c r="R252" t="s">
        <v>140</v>
      </c>
      <c r="S252" t="s">
        <v>28</v>
      </c>
      <c r="T252" t="s">
        <v>148</v>
      </c>
    </row>
    <row r="253" spans="1:23" x14ac:dyDescent="0.2">
      <c r="A253" t="s">
        <v>21</v>
      </c>
      <c r="B253">
        <v>1674</v>
      </c>
      <c r="C253">
        <v>1</v>
      </c>
      <c r="D253" s="1">
        <v>38899</v>
      </c>
      <c r="E253" s="3">
        <f t="shared" si="3"/>
        <v>2006</v>
      </c>
      <c r="F253" t="s">
        <v>22</v>
      </c>
      <c r="G253">
        <v>3</v>
      </c>
      <c r="H253" t="s">
        <v>128</v>
      </c>
      <c r="I253" t="s">
        <v>139</v>
      </c>
      <c r="M253">
        <v>7</v>
      </c>
      <c r="N253">
        <v>5</v>
      </c>
      <c r="O253" t="s">
        <v>32</v>
      </c>
      <c r="P253">
        <v>2.9</v>
      </c>
      <c r="Q253" t="s">
        <v>26</v>
      </c>
      <c r="R253" t="s">
        <v>140</v>
      </c>
      <c r="S253" t="s">
        <v>28</v>
      </c>
      <c r="T253" t="s">
        <v>148</v>
      </c>
    </row>
    <row r="254" spans="1:23" x14ac:dyDescent="0.2">
      <c r="A254" t="s">
        <v>21</v>
      </c>
      <c r="B254">
        <v>1674</v>
      </c>
      <c r="C254">
        <v>1</v>
      </c>
      <c r="D254" s="1">
        <v>38908</v>
      </c>
      <c r="E254" s="3">
        <f t="shared" si="3"/>
        <v>2006</v>
      </c>
      <c r="F254" t="s">
        <v>22</v>
      </c>
      <c r="G254">
        <v>3</v>
      </c>
      <c r="H254" t="s">
        <v>68</v>
      </c>
      <c r="I254" t="s">
        <v>139</v>
      </c>
      <c r="M254">
        <v>3</v>
      </c>
      <c r="N254">
        <v>6</v>
      </c>
      <c r="O254" t="s">
        <v>25</v>
      </c>
      <c r="P254">
        <v>2.5</v>
      </c>
      <c r="Q254" t="s">
        <v>26</v>
      </c>
      <c r="R254" t="s">
        <v>140</v>
      </c>
      <c r="S254" t="s">
        <v>28</v>
      </c>
      <c r="T254" t="s">
        <v>148</v>
      </c>
    </row>
    <row r="255" spans="1:23" x14ac:dyDescent="0.2">
      <c r="A255" t="s">
        <v>21</v>
      </c>
      <c r="B255">
        <v>1674</v>
      </c>
      <c r="C255">
        <v>1</v>
      </c>
      <c r="D255" s="1">
        <v>38917</v>
      </c>
      <c r="E255" s="3">
        <f t="shared" si="3"/>
        <v>2006</v>
      </c>
      <c r="F255" t="s">
        <v>22</v>
      </c>
      <c r="G255">
        <v>3</v>
      </c>
      <c r="H255" t="s">
        <v>128</v>
      </c>
      <c r="I255" t="s">
        <v>139</v>
      </c>
      <c r="M255">
        <v>7</v>
      </c>
      <c r="N255">
        <v>6</v>
      </c>
      <c r="O255" t="s">
        <v>30</v>
      </c>
      <c r="P255">
        <v>2.35</v>
      </c>
      <c r="Q255" t="s">
        <v>26</v>
      </c>
      <c r="R255" t="s">
        <v>140</v>
      </c>
      <c r="S255" t="s">
        <v>28</v>
      </c>
      <c r="T255" t="s">
        <v>148</v>
      </c>
    </row>
    <row r="256" spans="1:23" x14ac:dyDescent="0.2">
      <c r="A256" t="s">
        <v>21</v>
      </c>
      <c r="B256">
        <v>1674</v>
      </c>
      <c r="C256">
        <v>1</v>
      </c>
      <c r="D256" s="1">
        <v>38929</v>
      </c>
      <c r="E256" s="3">
        <f t="shared" si="3"/>
        <v>2006</v>
      </c>
      <c r="F256" t="s">
        <v>22</v>
      </c>
      <c r="G256">
        <v>3</v>
      </c>
      <c r="H256" t="s">
        <v>71</v>
      </c>
      <c r="I256" t="s">
        <v>139</v>
      </c>
      <c r="M256">
        <v>5</v>
      </c>
      <c r="N256">
        <v>6</v>
      </c>
      <c r="O256" t="s">
        <v>32</v>
      </c>
      <c r="P256">
        <v>2.5</v>
      </c>
      <c r="Q256" t="s">
        <v>26</v>
      </c>
      <c r="R256" t="s">
        <v>140</v>
      </c>
      <c r="S256" t="s">
        <v>28</v>
      </c>
      <c r="T256" t="s">
        <v>148</v>
      </c>
    </row>
    <row r="257" spans="1:20" x14ac:dyDescent="0.2">
      <c r="A257" t="s">
        <v>21</v>
      </c>
      <c r="B257">
        <v>1674</v>
      </c>
      <c r="C257">
        <v>1</v>
      </c>
      <c r="D257" s="1">
        <v>38945</v>
      </c>
      <c r="E257" s="3">
        <f t="shared" si="3"/>
        <v>2006</v>
      </c>
      <c r="F257" t="s">
        <v>22</v>
      </c>
      <c r="G257">
        <v>3</v>
      </c>
      <c r="H257" t="s">
        <v>42</v>
      </c>
      <c r="I257" t="s">
        <v>139</v>
      </c>
      <c r="M257">
        <v>5</v>
      </c>
      <c r="N257">
        <v>8</v>
      </c>
      <c r="O257" t="s">
        <v>32</v>
      </c>
      <c r="P257">
        <v>2.5</v>
      </c>
      <c r="Q257" t="s">
        <v>26</v>
      </c>
      <c r="R257" t="s">
        <v>140</v>
      </c>
      <c r="S257" t="s">
        <v>28</v>
      </c>
      <c r="T257" t="s">
        <v>148</v>
      </c>
    </row>
    <row r="258" spans="1:20" x14ac:dyDescent="0.2">
      <c r="A258" t="s">
        <v>21</v>
      </c>
      <c r="B258">
        <v>1674</v>
      </c>
      <c r="C258">
        <v>1</v>
      </c>
      <c r="D258" s="1">
        <v>38962</v>
      </c>
      <c r="E258" s="3">
        <f t="shared" ref="E258:E292" si="4">YEAR(D258)</f>
        <v>2006</v>
      </c>
      <c r="F258" t="s">
        <v>22</v>
      </c>
      <c r="G258">
        <v>3</v>
      </c>
      <c r="H258" t="s">
        <v>77</v>
      </c>
      <c r="I258" t="s">
        <v>139</v>
      </c>
      <c r="M258">
        <v>2</v>
      </c>
      <c r="N258">
        <v>5</v>
      </c>
      <c r="O258" t="s">
        <v>32</v>
      </c>
      <c r="P258">
        <v>2.5499999999999998</v>
      </c>
      <c r="Q258" t="s">
        <v>26</v>
      </c>
      <c r="R258" t="s">
        <v>140</v>
      </c>
      <c r="S258" t="s">
        <v>28</v>
      </c>
      <c r="T258" t="s">
        <v>148</v>
      </c>
    </row>
    <row r="259" spans="1:20" x14ac:dyDescent="0.2">
      <c r="A259" t="s">
        <v>21</v>
      </c>
      <c r="B259">
        <v>1674</v>
      </c>
      <c r="C259">
        <v>1</v>
      </c>
      <c r="D259" s="1">
        <v>38987</v>
      </c>
      <c r="E259" s="3">
        <f t="shared" si="4"/>
        <v>2006</v>
      </c>
      <c r="F259" t="s">
        <v>22</v>
      </c>
      <c r="G259">
        <v>3</v>
      </c>
      <c r="H259" t="s">
        <v>72</v>
      </c>
      <c r="I259" t="s">
        <v>139</v>
      </c>
      <c r="M259">
        <v>5</v>
      </c>
      <c r="N259">
        <v>5</v>
      </c>
      <c r="O259" t="s">
        <v>32</v>
      </c>
      <c r="P259">
        <v>2.2999999999999998</v>
      </c>
      <c r="Q259" t="s">
        <v>26</v>
      </c>
      <c r="R259" t="s">
        <v>140</v>
      </c>
      <c r="S259" t="s">
        <v>28</v>
      </c>
      <c r="T259" t="s">
        <v>148</v>
      </c>
    </row>
    <row r="260" spans="1:20" x14ac:dyDescent="0.2">
      <c r="A260" t="s">
        <v>21</v>
      </c>
      <c r="B260">
        <v>1674</v>
      </c>
      <c r="C260">
        <v>1</v>
      </c>
      <c r="D260" s="1">
        <v>39226</v>
      </c>
      <c r="E260" s="3">
        <f t="shared" si="4"/>
        <v>2007</v>
      </c>
      <c r="F260" t="s">
        <v>22</v>
      </c>
      <c r="G260">
        <v>3</v>
      </c>
      <c r="H260" t="s">
        <v>72</v>
      </c>
      <c r="I260" t="s">
        <v>139</v>
      </c>
      <c r="M260">
        <v>7</v>
      </c>
      <c r="N260">
        <v>4</v>
      </c>
      <c r="O260" t="s">
        <v>30</v>
      </c>
      <c r="P260">
        <v>2.9</v>
      </c>
      <c r="Q260" t="s">
        <v>26</v>
      </c>
      <c r="R260" t="s">
        <v>140</v>
      </c>
      <c r="S260" t="s">
        <v>28</v>
      </c>
      <c r="T260" t="s">
        <v>148</v>
      </c>
    </row>
    <row r="261" spans="1:20" x14ac:dyDescent="0.2">
      <c r="A261" t="s">
        <v>21</v>
      </c>
      <c r="B261">
        <v>1674</v>
      </c>
      <c r="C261">
        <v>1</v>
      </c>
      <c r="D261" s="1">
        <v>39241</v>
      </c>
      <c r="E261" s="3">
        <f t="shared" si="4"/>
        <v>2007</v>
      </c>
      <c r="F261" t="s">
        <v>22</v>
      </c>
      <c r="G261">
        <v>3</v>
      </c>
      <c r="H261" t="s">
        <v>116</v>
      </c>
      <c r="I261" t="s">
        <v>139</v>
      </c>
      <c r="M261">
        <v>3</v>
      </c>
      <c r="N261">
        <v>4</v>
      </c>
      <c r="O261" t="s">
        <v>25</v>
      </c>
      <c r="P261">
        <v>2.95</v>
      </c>
      <c r="Q261" t="s">
        <v>26</v>
      </c>
      <c r="R261" t="s">
        <v>140</v>
      </c>
      <c r="S261" t="s">
        <v>28</v>
      </c>
      <c r="T261" t="s">
        <v>148</v>
      </c>
    </row>
    <row r="262" spans="1:20" x14ac:dyDescent="0.2">
      <c r="A262" t="s">
        <v>21</v>
      </c>
      <c r="B262">
        <v>1674</v>
      </c>
      <c r="C262">
        <v>1</v>
      </c>
      <c r="D262" s="1">
        <v>39249</v>
      </c>
      <c r="E262" s="3">
        <f t="shared" si="4"/>
        <v>2007</v>
      </c>
      <c r="F262" t="s">
        <v>22</v>
      </c>
      <c r="G262">
        <v>3</v>
      </c>
      <c r="H262" t="s">
        <v>152</v>
      </c>
      <c r="I262" t="s">
        <v>139</v>
      </c>
      <c r="M262">
        <v>5</v>
      </c>
      <c r="N262">
        <v>5</v>
      </c>
      <c r="O262" t="s">
        <v>32</v>
      </c>
      <c r="P262">
        <v>3.2</v>
      </c>
      <c r="Q262" t="s">
        <v>26</v>
      </c>
      <c r="R262" t="s">
        <v>140</v>
      </c>
      <c r="S262" t="s">
        <v>28</v>
      </c>
      <c r="T262" t="s">
        <v>148</v>
      </c>
    </row>
    <row r="263" spans="1:20" x14ac:dyDescent="0.2">
      <c r="A263" t="s">
        <v>21</v>
      </c>
      <c r="B263">
        <v>1674</v>
      </c>
      <c r="C263">
        <v>1</v>
      </c>
      <c r="D263" s="1">
        <v>39261</v>
      </c>
      <c r="E263" s="3">
        <f t="shared" si="4"/>
        <v>2007</v>
      </c>
      <c r="F263" t="s">
        <v>22</v>
      </c>
      <c r="G263">
        <v>3</v>
      </c>
      <c r="H263" t="s">
        <v>128</v>
      </c>
      <c r="I263" t="s">
        <v>139</v>
      </c>
      <c r="M263">
        <v>7</v>
      </c>
      <c r="N263">
        <v>6</v>
      </c>
      <c r="O263" t="s">
        <v>32</v>
      </c>
      <c r="P263">
        <v>3.1</v>
      </c>
      <c r="Q263" t="s">
        <v>26</v>
      </c>
      <c r="R263" t="s">
        <v>140</v>
      </c>
      <c r="S263" t="s">
        <v>28</v>
      </c>
      <c r="T263" t="s">
        <v>148</v>
      </c>
    </row>
    <row r="264" spans="1:20" x14ac:dyDescent="0.2">
      <c r="A264" t="s">
        <v>21</v>
      </c>
      <c r="B264">
        <v>1674</v>
      </c>
      <c r="C264">
        <v>1</v>
      </c>
      <c r="D264" s="1">
        <v>39277</v>
      </c>
      <c r="E264" s="3">
        <f t="shared" si="4"/>
        <v>2007</v>
      </c>
      <c r="F264" t="s">
        <v>22</v>
      </c>
      <c r="G264">
        <v>3</v>
      </c>
      <c r="H264" t="s">
        <v>93</v>
      </c>
      <c r="I264" t="s">
        <v>139</v>
      </c>
      <c r="M264">
        <v>3</v>
      </c>
      <c r="N264">
        <v>4</v>
      </c>
      <c r="O264" t="s">
        <v>25</v>
      </c>
      <c r="P264">
        <v>3.2</v>
      </c>
      <c r="Q264" t="s">
        <v>26</v>
      </c>
      <c r="R264" t="s">
        <v>140</v>
      </c>
      <c r="S264" t="s">
        <v>28</v>
      </c>
      <c r="T264" t="s">
        <v>148</v>
      </c>
    </row>
    <row r="265" spans="1:20" x14ac:dyDescent="0.2">
      <c r="A265" t="s">
        <v>21</v>
      </c>
      <c r="B265">
        <v>1674</v>
      </c>
      <c r="C265">
        <v>1</v>
      </c>
      <c r="D265" s="1">
        <v>39287</v>
      </c>
      <c r="E265" s="3">
        <f t="shared" si="4"/>
        <v>2007</v>
      </c>
      <c r="F265" t="s">
        <v>22</v>
      </c>
      <c r="G265">
        <v>3</v>
      </c>
      <c r="H265" t="s">
        <v>71</v>
      </c>
      <c r="I265" t="s">
        <v>139</v>
      </c>
      <c r="M265">
        <v>5</v>
      </c>
      <c r="N265">
        <v>5</v>
      </c>
      <c r="O265" t="s">
        <v>30</v>
      </c>
      <c r="P265">
        <v>2.85</v>
      </c>
      <c r="Q265" t="s">
        <v>26</v>
      </c>
      <c r="R265" t="s">
        <v>140</v>
      </c>
      <c r="S265" t="s">
        <v>28</v>
      </c>
      <c r="T265" t="s">
        <v>148</v>
      </c>
    </row>
    <row r="266" spans="1:20" x14ac:dyDescent="0.2">
      <c r="A266" t="s">
        <v>21</v>
      </c>
      <c r="B266">
        <v>1674</v>
      </c>
      <c r="C266">
        <v>1</v>
      </c>
      <c r="D266" s="1">
        <v>39305</v>
      </c>
      <c r="E266" s="3">
        <f t="shared" si="4"/>
        <v>2007</v>
      </c>
      <c r="F266" t="s">
        <v>22</v>
      </c>
      <c r="G266">
        <v>3</v>
      </c>
      <c r="H266" t="s">
        <v>72</v>
      </c>
      <c r="I266" t="s">
        <v>139</v>
      </c>
      <c r="M266">
        <v>5</v>
      </c>
      <c r="N266">
        <v>4</v>
      </c>
      <c r="O266" t="s">
        <v>30</v>
      </c>
      <c r="P266">
        <v>2.7</v>
      </c>
      <c r="Q266" t="s">
        <v>26</v>
      </c>
      <c r="R266" t="s">
        <v>140</v>
      </c>
      <c r="S266" t="s">
        <v>28</v>
      </c>
      <c r="T266" t="s">
        <v>148</v>
      </c>
    </row>
    <row r="267" spans="1:20" x14ac:dyDescent="0.2">
      <c r="A267" t="s">
        <v>21</v>
      </c>
      <c r="B267">
        <v>1674</v>
      </c>
      <c r="C267">
        <v>1</v>
      </c>
      <c r="D267" s="1">
        <v>39316</v>
      </c>
      <c r="E267" s="3">
        <f t="shared" si="4"/>
        <v>2007</v>
      </c>
      <c r="F267" t="s">
        <v>22</v>
      </c>
      <c r="G267">
        <v>3</v>
      </c>
      <c r="H267" t="s">
        <v>76</v>
      </c>
      <c r="I267" t="s">
        <v>139</v>
      </c>
      <c r="M267">
        <v>0</v>
      </c>
      <c r="N267">
        <v>0</v>
      </c>
      <c r="O267" t="s">
        <v>32</v>
      </c>
      <c r="P267">
        <v>2.1</v>
      </c>
      <c r="Q267" t="s">
        <v>26</v>
      </c>
      <c r="R267" t="s">
        <v>140</v>
      </c>
      <c r="S267" t="s">
        <v>28</v>
      </c>
      <c r="T267" t="s">
        <v>148</v>
      </c>
    </row>
    <row r="268" spans="1:20" x14ac:dyDescent="0.2">
      <c r="A268" t="s">
        <v>21</v>
      </c>
      <c r="B268">
        <v>1674</v>
      </c>
      <c r="C268">
        <v>1</v>
      </c>
      <c r="D268" s="1">
        <v>39335</v>
      </c>
      <c r="E268" s="3">
        <f t="shared" si="4"/>
        <v>2007</v>
      </c>
      <c r="F268" t="s">
        <v>22</v>
      </c>
      <c r="G268">
        <v>3</v>
      </c>
      <c r="H268" t="s">
        <v>46</v>
      </c>
      <c r="I268" t="s">
        <v>139</v>
      </c>
      <c r="M268">
        <v>5</v>
      </c>
      <c r="N268">
        <v>6</v>
      </c>
      <c r="O268" t="s">
        <v>25</v>
      </c>
      <c r="P268">
        <v>1.9</v>
      </c>
      <c r="Q268" t="s">
        <v>26</v>
      </c>
      <c r="R268" t="s">
        <v>140</v>
      </c>
      <c r="S268" t="s">
        <v>28</v>
      </c>
      <c r="T268" t="s">
        <v>148</v>
      </c>
    </row>
    <row r="269" spans="1:20" x14ac:dyDescent="0.2">
      <c r="A269" t="s">
        <v>21</v>
      </c>
      <c r="B269">
        <v>1674</v>
      </c>
      <c r="C269">
        <v>1</v>
      </c>
      <c r="D269" s="1">
        <v>39665</v>
      </c>
      <c r="E269" s="3">
        <f t="shared" si="4"/>
        <v>2008</v>
      </c>
      <c r="F269" t="s">
        <v>22</v>
      </c>
      <c r="G269">
        <v>3</v>
      </c>
      <c r="H269" t="s">
        <v>146</v>
      </c>
      <c r="I269" t="s">
        <v>139</v>
      </c>
      <c r="M269">
        <v>3</v>
      </c>
      <c r="N269">
        <v>7</v>
      </c>
      <c r="O269" t="s">
        <v>32</v>
      </c>
      <c r="P269">
        <v>2.4500000000000002</v>
      </c>
      <c r="Q269" t="s">
        <v>26</v>
      </c>
      <c r="R269" t="s">
        <v>140</v>
      </c>
      <c r="S269" t="s">
        <v>28</v>
      </c>
      <c r="T269" t="s">
        <v>148</v>
      </c>
    </row>
    <row r="270" spans="1:20" x14ac:dyDescent="0.2">
      <c r="A270" t="s">
        <v>21</v>
      </c>
      <c r="B270">
        <v>1674</v>
      </c>
      <c r="C270">
        <v>1</v>
      </c>
      <c r="D270" s="1">
        <v>39682</v>
      </c>
      <c r="E270" s="3">
        <f t="shared" si="4"/>
        <v>2008</v>
      </c>
      <c r="F270" t="s">
        <v>22</v>
      </c>
      <c r="G270">
        <v>3</v>
      </c>
      <c r="H270" t="s">
        <v>131</v>
      </c>
      <c r="I270" t="s">
        <v>139</v>
      </c>
      <c r="M270">
        <v>5</v>
      </c>
      <c r="N270">
        <v>5</v>
      </c>
      <c r="O270" t="s">
        <v>32</v>
      </c>
      <c r="P270">
        <v>2.4</v>
      </c>
      <c r="Q270" t="s">
        <v>26</v>
      </c>
      <c r="R270" t="s">
        <v>140</v>
      </c>
      <c r="S270" t="s">
        <v>28</v>
      </c>
      <c r="T270" t="s">
        <v>148</v>
      </c>
    </row>
    <row r="271" spans="1:20" x14ac:dyDescent="0.2">
      <c r="A271" t="s">
        <v>21</v>
      </c>
      <c r="B271">
        <v>1674</v>
      </c>
      <c r="C271">
        <v>1</v>
      </c>
      <c r="D271" s="1">
        <v>39707</v>
      </c>
      <c r="E271" s="3">
        <f t="shared" si="4"/>
        <v>2008</v>
      </c>
      <c r="F271" t="s">
        <v>22</v>
      </c>
      <c r="G271">
        <v>3</v>
      </c>
      <c r="H271" t="s">
        <v>77</v>
      </c>
      <c r="I271" t="s">
        <v>139</v>
      </c>
      <c r="M271">
        <v>8</v>
      </c>
      <c r="N271">
        <v>6</v>
      </c>
      <c r="O271" t="s">
        <v>25</v>
      </c>
      <c r="P271">
        <v>2.2999999999999998</v>
      </c>
      <c r="Q271" t="s">
        <v>26</v>
      </c>
      <c r="R271" t="s">
        <v>140</v>
      </c>
      <c r="S271" t="s">
        <v>28</v>
      </c>
      <c r="T271" t="s">
        <v>148</v>
      </c>
    </row>
    <row r="272" spans="1:20" x14ac:dyDescent="0.2">
      <c r="A272" t="s">
        <v>21</v>
      </c>
      <c r="B272">
        <v>1674</v>
      </c>
      <c r="C272">
        <v>1</v>
      </c>
      <c r="D272" s="1">
        <v>39978</v>
      </c>
      <c r="E272" s="3">
        <f t="shared" si="4"/>
        <v>2009</v>
      </c>
      <c r="F272" t="s">
        <v>22</v>
      </c>
      <c r="G272">
        <v>2</v>
      </c>
      <c r="H272" t="s">
        <v>87</v>
      </c>
      <c r="I272" t="s">
        <v>86</v>
      </c>
      <c r="M272">
        <v>0</v>
      </c>
      <c r="O272" t="s">
        <v>30</v>
      </c>
      <c r="P272">
        <v>3.4</v>
      </c>
      <c r="Q272" t="s">
        <v>26</v>
      </c>
      <c r="R272" t="s">
        <v>140</v>
      </c>
      <c r="S272" t="s">
        <v>28</v>
      </c>
      <c r="T272" t="s">
        <v>150</v>
      </c>
    </row>
    <row r="273" spans="1:34" x14ac:dyDescent="0.2">
      <c r="A273" s="6" t="s">
        <v>21</v>
      </c>
      <c r="B273" s="6">
        <v>1674</v>
      </c>
      <c r="C273" s="6">
        <v>1</v>
      </c>
      <c r="D273" s="4">
        <v>40004</v>
      </c>
      <c r="E273" s="5">
        <f t="shared" si="4"/>
        <v>2009</v>
      </c>
      <c r="F273" s="6" t="s">
        <v>22</v>
      </c>
      <c r="G273" s="6">
        <v>3</v>
      </c>
      <c r="H273" s="6" t="s">
        <v>116</v>
      </c>
      <c r="I273" s="6" t="s">
        <v>139</v>
      </c>
      <c r="J273" s="6"/>
      <c r="K273" s="6"/>
      <c r="L273" s="6"/>
      <c r="M273" s="6">
        <v>6</v>
      </c>
      <c r="N273" s="6">
        <v>5</v>
      </c>
      <c r="O273" s="6" t="s">
        <v>32</v>
      </c>
      <c r="P273" s="6">
        <v>2.82</v>
      </c>
      <c r="Q273" t="s">
        <v>26</v>
      </c>
      <c r="R273" t="s">
        <v>140</v>
      </c>
      <c r="S273" t="s">
        <v>28</v>
      </c>
      <c r="T273" t="s">
        <v>148</v>
      </c>
    </row>
    <row r="274" spans="1:34" x14ac:dyDescent="0.2">
      <c r="A274" s="6" t="s">
        <v>21</v>
      </c>
      <c r="B274" s="6">
        <v>1674</v>
      </c>
      <c r="C274" s="6">
        <v>1</v>
      </c>
      <c r="D274" s="4">
        <v>40004</v>
      </c>
      <c r="E274" s="5">
        <f t="shared" si="4"/>
        <v>2009</v>
      </c>
      <c r="F274" s="6" t="s">
        <v>22</v>
      </c>
      <c r="G274" s="6">
        <v>3</v>
      </c>
      <c r="H274" s="6" t="s">
        <v>116</v>
      </c>
      <c r="I274" s="6" t="s">
        <v>139</v>
      </c>
      <c r="J274" s="6"/>
      <c r="K274" s="6"/>
      <c r="L274" s="6"/>
      <c r="M274" s="6">
        <v>6</v>
      </c>
      <c r="N274" s="6">
        <v>5</v>
      </c>
      <c r="O274" s="6" t="s">
        <v>32</v>
      </c>
      <c r="P274" s="6">
        <v>2.8</v>
      </c>
      <c r="Q274" t="s">
        <v>26</v>
      </c>
      <c r="R274" t="s">
        <v>140</v>
      </c>
      <c r="S274" t="s">
        <v>27</v>
      </c>
      <c r="T274" t="s">
        <v>148</v>
      </c>
      <c r="W274" s="15">
        <f>AVERAGE(P273:P274)</f>
        <v>2.8099999999999996</v>
      </c>
    </row>
    <row r="275" spans="1:34" x14ac:dyDescent="0.2">
      <c r="A275" t="s">
        <v>21</v>
      </c>
      <c r="B275">
        <v>1674</v>
      </c>
      <c r="C275">
        <v>1</v>
      </c>
      <c r="D275" s="1">
        <v>40022</v>
      </c>
      <c r="E275" s="3">
        <f t="shared" si="4"/>
        <v>2009</v>
      </c>
      <c r="F275" t="s">
        <v>22</v>
      </c>
      <c r="G275">
        <v>3</v>
      </c>
      <c r="H275" t="s">
        <v>116</v>
      </c>
      <c r="I275" t="s">
        <v>139</v>
      </c>
      <c r="M275">
        <v>6</v>
      </c>
      <c r="N275">
        <v>5</v>
      </c>
      <c r="O275" t="s">
        <v>32</v>
      </c>
      <c r="P275">
        <v>2.65</v>
      </c>
      <c r="Q275" t="s">
        <v>26</v>
      </c>
      <c r="R275" t="s">
        <v>140</v>
      </c>
      <c r="S275" t="s">
        <v>28</v>
      </c>
      <c r="T275" t="s">
        <v>148</v>
      </c>
    </row>
    <row r="276" spans="1:34" x14ac:dyDescent="0.2">
      <c r="A276" t="s">
        <v>21</v>
      </c>
      <c r="B276">
        <v>1674</v>
      </c>
      <c r="C276">
        <v>1</v>
      </c>
      <c r="D276" s="1">
        <v>40044</v>
      </c>
      <c r="E276" s="3">
        <f t="shared" si="4"/>
        <v>2009</v>
      </c>
      <c r="F276" t="s">
        <v>22</v>
      </c>
      <c r="G276">
        <v>3</v>
      </c>
      <c r="H276" t="s">
        <v>83</v>
      </c>
      <c r="I276" t="s">
        <v>139</v>
      </c>
      <c r="M276">
        <v>4</v>
      </c>
      <c r="N276">
        <v>5</v>
      </c>
      <c r="O276" t="s">
        <v>32</v>
      </c>
      <c r="P276">
        <v>2.58</v>
      </c>
      <c r="Q276" t="s">
        <v>26</v>
      </c>
      <c r="R276" t="s">
        <v>140</v>
      </c>
      <c r="S276" t="s">
        <v>28</v>
      </c>
      <c r="T276" t="s">
        <v>148</v>
      </c>
    </row>
    <row r="277" spans="1:34" x14ac:dyDescent="0.2">
      <c r="A277" t="s">
        <v>21</v>
      </c>
      <c r="B277">
        <v>1674</v>
      </c>
      <c r="C277">
        <v>1</v>
      </c>
      <c r="D277" s="1">
        <v>40045</v>
      </c>
      <c r="E277" s="3">
        <f t="shared" si="4"/>
        <v>2009</v>
      </c>
      <c r="F277" t="s">
        <v>22</v>
      </c>
      <c r="G277">
        <v>2</v>
      </c>
      <c r="H277" t="s">
        <v>163</v>
      </c>
      <c r="I277" t="s">
        <v>86</v>
      </c>
      <c r="M277">
        <v>0</v>
      </c>
      <c r="N277">
        <v>0</v>
      </c>
      <c r="O277" t="s">
        <v>30</v>
      </c>
      <c r="P277">
        <v>2.42</v>
      </c>
      <c r="Q277" t="s">
        <v>26</v>
      </c>
      <c r="R277" t="s">
        <v>140</v>
      </c>
      <c r="S277" t="s">
        <v>28</v>
      </c>
      <c r="T277" t="s">
        <v>150</v>
      </c>
    </row>
    <row r="278" spans="1:34" x14ac:dyDescent="0.2">
      <c r="A278" t="s">
        <v>21</v>
      </c>
      <c r="B278">
        <v>1674</v>
      </c>
      <c r="C278">
        <v>1</v>
      </c>
      <c r="D278" s="1">
        <v>40053</v>
      </c>
      <c r="E278" s="3">
        <f t="shared" si="4"/>
        <v>2009</v>
      </c>
      <c r="F278" t="s">
        <v>22</v>
      </c>
      <c r="G278">
        <v>3</v>
      </c>
      <c r="H278" t="s">
        <v>143</v>
      </c>
      <c r="I278" t="s">
        <v>139</v>
      </c>
      <c r="M278">
        <v>7</v>
      </c>
      <c r="N278">
        <v>5</v>
      </c>
      <c r="O278" t="s">
        <v>30</v>
      </c>
      <c r="P278">
        <v>2.5</v>
      </c>
      <c r="Q278" t="s">
        <v>26</v>
      </c>
      <c r="R278" t="s">
        <v>140</v>
      </c>
      <c r="S278" t="s">
        <v>28</v>
      </c>
      <c r="T278" t="s">
        <v>148</v>
      </c>
    </row>
    <row r="279" spans="1:34" x14ac:dyDescent="0.2">
      <c r="A279" t="s">
        <v>21</v>
      </c>
      <c r="B279">
        <v>1674</v>
      </c>
      <c r="C279">
        <v>1</v>
      </c>
      <c r="D279" s="1">
        <v>40066</v>
      </c>
      <c r="E279" s="3">
        <f t="shared" si="4"/>
        <v>2009</v>
      </c>
      <c r="F279" t="s">
        <v>22</v>
      </c>
      <c r="G279">
        <v>3</v>
      </c>
      <c r="H279" t="s">
        <v>42</v>
      </c>
      <c r="I279" t="s">
        <v>139</v>
      </c>
      <c r="M279">
        <v>3</v>
      </c>
      <c r="N279">
        <v>5</v>
      </c>
      <c r="O279" t="s">
        <v>30</v>
      </c>
      <c r="P279">
        <v>2</v>
      </c>
      <c r="Q279" t="s">
        <v>26</v>
      </c>
      <c r="R279" t="s">
        <v>140</v>
      </c>
      <c r="S279" t="s">
        <v>28</v>
      </c>
      <c r="T279" t="s">
        <v>148</v>
      </c>
    </row>
    <row r="280" spans="1:34" x14ac:dyDescent="0.2">
      <c r="A280" s="6" t="s">
        <v>21</v>
      </c>
      <c r="B280" s="6">
        <v>1674</v>
      </c>
      <c r="C280" s="6">
        <v>1</v>
      </c>
      <c r="D280" s="4">
        <v>42604</v>
      </c>
      <c r="E280" s="5">
        <f t="shared" si="4"/>
        <v>2016</v>
      </c>
      <c r="F280" s="6" t="s">
        <v>22</v>
      </c>
      <c r="G280" s="6">
        <v>2</v>
      </c>
      <c r="H280" s="6" t="s">
        <v>164</v>
      </c>
      <c r="I280" s="6" t="s">
        <v>165</v>
      </c>
      <c r="J280" s="6" t="s">
        <v>166</v>
      </c>
      <c r="K280" s="6"/>
      <c r="L280" s="6"/>
      <c r="M280" s="6">
        <v>8</v>
      </c>
      <c r="N280" s="6">
        <v>1</v>
      </c>
      <c r="O280" s="6" t="s">
        <v>25</v>
      </c>
      <c r="P280" s="6">
        <v>2.94</v>
      </c>
      <c r="Q280" t="s">
        <v>26</v>
      </c>
      <c r="R280" t="s">
        <v>140</v>
      </c>
      <c r="S280" t="s">
        <v>28</v>
      </c>
      <c r="T280" t="s">
        <v>167</v>
      </c>
      <c r="U280">
        <v>9.9</v>
      </c>
    </row>
    <row r="281" spans="1:34" x14ac:dyDescent="0.2">
      <c r="A281" s="6" t="s">
        <v>21</v>
      </c>
      <c r="B281" s="6">
        <v>1674</v>
      </c>
      <c r="C281" s="6">
        <v>1</v>
      </c>
      <c r="D281" s="4">
        <v>42604</v>
      </c>
      <c r="E281" s="5">
        <f t="shared" si="4"/>
        <v>2016</v>
      </c>
      <c r="F281" s="6" t="s">
        <v>22</v>
      </c>
      <c r="G281" s="6">
        <v>2</v>
      </c>
      <c r="H281" s="6" t="s">
        <v>164</v>
      </c>
      <c r="I281" s="6" t="s">
        <v>165</v>
      </c>
      <c r="J281" s="6" t="s">
        <v>166</v>
      </c>
      <c r="K281" s="6"/>
      <c r="L281" s="6"/>
      <c r="M281" s="6">
        <v>8</v>
      </c>
      <c r="N281" s="6">
        <v>1</v>
      </c>
      <c r="O281" s="6" t="s">
        <v>25</v>
      </c>
      <c r="P281" s="6">
        <v>2.84</v>
      </c>
      <c r="Q281" t="s">
        <v>26</v>
      </c>
      <c r="R281" t="s">
        <v>140</v>
      </c>
      <c r="S281" t="s">
        <v>27</v>
      </c>
      <c r="T281" t="s">
        <v>167</v>
      </c>
      <c r="U281">
        <v>9.9</v>
      </c>
      <c r="W281" s="15">
        <f>AVERAGE(P280:P281)</f>
        <v>2.8899999999999997</v>
      </c>
    </row>
    <row r="282" spans="1:34" x14ac:dyDescent="0.2">
      <c r="A282" t="s">
        <v>21</v>
      </c>
      <c r="B282">
        <v>1674</v>
      </c>
      <c r="C282">
        <v>1</v>
      </c>
      <c r="D282" s="1">
        <v>42996</v>
      </c>
      <c r="E282" s="3">
        <f t="shared" si="4"/>
        <v>2017</v>
      </c>
      <c r="F282" t="s">
        <v>22</v>
      </c>
      <c r="G282">
        <v>2</v>
      </c>
      <c r="H282" t="s">
        <v>168</v>
      </c>
      <c r="I282" t="s">
        <v>169</v>
      </c>
      <c r="J282" t="s">
        <v>170</v>
      </c>
      <c r="M282">
        <v>2</v>
      </c>
      <c r="N282">
        <v>1</v>
      </c>
      <c r="O282" t="s">
        <v>32</v>
      </c>
      <c r="P282">
        <v>2.52</v>
      </c>
      <c r="Q282" t="s">
        <v>26</v>
      </c>
      <c r="R282" t="s">
        <v>140</v>
      </c>
      <c r="S282" t="s">
        <v>28</v>
      </c>
      <c r="T282" t="s">
        <v>171</v>
      </c>
      <c r="U282">
        <v>9.9</v>
      </c>
    </row>
    <row r="283" spans="1:34" x14ac:dyDescent="0.2">
      <c r="A283" s="6" t="s">
        <v>21</v>
      </c>
      <c r="B283" s="6">
        <v>1674</v>
      </c>
      <c r="C283" s="6">
        <v>1</v>
      </c>
      <c r="D283" s="4">
        <v>43284</v>
      </c>
      <c r="E283" s="5">
        <f t="shared" si="4"/>
        <v>2018</v>
      </c>
      <c r="F283" s="6" t="s">
        <v>22</v>
      </c>
      <c r="G283" s="6">
        <v>3</v>
      </c>
      <c r="H283" s="6" t="s">
        <v>172</v>
      </c>
      <c r="I283" s="6" t="s">
        <v>173</v>
      </c>
      <c r="J283" s="6" t="s">
        <v>174</v>
      </c>
      <c r="K283" s="6"/>
      <c r="L283" s="6"/>
      <c r="M283" s="6">
        <v>4</v>
      </c>
      <c r="N283" s="6">
        <v>7</v>
      </c>
      <c r="O283" s="6" t="s">
        <v>30</v>
      </c>
      <c r="P283" s="6">
        <v>2.85</v>
      </c>
      <c r="Q283" t="s">
        <v>26</v>
      </c>
      <c r="R283" t="s">
        <v>140</v>
      </c>
      <c r="S283" t="s">
        <v>28</v>
      </c>
      <c r="T283" t="s">
        <v>175</v>
      </c>
      <c r="U283">
        <v>9</v>
      </c>
    </row>
    <row r="284" spans="1:34" x14ac:dyDescent="0.2">
      <c r="A284" s="6" t="s">
        <v>21</v>
      </c>
      <c r="B284" s="6">
        <v>1674</v>
      </c>
      <c r="C284" s="6">
        <v>1</v>
      </c>
      <c r="D284" s="4">
        <v>43284</v>
      </c>
      <c r="E284" s="5">
        <f t="shared" si="4"/>
        <v>2018</v>
      </c>
      <c r="F284" s="6" t="s">
        <v>22</v>
      </c>
      <c r="G284" s="6">
        <v>3</v>
      </c>
      <c r="H284" s="6" t="s">
        <v>172</v>
      </c>
      <c r="I284" s="6" t="s">
        <v>173</v>
      </c>
      <c r="J284" s="6" t="s">
        <v>174</v>
      </c>
      <c r="K284" s="6"/>
      <c r="L284" s="6"/>
      <c r="M284" s="6">
        <v>4</v>
      </c>
      <c r="N284" s="6">
        <v>7</v>
      </c>
      <c r="O284" s="6" t="s">
        <v>30</v>
      </c>
      <c r="P284" s="6">
        <v>2.86</v>
      </c>
      <c r="Q284" t="s">
        <v>26</v>
      </c>
      <c r="R284" t="s">
        <v>140</v>
      </c>
      <c r="S284" t="s">
        <v>27</v>
      </c>
      <c r="T284" t="s">
        <v>175</v>
      </c>
      <c r="U284">
        <v>9</v>
      </c>
      <c r="W284" s="15">
        <f>AVERAGE(P283:P284)</f>
        <v>2.855</v>
      </c>
    </row>
    <row r="285" spans="1:34" s="7" customFormat="1" x14ac:dyDescent="0.2">
      <c r="A285" s="7" t="s">
        <v>21</v>
      </c>
      <c r="B285" s="7">
        <v>1674</v>
      </c>
      <c r="C285" s="7">
        <v>1</v>
      </c>
      <c r="D285" s="8">
        <v>43297</v>
      </c>
      <c r="E285" s="9">
        <f t="shared" si="4"/>
        <v>2018</v>
      </c>
      <c r="F285" s="7" t="s">
        <v>22</v>
      </c>
      <c r="G285" s="7">
        <v>3</v>
      </c>
      <c r="H285" s="7" t="s">
        <v>176</v>
      </c>
      <c r="I285" s="7" t="s">
        <v>173</v>
      </c>
      <c r="J285" s="7" t="s">
        <v>174</v>
      </c>
      <c r="M285" s="7">
        <v>4</v>
      </c>
      <c r="N285" s="7">
        <v>7</v>
      </c>
      <c r="O285" s="7" t="s">
        <v>30</v>
      </c>
      <c r="P285" s="7">
        <v>4.29</v>
      </c>
      <c r="Q285" s="7" t="s">
        <v>26</v>
      </c>
      <c r="R285" s="7" t="s">
        <v>140</v>
      </c>
      <c r="S285" s="7" t="s">
        <v>28</v>
      </c>
      <c r="T285" s="7" t="s">
        <v>177</v>
      </c>
      <c r="U285" s="7">
        <v>9</v>
      </c>
      <c r="W285" s="16"/>
      <c r="Y285" s="127"/>
      <c r="Z285" s="127"/>
      <c r="AA285" s="127"/>
      <c r="AB285" s="127"/>
      <c r="AC285" s="130"/>
      <c r="AD285" s="130"/>
      <c r="AE285" s="130"/>
      <c r="AF285" s="131"/>
      <c r="AG285" s="131"/>
      <c r="AH285" s="131"/>
    </row>
    <row r="286" spans="1:34" s="7" customFormat="1" x14ac:dyDescent="0.2">
      <c r="A286" s="7" t="s">
        <v>21</v>
      </c>
      <c r="B286" s="7">
        <v>1674</v>
      </c>
      <c r="C286" s="7">
        <v>1</v>
      </c>
      <c r="D286" s="8">
        <v>43313</v>
      </c>
      <c r="E286" s="9">
        <f t="shared" si="4"/>
        <v>2018</v>
      </c>
      <c r="F286" s="7" t="s">
        <v>22</v>
      </c>
      <c r="G286" s="7">
        <v>3</v>
      </c>
      <c r="H286" s="7" t="s">
        <v>125</v>
      </c>
      <c r="I286" s="7" t="s">
        <v>173</v>
      </c>
      <c r="J286" s="7" t="s">
        <v>174</v>
      </c>
      <c r="M286" s="7">
        <v>2</v>
      </c>
      <c r="N286" s="7">
        <v>5</v>
      </c>
      <c r="O286" s="7" t="s">
        <v>30</v>
      </c>
      <c r="P286" s="7">
        <v>4.95</v>
      </c>
      <c r="Q286" s="7" t="s">
        <v>26</v>
      </c>
      <c r="R286" s="7" t="s">
        <v>140</v>
      </c>
      <c r="S286" s="7" t="s">
        <v>28</v>
      </c>
      <c r="T286" s="7" t="s">
        <v>175</v>
      </c>
      <c r="U286" s="7">
        <v>9</v>
      </c>
      <c r="W286" s="16"/>
      <c r="Y286" s="127"/>
      <c r="Z286" s="127"/>
      <c r="AA286" s="127"/>
      <c r="AB286" s="127"/>
      <c r="AC286" s="130"/>
      <c r="AD286" s="130"/>
      <c r="AE286" s="130"/>
      <c r="AF286" s="131"/>
      <c r="AG286" s="131"/>
      <c r="AH286" s="131"/>
    </row>
    <row r="287" spans="1:34" s="7" customFormat="1" x14ac:dyDescent="0.2">
      <c r="A287" s="7" t="s">
        <v>21</v>
      </c>
      <c r="B287" s="7">
        <v>1674</v>
      </c>
      <c r="C287" s="7">
        <v>1</v>
      </c>
      <c r="D287" s="8">
        <v>43325</v>
      </c>
      <c r="E287" s="9">
        <f t="shared" si="4"/>
        <v>2018</v>
      </c>
      <c r="F287" s="7" t="s">
        <v>22</v>
      </c>
      <c r="G287" s="7">
        <v>3</v>
      </c>
      <c r="H287" s="7" t="s">
        <v>178</v>
      </c>
      <c r="I287" s="7" t="s">
        <v>173</v>
      </c>
      <c r="J287" s="7" t="s">
        <v>174</v>
      </c>
      <c r="M287" s="7">
        <v>0</v>
      </c>
      <c r="N287" s="7">
        <v>0</v>
      </c>
      <c r="O287" s="7" t="s">
        <v>30</v>
      </c>
      <c r="P287" s="7">
        <v>3.3</v>
      </c>
      <c r="Q287" s="7" t="s">
        <v>26</v>
      </c>
      <c r="R287" s="7" t="s">
        <v>140</v>
      </c>
      <c r="S287" s="7" t="s">
        <v>28</v>
      </c>
      <c r="T287" s="7" t="s">
        <v>177</v>
      </c>
      <c r="U287" s="7">
        <v>9</v>
      </c>
      <c r="W287" s="16"/>
      <c r="Y287" s="127"/>
      <c r="Z287" s="127"/>
      <c r="AA287" s="127"/>
      <c r="AB287" s="127"/>
      <c r="AC287" s="130"/>
      <c r="AD287" s="130"/>
      <c r="AE287" s="130"/>
      <c r="AF287" s="131"/>
      <c r="AG287" s="131"/>
      <c r="AH287" s="131"/>
    </row>
    <row r="288" spans="1:34" s="7" customFormat="1" x14ac:dyDescent="0.2">
      <c r="A288" s="7" t="s">
        <v>21</v>
      </c>
      <c r="B288" s="7">
        <v>1674</v>
      </c>
      <c r="C288" s="7">
        <v>1</v>
      </c>
      <c r="D288" s="8">
        <v>43334</v>
      </c>
      <c r="E288" s="9">
        <f t="shared" si="4"/>
        <v>2018</v>
      </c>
      <c r="F288" s="7" t="s">
        <v>22</v>
      </c>
      <c r="G288" s="7">
        <v>2</v>
      </c>
      <c r="H288" s="7" t="s">
        <v>179</v>
      </c>
      <c r="I288" s="7" t="s">
        <v>165</v>
      </c>
      <c r="J288" s="7" t="s">
        <v>180</v>
      </c>
      <c r="M288" s="7">
        <v>8</v>
      </c>
      <c r="N288" s="7">
        <v>5</v>
      </c>
      <c r="O288" s="7" t="s">
        <v>32</v>
      </c>
      <c r="P288" s="7">
        <v>2.61</v>
      </c>
      <c r="Q288" s="7" t="s">
        <v>26</v>
      </c>
      <c r="R288" s="7" t="s">
        <v>140</v>
      </c>
      <c r="S288" s="7" t="s">
        <v>28</v>
      </c>
      <c r="T288" s="7" t="s">
        <v>167</v>
      </c>
      <c r="U288" s="7">
        <v>0</v>
      </c>
      <c r="W288" s="16"/>
      <c r="Y288" s="127"/>
      <c r="Z288" s="127"/>
      <c r="AA288" s="127"/>
      <c r="AB288" s="127"/>
      <c r="AC288" s="130"/>
      <c r="AD288" s="130"/>
      <c r="AE288" s="130"/>
      <c r="AF288" s="131"/>
      <c r="AG288" s="131"/>
      <c r="AH288" s="131"/>
    </row>
    <row r="289" spans="1:34" s="7" customFormat="1" x14ac:dyDescent="0.2">
      <c r="A289" s="7" t="s">
        <v>21</v>
      </c>
      <c r="B289" s="7">
        <v>1674</v>
      </c>
      <c r="C289" s="7">
        <v>1</v>
      </c>
      <c r="D289" s="8">
        <v>43341</v>
      </c>
      <c r="E289" s="9">
        <f t="shared" si="4"/>
        <v>2018</v>
      </c>
      <c r="F289" s="7" t="s">
        <v>22</v>
      </c>
      <c r="G289" s="7">
        <v>3</v>
      </c>
      <c r="H289" s="7" t="s">
        <v>181</v>
      </c>
      <c r="I289" s="7" t="s">
        <v>173</v>
      </c>
      <c r="J289" s="7" t="s">
        <v>174</v>
      </c>
      <c r="M289" s="7">
        <v>0</v>
      </c>
      <c r="N289" s="7">
        <v>0</v>
      </c>
      <c r="O289" s="7" t="s">
        <v>30</v>
      </c>
      <c r="P289" s="7">
        <v>3.26</v>
      </c>
      <c r="Q289" s="7" t="s">
        <v>26</v>
      </c>
      <c r="R289" s="7" t="s">
        <v>140</v>
      </c>
      <c r="S289" s="7" t="s">
        <v>28</v>
      </c>
      <c r="T289" s="7" t="s">
        <v>177</v>
      </c>
      <c r="U289" s="7">
        <v>9</v>
      </c>
      <c r="W289" s="16"/>
      <c r="Y289" s="127"/>
      <c r="Z289" s="127"/>
      <c r="AA289" s="127"/>
      <c r="AB289" s="127"/>
      <c r="AC289" s="130"/>
      <c r="AD289" s="130"/>
      <c r="AE289" s="130"/>
      <c r="AF289" s="131"/>
      <c r="AG289" s="131"/>
      <c r="AH289" s="131"/>
    </row>
    <row r="290" spans="1:34" x14ac:dyDescent="0.2">
      <c r="A290" s="6" t="s">
        <v>21</v>
      </c>
      <c r="B290" s="6">
        <v>1674</v>
      </c>
      <c r="C290" s="6">
        <v>1</v>
      </c>
      <c r="D290" s="4">
        <v>43357</v>
      </c>
      <c r="E290" s="5">
        <f t="shared" si="4"/>
        <v>2018</v>
      </c>
      <c r="F290" s="6" t="s">
        <v>22</v>
      </c>
      <c r="G290" s="6">
        <v>3</v>
      </c>
      <c r="H290" s="6" t="s">
        <v>162</v>
      </c>
      <c r="I290" s="6" t="s">
        <v>173</v>
      </c>
      <c r="J290" s="6" t="s">
        <v>174</v>
      </c>
      <c r="K290" s="6"/>
      <c r="L290" s="6"/>
      <c r="M290" s="6">
        <v>0</v>
      </c>
      <c r="N290" s="6">
        <v>0</v>
      </c>
      <c r="O290" s="6" t="s">
        <v>30</v>
      </c>
      <c r="P290" s="6">
        <v>3.26</v>
      </c>
      <c r="Q290" t="s">
        <v>26</v>
      </c>
      <c r="R290" t="s">
        <v>140</v>
      </c>
      <c r="S290" t="s">
        <v>28</v>
      </c>
      <c r="T290" t="s">
        <v>177</v>
      </c>
      <c r="U290">
        <v>9</v>
      </c>
    </row>
    <row r="291" spans="1:34" x14ac:dyDescent="0.2">
      <c r="A291" s="6" t="s">
        <v>21</v>
      </c>
      <c r="B291" s="6">
        <v>1674</v>
      </c>
      <c r="C291" s="6">
        <v>1</v>
      </c>
      <c r="D291" s="4">
        <v>43357</v>
      </c>
      <c r="E291" s="5">
        <f t="shared" si="4"/>
        <v>2018</v>
      </c>
      <c r="F291" s="6" t="s">
        <v>22</v>
      </c>
      <c r="G291" s="6">
        <v>3</v>
      </c>
      <c r="H291" s="6" t="s">
        <v>162</v>
      </c>
      <c r="I291" s="6" t="s">
        <v>173</v>
      </c>
      <c r="J291" s="6" t="s">
        <v>174</v>
      </c>
      <c r="K291" s="6"/>
      <c r="L291" s="6"/>
      <c r="M291" s="6">
        <v>0</v>
      </c>
      <c r="N291" s="6">
        <v>0</v>
      </c>
      <c r="O291" s="6" t="s">
        <v>30</v>
      </c>
      <c r="P291" s="6">
        <v>3.31</v>
      </c>
      <c r="Q291" t="s">
        <v>26</v>
      </c>
      <c r="R291" t="s">
        <v>140</v>
      </c>
      <c r="S291" t="s">
        <v>28</v>
      </c>
      <c r="T291" t="s">
        <v>175</v>
      </c>
      <c r="U291">
        <v>9</v>
      </c>
      <c r="W291" s="15">
        <f>AVERAGE(P290:P291)</f>
        <v>3.2850000000000001</v>
      </c>
    </row>
    <row r="292" spans="1:34" s="7" customFormat="1" x14ac:dyDescent="0.2">
      <c r="A292" s="21" t="s">
        <v>21</v>
      </c>
      <c r="B292" s="21">
        <v>1674</v>
      </c>
      <c r="C292" s="21">
        <v>1</v>
      </c>
      <c r="D292" s="22">
        <v>43381</v>
      </c>
      <c r="E292" s="23">
        <f t="shared" si="4"/>
        <v>2018</v>
      </c>
      <c r="F292" s="21" t="s">
        <v>22</v>
      </c>
      <c r="G292" s="21">
        <v>3</v>
      </c>
      <c r="H292" s="21" t="s">
        <v>182</v>
      </c>
      <c r="I292" s="21" t="s">
        <v>173</v>
      </c>
      <c r="J292" s="21" t="s">
        <v>174</v>
      </c>
      <c r="K292" s="21"/>
      <c r="L292" s="21"/>
      <c r="M292" s="21">
        <v>1</v>
      </c>
      <c r="N292" s="21">
        <v>1</v>
      </c>
      <c r="O292" s="21" t="s">
        <v>30</v>
      </c>
      <c r="P292" s="21">
        <v>2.88</v>
      </c>
      <c r="Q292" s="21" t="s">
        <v>26</v>
      </c>
      <c r="R292" s="21" t="s">
        <v>140</v>
      </c>
      <c r="S292" s="21" t="s">
        <v>28</v>
      </c>
      <c r="T292" s="21" t="s">
        <v>175</v>
      </c>
      <c r="U292" s="21">
        <v>9</v>
      </c>
      <c r="V292" s="21"/>
      <c r="W292" s="24"/>
      <c r="X292" s="21"/>
      <c r="Y292" s="127"/>
      <c r="Z292" s="127"/>
      <c r="AA292" s="127"/>
      <c r="AB292" s="127"/>
      <c r="AC292" s="130"/>
      <c r="AD292" s="130"/>
      <c r="AE292" s="130"/>
      <c r="AF292" s="131"/>
      <c r="AG292" s="131"/>
      <c r="AH292" s="131"/>
    </row>
    <row r="293" spans="1:34" s="21" customFormat="1" x14ac:dyDescent="0.2">
      <c r="A293" s="21" t="s">
        <v>21</v>
      </c>
      <c r="B293" s="21">
        <v>1674</v>
      </c>
      <c r="C293" s="21">
        <v>1</v>
      </c>
      <c r="D293" s="26">
        <v>43598</v>
      </c>
      <c r="E293" s="23">
        <f t="shared" ref="E293:E309" si="5">YEAR(D293)</f>
        <v>2019</v>
      </c>
      <c r="F293" s="21" t="s">
        <v>246</v>
      </c>
      <c r="G293" s="21">
        <v>1</v>
      </c>
      <c r="P293" s="27">
        <v>2.44</v>
      </c>
      <c r="W293" s="24"/>
      <c r="Y293" s="132"/>
      <c r="Z293" s="132"/>
      <c r="AA293" s="132"/>
      <c r="AB293" s="132"/>
      <c r="AC293" s="132"/>
      <c r="AD293" s="132"/>
      <c r="AE293" s="132"/>
      <c r="AF293" s="133"/>
      <c r="AG293" s="133"/>
      <c r="AH293" s="133"/>
    </row>
    <row r="294" spans="1:34" s="21" customFormat="1" x14ac:dyDescent="0.2">
      <c r="A294" s="21" t="s">
        <v>21</v>
      </c>
      <c r="B294" s="21">
        <v>1674</v>
      </c>
      <c r="C294" s="21">
        <v>1</v>
      </c>
      <c r="D294" s="26">
        <v>43610</v>
      </c>
      <c r="E294" s="23">
        <f t="shared" si="5"/>
        <v>2019</v>
      </c>
      <c r="F294" s="21" t="s">
        <v>246</v>
      </c>
      <c r="G294" s="21">
        <v>1</v>
      </c>
      <c r="P294" s="27">
        <v>3.32</v>
      </c>
      <c r="W294" s="24"/>
      <c r="Y294" s="132"/>
      <c r="Z294" s="132"/>
      <c r="AA294" s="132"/>
      <c r="AB294" s="132"/>
      <c r="AC294" s="132"/>
      <c r="AD294" s="132"/>
      <c r="AE294" s="132"/>
      <c r="AF294" s="133"/>
      <c r="AG294" s="133"/>
      <c r="AH294" s="133"/>
    </row>
    <row r="295" spans="1:34" s="21" customFormat="1" x14ac:dyDescent="0.2">
      <c r="A295" s="21" t="s">
        <v>21</v>
      </c>
      <c r="B295" s="21">
        <v>1674</v>
      </c>
      <c r="C295" s="21">
        <v>1</v>
      </c>
      <c r="D295" s="26">
        <v>43622</v>
      </c>
      <c r="E295" s="23">
        <f t="shared" si="5"/>
        <v>2019</v>
      </c>
      <c r="F295" s="21" t="s">
        <v>246</v>
      </c>
      <c r="G295" s="21">
        <v>1</v>
      </c>
      <c r="P295" s="27">
        <v>3.6</v>
      </c>
      <c r="W295" s="24"/>
      <c r="Y295" s="132"/>
      <c r="Z295" s="132"/>
      <c r="AA295" s="132"/>
      <c r="AB295" s="132"/>
      <c r="AC295" s="132"/>
      <c r="AD295" s="132"/>
      <c r="AE295" s="132"/>
      <c r="AF295" s="133"/>
      <c r="AG295" s="133"/>
      <c r="AH295" s="133"/>
    </row>
    <row r="296" spans="1:34" s="21" customFormat="1" x14ac:dyDescent="0.2">
      <c r="A296" s="21" t="s">
        <v>21</v>
      </c>
      <c r="B296" s="21">
        <v>1674</v>
      </c>
      <c r="C296" s="21">
        <v>1</v>
      </c>
      <c r="D296" s="28">
        <v>43637</v>
      </c>
      <c r="E296" s="23">
        <f t="shared" si="5"/>
        <v>2019</v>
      </c>
      <c r="F296" s="21" t="s">
        <v>246</v>
      </c>
      <c r="G296" s="21">
        <v>1</v>
      </c>
      <c r="P296" s="27">
        <v>4.25</v>
      </c>
      <c r="W296" s="24"/>
      <c r="Y296" s="132"/>
      <c r="Z296" s="132"/>
      <c r="AA296" s="132"/>
      <c r="AB296" s="132"/>
      <c r="AC296" s="132"/>
      <c r="AD296" s="132"/>
      <c r="AE296" s="132"/>
      <c r="AF296" s="133"/>
      <c r="AG296" s="133"/>
      <c r="AH296" s="133"/>
    </row>
    <row r="297" spans="1:34" s="21" customFormat="1" x14ac:dyDescent="0.2">
      <c r="A297" s="21" t="s">
        <v>21</v>
      </c>
      <c r="B297" s="21">
        <v>1674</v>
      </c>
      <c r="C297" s="21">
        <v>1</v>
      </c>
      <c r="D297" s="28">
        <v>43650</v>
      </c>
      <c r="E297" s="23">
        <f t="shared" si="5"/>
        <v>2019</v>
      </c>
      <c r="F297" s="21" t="s">
        <v>246</v>
      </c>
      <c r="G297" s="21">
        <v>1</v>
      </c>
      <c r="P297" s="27">
        <v>3.12</v>
      </c>
      <c r="W297" s="24"/>
      <c r="Y297" s="132"/>
      <c r="Z297" s="132"/>
      <c r="AC297" s="132"/>
      <c r="AD297" s="132"/>
      <c r="AE297" s="132"/>
      <c r="AF297" s="133"/>
      <c r="AG297" s="133"/>
      <c r="AH297" s="133"/>
    </row>
    <row r="298" spans="1:34" s="21" customFormat="1" x14ac:dyDescent="0.2">
      <c r="A298" s="21" t="s">
        <v>21</v>
      </c>
      <c r="B298" s="21">
        <v>1674</v>
      </c>
      <c r="C298" s="21">
        <v>1</v>
      </c>
      <c r="D298" s="28">
        <v>43664</v>
      </c>
      <c r="E298" s="23">
        <f t="shared" si="5"/>
        <v>2019</v>
      </c>
      <c r="F298" s="21" t="s">
        <v>246</v>
      </c>
      <c r="G298" s="21">
        <v>1</v>
      </c>
      <c r="P298" s="29">
        <v>3.68</v>
      </c>
      <c r="W298" s="24"/>
      <c r="Y298" s="132"/>
      <c r="Z298" s="132"/>
      <c r="AA298" s="225"/>
      <c r="AB298" s="224"/>
      <c r="AC298" s="132"/>
      <c r="AD298" s="132"/>
      <c r="AE298" s="132"/>
      <c r="AF298" s="133"/>
      <c r="AG298" s="133"/>
      <c r="AH298" s="133"/>
    </row>
    <row r="299" spans="1:34" s="21" customFormat="1" x14ac:dyDescent="0.2">
      <c r="A299" s="21" t="s">
        <v>21</v>
      </c>
      <c r="B299" s="21">
        <v>1674</v>
      </c>
      <c r="C299" s="21">
        <v>1</v>
      </c>
      <c r="D299" s="28">
        <v>43678</v>
      </c>
      <c r="E299" s="23">
        <f t="shared" si="5"/>
        <v>2019</v>
      </c>
      <c r="F299" s="21" t="s">
        <v>246</v>
      </c>
      <c r="G299" s="21">
        <v>1</v>
      </c>
      <c r="P299" s="27">
        <v>4.12</v>
      </c>
      <c r="W299" s="24"/>
      <c r="Y299" s="132"/>
      <c r="Z299" s="132"/>
      <c r="AC299" s="132"/>
      <c r="AD299" s="132"/>
      <c r="AE299" s="132"/>
      <c r="AF299" s="133"/>
      <c r="AG299" s="133"/>
      <c r="AH299" s="133"/>
    </row>
    <row r="300" spans="1:34" s="21" customFormat="1" x14ac:dyDescent="0.2">
      <c r="A300" s="21" t="s">
        <v>21</v>
      </c>
      <c r="B300" s="21">
        <v>1674</v>
      </c>
      <c r="C300" s="21">
        <v>1</v>
      </c>
      <c r="D300" s="28">
        <v>43691</v>
      </c>
      <c r="E300" s="23">
        <f t="shared" si="5"/>
        <v>2019</v>
      </c>
      <c r="F300" s="21" t="s">
        <v>246</v>
      </c>
      <c r="G300" s="21">
        <v>1</v>
      </c>
      <c r="P300" s="27">
        <v>2.75</v>
      </c>
      <c r="W300" s="24"/>
      <c r="Y300" s="132"/>
      <c r="Z300" s="132"/>
      <c r="AA300" s="225"/>
      <c r="AB300" s="224"/>
      <c r="AC300" s="132"/>
      <c r="AD300" s="132"/>
      <c r="AE300" s="132"/>
      <c r="AF300" s="133"/>
      <c r="AG300" s="133"/>
      <c r="AH300" s="133"/>
    </row>
    <row r="301" spans="1:34" s="21" customFormat="1" x14ac:dyDescent="0.2">
      <c r="A301" s="262" t="s">
        <v>21</v>
      </c>
      <c r="B301" s="262">
        <v>1674</v>
      </c>
      <c r="C301" s="262">
        <v>1</v>
      </c>
      <c r="D301" s="274">
        <v>43705</v>
      </c>
      <c r="E301" s="275">
        <f t="shared" si="5"/>
        <v>2019</v>
      </c>
      <c r="F301" s="262" t="s">
        <v>246</v>
      </c>
      <c r="G301" s="262">
        <v>1</v>
      </c>
      <c r="H301" s="262"/>
      <c r="I301" s="262"/>
      <c r="J301" s="262"/>
      <c r="K301" s="262"/>
      <c r="L301" s="262"/>
      <c r="M301" s="262"/>
      <c r="N301" s="262"/>
      <c r="O301" s="262"/>
      <c r="P301" s="276">
        <v>4.43</v>
      </c>
      <c r="W301" s="24"/>
      <c r="X301" s="273">
        <f>AVERAGE(P301,W302)</f>
        <v>4.3875000000000002</v>
      </c>
      <c r="Y301" s="132"/>
      <c r="Z301" s="132"/>
      <c r="AC301" s="132"/>
      <c r="AD301" s="132"/>
      <c r="AE301" s="132"/>
      <c r="AF301" s="133"/>
      <c r="AG301" s="133"/>
      <c r="AH301" s="133"/>
    </row>
    <row r="302" spans="1:34" s="7" customFormat="1" x14ac:dyDescent="0.2">
      <c r="A302" s="262" t="s">
        <v>21</v>
      </c>
      <c r="B302" s="262">
        <v>1674</v>
      </c>
      <c r="C302" s="262">
        <v>1</v>
      </c>
      <c r="D302" s="277">
        <v>43705</v>
      </c>
      <c r="E302" s="263">
        <v>2020</v>
      </c>
      <c r="F302" s="263" t="s">
        <v>22</v>
      </c>
      <c r="G302" s="263">
        <v>2</v>
      </c>
      <c r="H302" s="6"/>
      <c r="I302" s="6" t="s">
        <v>166</v>
      </c>
      <c r="J302" s="6"/>
      <c r="K302" s="6"/>
      <c r="L302" s="6"/>
      <c r="M302" s="6"/>
      <c r="N302" s="6"/>
      <c r="O302" s="6"/>
      <c r="P302" s="264">
        <v>4.2</v>
      </c>
      <c r="W302" s="265">
        <f>AVERAGE(P302:P303)</f>
        <v>4.3450000000000006</v>
      </c>
      <c r="AE302" s="130"/>
      <c r="AF302" s="131"/>
      <c r="AG302" s="131"/>
      <c r="AH302" s="131"/>
    </row>
    <row r="303" spans="1:34" s="7" customFormat="1" x14ac:dyDescent="0.2">
      <c r="A303" s="262" t="s">
        <v>21</v>
      </c>
      <c r="B303" s="262">
        <v>1674</v>
      </c>
      <c r="C303" s="262">
        <v>1</v>
      </c>
      <c r="D303" s="277">
        <v>43705</v>
      </c>
      <c r="E303" s="263">
        <v>2020</v>
      </c>
      <c r="F303" s="263" t="s">
        <v>22</v>
      </c>
      <c r="G303" s="263">
        <v>2</v>
      </c>
      <c r="H303" s="6"/>
      <c r="I303" s="6" t="s">
        <v>307</v>
      </c>
      <c r="J303" s="6"/>
      <c r="K303" s="6"/>
      <c r="L303" s="6"/>
      <c r="M303" s="6">
        <v>0</v>
      </c>
      <c r="N303" s="6">
        <v>0</v>
      </c>
      <c r="O303" s="6" t="s">
        <v>30</v>
      </c>
      <c r="P303" s="264">
        <v>4.49</v>
      </c>
      <c r="AE303" s="130"/>
      <c r="AF303" s="131"/>
      <c r="AG303" s="131"/>
      <c r="AH303" s="131"/>
    </row>
    <row r="304" spans="1:34" s="21" customFormat="1" x14ac:dyDescent="0.2">
      <c r="A304" s="21" t="s">
        <v>21</v>
      </c>
      <c r="B304" s="21">
        <v>1674</v>
      </c>
      <c r="C304" s="21">
        <v>1</v>
      </c>
      <c r="D304" s="28">
        <v>43721</v>
      </c>
      <c r="E304" s="23">
        <f t="shared" si="5"/>
        <v>2019</v>
      </c>
      <c r="F304" s="21" t="s">
        <v>246</v>
      </c>
      <c r="G304" s="21">
        <v>1</v>
      </c>
      <c r="P304" s="27">
        <v>1.85</v>
      </c>
      <c r="W304" s="24"/>
      <c r="Y304" s="132"/>
      <c r="Z304" s="132"/>
      <c r="AA304" s="225"/>
      <c r="AB304" s="224"/>
      <c r="AC304" s="132"/>
      <c r="AD304" s="132"/>
      <c r="AE304" s="132"/>
      <c r="AF304" s="133"/>
      <c r="AG304" s="133"/>
      <c r="AH304" s="133"/>
    </row>
    <row r="305" spans="1:34" s="21" customFormat="1" x14ac:dyDescent="0.2">
      <c r="A305" s="21" t="s">
        <v>21</v>
      </c>
      <c r="B305" s="21">
        <v>1674</v>
      </c>
      <c r="C305" s="21">
        <v>1</v>
      </c>
      <c r="D305" s="28">
        <v>43727</v>
      </c>
      <c r="E305" s="23">
        <f t="shared" si="5"/>
        <v>2019</v>
      </c>
      <c r="F305" s="21" t="s">
        <v>246</v>
      </c>
      <c r="G305" s="21">
        <v>1</v>
      </c>
      <c r="P305" s="27">
        <v>1.76</v>
      </c>
      <c r="W305" s="24"/>
      <c r="Y305" s="132"/>
      <c r="Z305" s="132"/>
      <c r="AC305" s="132"/>
      <c r="AD305" s="132"/>
      <c r="AE305" s="132"/>
      <c r="AF305" s="133"/>
      <c r="AG305" s="133"/>
      <c r="AH305" s="133"/>
    </row>
    <row r="306" spans="1:34" s="21" customFormat="1" x14ac:dyDescent="0.2">
      <c r="A306" s="21" t="s">
        <v>21</v>
      </c>
      <c r="B306" s="21">
        <v>1674</v>
      </c>
      <c r="C306" s="21">
        <v>1</v>
      </c>
      <c r="D306" s="28">
        <v>43733</v>
      </c>
      <c r="E306" s="23">
        <f t="shared" si="5"/>
        <v>2019</v>
      </c>
      <c r="F306" s="21" t="s">
        <v>246</v>
      </c>
      <c r="G306" s="21">
        <v>1</v>
      </c>
      <c r="P306" s="27">
        <v>1.79</v>
      </c>
      <c r="W306" s="24"/>
      <c r="Y306" s="132"/>
      <c r="Z306" s="132"/>
      <c r="AA306" s="225"/>
      <c r="AB306" s="224"/>
      <c r="AC306" s="132"/>
      <c r="AD306" s="132"/>
      <c r="AE306" s="132"/>
      <c r="AF306" s="133"/>
      <c r="AG306" s="133"/>
      <c r="AH306" s="133"/>
    </row>
    <row r="307" spans="1:34" s="21" customFormat="1" x14ac:dyDescent="0.2">
      <c r="A307" s="21" t="s">
        <v>21</v>
      </c>
      <c r="B307" s="21">
        <v>1674</v>
      </c>
      <c r="C307" s="21">
        <v>1</v>
      </c>
      <c r="D307" s="28">
        <v>43747</v>
      </c>
      <c r="E307" s="23">
        <f t="shared" si="5"/>
        <v>2019</v>
      </c>
      <c r="F307" s="21" t="s">
        <v>246</v>
      </c>
      <c r="G307" s="21">
        <v>1</v>
      </c>
      <c r="P307" s="27">
        <v>2.57</v>
      </c>
      <c r="W307" s="24"/>
      <c r="Y307" s="132"/>
      <c r="Z307" s="132"/>
      <c r="AC307" s="132"/>
      <c r="AD307" s="132"/>
      <c r="AE307" s="132"/>
      <c r="AF307" s="133"/>
      <c r="AG307" s="133"/>
      <c r="AH307" s="133"/>
    </row>
    <row r="308" spans="1:34" s="21" customFormat="1" x14ac:dyDescent="0.2">
      <c r="A308" s="21" t="s">
        <v>21</v>
      </c>
      <c r="B308" s="21">
        <v>1674</v>
      </c>
      <c r="C308" s="21">
        <v>1</v>
      </c>
      <c r="D308" s="28">
        <v>43759</v>
      </c>
      <c r="E308" s="23">
        <f t="shared" si="5"/>
        <v>2019</v>
      </c>
      <c r="F308" s="21" t="s">
        <v>246</v>
      </c>
      <c r="G308" s="21">
        <v>1</v>
      </c>
      <c r="P308" s="27">
        <v>2.77</v>
      </c>
      <c r="W308" s="24"/>
      <c r="Y308" s="132"/>
      <c r="Z308" s="132"/>
      <c r="AA308" s="225"/>
      <c r="AB308" s="224"/>
      <c r="AC308" s="132"/>
      <c r="AD308" s="132"/>
      <c r="AE308" s="132"/>
      <c r="AF308" s="133"/>
      <c r="AG308" s="133"/>
      <c r="AH308" s="133"/>
    </row>
    <row r="309" spans="1:34" s="10" customFormat="1" x14ac:dyDescent="0.2">
      <c r="A309" s="21" t="s">
        <v>21</v>
      </c>
      <c r="B309" s="21">
        <v>1674</v>
      </c>
      <c r="C309" s="21">
        <v>1</v>
      </c>
      <c r="D309" s="28">
        <v>43771</v>
      </c>
      <c r="E309" s="23">
        <f t="shared" si="5"/>
        <v>2019</v>
      </c>
      <c r="F309" s="21" t="s">
        <v>246</v>
      </c>
      <c r="G309" s="10">
        <v>1</v>
      </c>
      <c r="P309" s="30">
        <v>2.38</v>
      </c>
      <c r="W309" s="17"/>
      <c r="Y309" s="134"/>
      <c r="Z309" s="134"/>
      <c r="AC309" s="134"/>
      <c r="AD309" s="134"/>
      <c r="AE309" s="134"/>
      <c r="AF309" s="135"/>
      <c r="AG309" s="135"/>
      <c r="AH309" s="135"/>
    </row>
    <row r="310" spans="1:34" s="12" customFormat="1" x14ac:dyDescent="0.2">
      <c r="A310" s="21" t="s">
        <v>21</v>
      </c>
      <c r="B310" s="21">
        <v>1674</v>
      </c>
      <c r="C310" s="21">
        <v>1</v>
      </c>
      <c r="D310" s="225">
        <v>43940</v>
      </c>
      <c r="E310" s="226">
        <v>2020</v>
      </c>
      <c r="F310" s="226" t="s">
        <v>246</v>
      </c>
      <c r="G310" s="226">
        <v>1</v>
      </c>
      <c r="P310" s="224">
        <v>2.6</v>
      </c>
      <c r="AA310" s="225"/>
      <c r="AB310" s="224"/>
      <c r="AE310" s="136"/>
      <c r="AF310" s="131"/>
      <c r="AG310" s="131"/>
      <c r="AH310" s="131"/>
    </row>
    <row r="311" spans="1:34" s="7" customFormat="1" x14ac:dyDescent="0.2">
      <c r="A311" s="21" t="s">
        <v>21</v>
      </c>
      <c r="B311" s="21">
        <v>1674</v>
      </c>
      <c r="C311" s="21">
        <v>1</v>
      </c>
      <c r="D311" s="225">
        <v>43958</v>
      </c>
      <c r="E311" s="226">
        <v>2020</v>
      </c>
      <c r="F311" s="226" t="s">
        <v>246</v>
      </c>
      <c r="G311" s="226">
        <v>1</v>
      </c>
      <c r="P311" s="224">
        <v>2.33</v>
      </c>
      <c r="AE311" s="130"/>
      <c r="AF311" s="131"/>
      <c r="AG311" s="131"/>
      <c r="AH311" s="131"/>
    </row>
    <row r="312" spans="1:34" s="7" customFormat="1" x14ac:dyDescent="0.2">
      <c r="A312" s="21" t="s">
        <v>21</v>
      </c>
      <c r="B312" s="21">
        <v>1674</v>
      </c>
      <c r="C312" s="21">
        <v>1</v>
      </c>
      <c r="D312" s="225">
        <v>43971</v>
      </c>
      <c r="E312" s="226">
        <v>2020</v>
      </c>
      <c r="F312" s="226" t="s">
        <v>246</v>
      </c>
      <c r="G312" s="226">
        <v>1</v>
      </c>
      <c r="P312" s="224">
        <v>3.25</v>
      </c>
      <c r="AA312" s="225"/>
      <c r="AB312" s="224"/>
      <c r="AE312" s="130"/>
      <c r="AF312" s="131"/>
      <c r="AG312" s="131"/>
      <c r="AH312" s="131"/>
    </row>
    <row r="313" spans="1:34" s="7" customFormat="1" x14ac:dyDescent="0.2">
      <c r="A313" s="21" t="s">
        <v>21</v>
      </c>
      <c r="B313" s="21">
        <v>1674</v>
      </c>
      <c r="C313" s="21">
        <v>1</v>
      </c>
      <c r="D313" s="225">
        <v>43985</v>
      </c>
      <c r="E313" s="226">
        <v>2020</v>
      </c>
      <c r="F313" s="226" t="s">
        <v>246</v>
      </c>
      <c r="G313" s="226">
        <v>1</v>
      </c>
      <c r="P313" s="224">
        <v>2.72</v>
      </c>
      <c r="AE313" s="130"/>
      <c r="AF313" s="131"/>
      <c r="AG313" s="131"/>
      <c r="AH313" s="131"/>
    </row>
    <row r="314" spans="1:34" s="7" customFormat="1" x14ac:dyDescent="0.2">
      <c r="A314" s="21" t="s">
        <v>21</v>
      </c>
      <c r="B314" s="21">
        <v>1674</v>
      </c>
      <c r="C314" s="21">
        <v>1</v>
      </c>
      <c r="D314" s="225">
        <v>44001</v>
      </c>
      <c r="E314" s="226">
        <v>2020</v>
      </c>
      <c r="F314" s="226" t="s">
        <v>246</v>
      </c>
      <c r="G314" s="226">
        <v>1</v>
      </c>
      <c r="P314" s="224">
        <v>3.35</v>
      </c>
      <c r="AA314" s="225"/>
      <c r="AB314" s="224"/>
      <c r="AE314" s="130"/>
      <c r="AF314" s="131"/>
      <c r="AG314" s="131"/>
      <c r="AH314" s="131"/>
    </row>
    <row r="315" spans="1:34" s="7" customFormat="1" x14ac:dyDescent="0.2">
      <c r="A315" s="21" t="s">
        <v>21</v>
      </c>
      <c r="B315" s="21">
        <v>1674</v>
      </c>
      <c r="C315" s="21">
        <v>1</v>
      </c>
      <c r="D315" s="225">
        <v>44013</v>
      </c>
      <c r="E315" s="226">
        <v>2020</v>
      </c>
      <c r="F315" s="226" t="s">
        <v>246</v>
      </c>
      <c r="G315" s="226">
        <v>1</v>
      </c>
      <c r="P315" s="224">
        <v>3.66</v>
      </c>
      <c r="AE315" s="130"/>
      <c r="AF315" s="131"/>
      <c r="AG315" s="131"/>
      <c r="AH315" s="131"/>
    </row>
    <row r="316" spans="1:34" s="7" customFormat="1" x14ac:dyDescent="0.2">
      <c r="A316" s="21" t="s">
        <v>21</v>
      </c>
      <c r="B316" s="21">
        <v>1674</v>
      </c>
      <c r="C316" s="21">
        <v>1</v>
      </c>
      <c r="D316" s="225">
        <v>44028</v>
      </c>
      <c r="E316" s="226">
        <v>2020</v>
      </c>
      <c r="F316" s="226" t="s">
        <v>246</v>
      </c>
      <c r="G316" s="226">
        <v>1</v>
      </c>
      <c r="P316" s="224">
        <v>4.53</v>
      </c>
      <c r="AA316" s="225"/>
      <c r="AB316" s="224"/>
      <c r="AE316" s="130"/>
      <c r="AF316" s="131"/>
      <c r="AG316" s="131"/>
      <c r="AH316" s="131"/>
    </row>
    <row r="317" spans="1:34" s="7" customFormat="1" x14ac:dyDescent="0.2">
      <c r="A317" s="21" t="s">
        <v>21</v>
      </c>
      <c r="B317" s="21">
        <v>1674</v>
      </c>
      <c r="C317" s="21">
        <v>1</v>
      </c>
      <c r="D317" s="225">
        <v>44041</v>
      </c>
      <c r="E317" s="226">
        <v>2020</v>
      </c>
      <c r="F317" s="226" t="s">
        <v>246</v>
      </c>
      <c r="G317" s="226">
        <v>1</v>
      </c>
      <c r="P317" s="224">
        <v>4.0999999999999996</v>
      </c>
      <c r="AE317" s="130"/>
      <c r="AF317" s="131"/>
      <c r="AG317" s="131"/>
      <c r="AH317" s="131"/>
    </row>
    <row r="318" spans="1:34" s="7" customFormat="1" x14ac:dyDescent="0.2">
      <c r="A318" s="21" t="s">
        <v>21</v>
      </c>
      <c r="B318" s="21">
        <v>1674</v>
      </c>
      <c r="C318" s="21">
        <v>1</v>
      </c>
      <c r="D318" s="225">
        <v>44056</v>
      </c>
      <c r="E318" s="226">
        <v>2020</v>
      </c>
      <c r="F318" s="226" t="s">
        <v>246</v>
      </c>
      <c r="G318" s="226">
        <v>1</v>
      </c>
      <c r="P318" s="224">
        <v>3.9</v>
      </c>
      <c r="AA318" s="225"/>
      <c r="AB318" s="224"/>
      <c r="AE318" s="130"/>
      <c r="AF318" s="131"/>
      <c r="AG318" s="131"/>
      <c r="AH318" s="131"/>
    </row>
    <row r="319" spans="1:34" s="7" customFormat="1" x14ac:dyDescent="0.2">
      <c r="A319" s="21" t="s">
        <v>21</v>
      </c>
      <c r="B319" s="21">
        <v>1674</v>
      </c>
      <c r="C319" s="21">
        <v>1</v>
      </c>
      <c r="D319" s="225">
        <v>44067</v>
      </c>
      <c r="E319" s="226">
        <v>2020</v>
      </c>
      <c r="F319" s="226" t="s">
        <v>246</v>
      </c>
      <c r="G319" s="226">
        <v>1</v>
      </c>
      <c r="P319" s="224">
        <v>3.33</v>
      </c>
      <c r="W319" s="7" t="s">
        <v>306</v>
      </c>
      <c r="AE319" s="130"/>
      <c r="AF319" s="131"/>
      <c r="AG319" s="131"/>
      <c r="AH319" s="131"/>
    </row>
    <row r="320" spans="1:34" s="7" customFormat="1" x14ac:dyDescent="0.2">
      <c r="A320" s="21" t="s">
        <v>21</v>
      </c>
      <c r="B320" s="21">
        <v>1674</v>
      </c>
      <c r="C320" s="21">
        <v>1</v>
      </c>
      <c r="D320" s="225">
        <v>44083</v>
      </c>
      <c r="E320" s="226">
        <v>2020</v>
      </c>
      <c r="F320" s="226" t="s">
        <v>246</v>
      </c>
      <c r="G320" s="226">
        <v>1</v>
      </c>
      <c r="P320" s="224">
        <v>3.07</v>
      </c>
      <c r="AA320" s="225"/>
      <c r="AB320" s="224"/>
      <c r="AE320" s="130"/>
      <c r="AF320" s="131"/>
      <c r="AG320" s="131"/>
      <c r="AH320" s="131"/>
    </row>
    <row r="321" spans="1:34" s="7" customFormat="1" x14ac:dyDescent="0.2">
      <c r="A321" s="21" t="s">
        <v>21</v>
      </c>
      <c r="B321" s="21">
        <v>1674</v>
      </c>
      <c r="C321" s="21">
        <v>1</v>
      </c>
      <c r="D321" s="225">
        <v>44099</v>
      </c>
      <c r="E321" s="226">
        <v>2020</v>
      </c>
      <c r="F321" s="226" t="s">
        <v>246</v>
      </c>
      <c r="G321" s="226">
        <v>1</v>
      </c>
      <c r="P321" s="224">
        <v>2.73</v>
      </c>
      <c r="AE321" s="130"/>
      <c r="AF321" s="131"/>
      <c r="AG321" s="131"/>
      <c r="AH321" s="131"/>
    </row>
    <row r="322" spans="1:34" s="7" customFormat="1" x14ac:dyDescent="0.2">
      <c r="A322" s="21" t="s">
        <v>21</v>
      </c>
      <c r="B322" s="21">
        <v>1674</v>
      </c>
      <c r="C322" s="21">
        <v>1</v>
      </c>
      <c r="D322" s="225">
        <v>44111</v>
      </c>
      <c r="E322" s="226">
        <v>2020</v>
      </c>
      <c r="F322" s="226" t="s">
        <v>246</v>
      </c>
      <c r="G322" s="226">
        <v>1</v>
      </c>
      <c r="P322" s="224">
        <v>2.41</v>
      </c>
      <c r="AA322" s="225"/>
      <c r="AB322" s="224"/>
      <c r="AE322" s="130"/>
      <c r="AF322" s="131"/>
      <c r="AG322" s="131"/>
      <c r="AH322" s="131"/>
    </row>
    <row r="323" spans="1:34" x14ac:dyDescent="0.2">
      <c r="A323" s="21" t="s">
        <v>21</v>
      </c>
      <c r="B323" s="21">
        <v>1674</v>
      </c>
      <c r="C323" s="21">
        <v>1</v>
      </c>
      <c r="D323" s="225">
        <v>44122</v>
      </c>
      <c r="E323" s="226">
        <v>2020</v>
      </c>
      <c r="F323" s="226" t="s">
        <v>246</v>
      </c>
      <c r="G323" s="226">
        <v>1</v>
      </c>
      <c r="P323" s="224">
        <v>2.25</v>
      </c>
    </row>
    <row r="324" spans="1:34" x14ac:dyDescent="0.2">
      <c r="A324" s="21" t="s">
        <v>21</v>
      </c>
      <c r="B324" s="21">
        <v>1674</v>
      </c>
      <c r="C324" s="21">
        <v>1</v>
      </c>
      <c r="D324" s="225">
        <v>44139</v>
      </c>
      <c r="E324" s="226">
        <v>2020</v>
      </c>
      <c r="F324" s="226" t="s">
        <v>246</v>
      </c>
      <c r="G324" s="226">
        <v>1</v>
      </c>
      <c r="P324" s="224">
        <v>2.5299999999999998</v>
      </c>
      <c r="AA324" s="225"/>
      <c r="AB324" s="224"/>
    </row>
    <row r="325" spans="1:34" s="7" customFormat="1" x14ac:dyDescent="0.2">
      <c r="A325" s="21"/>
      <c r="B325" s="21"/>
      <c r="C325" s="21"/>
      <c r="G325" s="226"/>
      <c r="AE325" s="130"/>
      <c r="AF325" s="131"/>
      <c r="AG325" s="131"/>
      <c r="AH325" s="131"/>
    </row>
    <row r="326" spans="1:34" x14ac:dyDescent="0.2">
      <c r="A326" s="21"/>
      <c r="B326" s="21"/>
      <c r="C326" s="21"/>
    </row>
    <row r="327" spans="1:34" x14ac:dyDescent="0.2">
      <c r="A327" s="21"/>
      <c r="B327" s="21"/>
      <c r="C327" s="21"/>
    </row>
    <row r="328" spans="1:34" x14ac:dyDescent="0.2">
      <c r="A328" s="21"/>
      <c r="B328" s="21"/>
      <c r="C328" s="21"/>
    </row>
    <row r="329" spans="1:34" x14ac:dyDescent="0.2">
      <c r="A329" s="21"/>
      <c r="B329" s="21"/>
      <c r="C329" s="21"/>
    </row>
    <row r="330" spans="1:34" x14ac:dyDescent="0.2">
      <c r="A330" s="21"/>
      <c r="B330" s="21"/>
      <c r="C330" s="21"/>
    </row>
    <row r="331" spans="1:34" x14ac:dyDescent="0.2">
      <c r="A331" s="21"/>
      <c r="B331" s="21"/>
      <c r="C331" s="21"/>
    </row>
    <row r="332" spans="1:34" x14ac:dyDescent="0.2">
      <c r="A332" s="21"/>
      <c r="B332" s="21"/>
      <c r="C332" s="21"/>
    </row>
    <row r="333" spans="1:34" x14ac:dyDescent="0.2">
      <c r="A333" s="21"/>
      <c r="B333" s="21"/>
      <c r="C333" s="21"/>
    </row>
    <row r="334" spans="1:34" x14ac:dyDescent="0.2">
      <c r="A334" s="21"/>
      <c r="B334" s="21"/>
      <c r="C334" s="21"/>
    </row>
    <row r="335" spans="1:34" x14ac:dyDescent="0.2">
      <c r="A335" s="21"/>
      <c r="B335" s="21"/>
      <c r="C335" s="21"/>
    </row>
    <row r="336" spans="1:34" x14ac:dyDescent="0.2">
      <c r="A336" s="21"/>
      <c r="B336" s="21"/>
      <c r="C336" s="21"/>
    </row>
    <row r="337" spans="1:34" x14ac:dyDescent="0.2">
      <c r="A337" s="21"/>
      <c r="B337" s="21"/>
      <c r="C337" s="21"/>
    </row>
    <row r="338" spans="1:34" x14ac:dyDescent="0.2">
      <c r="A338" s="21"/>
      <c r="B338" s="21"/>
      <c r="C338" s="21"/>
    </row>
    <row r="339" spans="1:34" s="7" customFormat="1" x14ac:dyDescent="0.2">
      <c r="A339" s="12" t="s">
        <v>21</v>
      </c>
      <c r="B339" s="12">
        <v>1674</v>
      </c>
      <c r="C339" s="12">
        <v>2</v>
      </c>
      <c r="D339" s="13">
        <v>31834</v>
      </c>
      <c r="E339" s="14">
        <f t="shared" ref="E339:E362" si="6">YEAR(D339)</f>
        <v>1987</v>
      </c>
      <c r="F339" s="12" t="s">
        <v>22</v>
      </c>
      <c r="G339" s="12">
        <v>2</v>
      </c>
      <c r="H339" s="12" t="s">
        <v>67</v>
      </c>
      <c r="I339" s="12" t="s">
        <v>24</v>
      </c>
      <c r="J339" s="12" t="s">
        <v>66</v>
      </c>
      <c r="K339" s="12"/>
      <c r="L339" s="12"/>
      <c r="M339" s="12">
        <v>8</v>
      </c>
      <c r="N339" s="12">
        <v>1</v>
      </c>
      <c r="O339" s="12" t="s">
        <v>32</v>
      </c>
      <c r="P339" s="12">
        <v>2.9</v>
      </c>
      <c r="Q339" s="12" t="s">
        <v>26</v>
      </c>
      <c r="R339" s="12" t="s">
        <v>27</v>
      </c>
      <c r="S339" s="12" t="s">
        <v>28</v>
      </c>
      <c r="T339" s="12"/>
      <c r="U339" s="12"/>
      <c r="V339" s="12"/>
      <c r="W339" s="18"/>
      <c r="X339" s="12"/>
      <c r="Y339" s="127"/>
      <c r="Z339" s="127"/>
      <c r="AA339" s="127"/>
      <c r="AB339" s="127"/>
      <c r="AC339" s="136"/>
      <c r="AD339" s="136"/>
      <c r="AE339" s="130"/>
      <c r="AF339" s="131"/>
      <c r="AG339" s="131"/>
      <c r="AH339" s="131"/>
    </row>
    <row r="340" spans="1:34" x14ac:dyDescent="0.2">
      <c r="A340" s="7" t="s">
        <v>21</v>
      </c>
      <c r="B340" s="7">
        <v>1674</v>
      </c>
      <c r="C340" s="7">
        <v>2</v>
      </c>
      <c r="D340" s="8">
        <v>31906</v>
      </c>
      <c r="E340" s="9">
        <f t="shared" si="6"/>
        <v>1987</v>
      </c>
      <c r="F340" s="7" t="s">
        <v>22</v>
      </c>
      <c r="G340" s="7">
        <v>2</v>
      </c>
      <c r="H340" s="7" t="s">
        <v>54</v>
      </c>
      <c r="I340" s="7" t="s">
        <v>24</v>
      </c>
      <c r="J340" s="7" t="s">
        <v>66</v>
      </c>
      <c r="K340" s="7"/>
      <c r="L340" s="7"/>
      <c r="M340" s="7">
        <v>15</v>
      </c>
      <c r="N340" s="7">
        <v>6</v>
      </c>
      <c r="O340" s="7" t="s">
        <v>32</v>
      </c>
      <c r="P340" s="7">
        <v>2.8</v>
      </c>
      <c r="Q340" s="7" t="s">
        <v>26</v>
      </c>
      <c r="R340" s="7" t="s">
        <v>27</v>
      </c>
      <c r="S340" s="7" t="s">
        <v>28</v>
      </c>
      <c r="T340" s="7"/>
      <c r="U340" s="7"/>
      <c r="V340" s="7"/>
      <c r="W340" s="16"/>
      <c r="X340" s="7"/>
      <c r="AC340" s="130"/>
      <c r="AD340" s="130"/>
    </row>
    <row r="341" spans="1:34" x14ac:dyDescent="0.2">
      <c r="A341" s="7" t="s">
        <v>21</v>
      </c>
      <c r="B341" s="7">
        <v>1674</v>
      </c>
      <c r="C341" s="7">
        <v>2</v>
      </c>
      <c r="D341" s="8">
        <v>31925</v>
      </c>
      <c r="E341" s="9">
        <f t="shared" si="6"/>
        <v>1987</v>
      </c>
      <c r="F341" s="7" t="s">
        <v>22</v>
      </c>
      <c r="G341" s="7">
        <v>2</v>
      </c>
      <c r="H341" s="7" t="s">
        <v>69</v>
      </c>
      <c r="I341" s="7" t="s">
        <v>70</v>
      </c>
      <c r="J341" s="7" t="s">
        <v>24</v>
      </c>
      <c r="K341" s="7"/>
      <c r="L341" s="7"/>
      <c r="M341" s="7">
        <v>12</v>
      </c>
      <c r="N341" s="7">
        <v>1</v>
      </c>
      <c r="O341" s="7" t="s">
        <v>32</v>
      </c>
      <c r="P341" s="7">
        <v>4</v>
      </c>
      <c r="Q341" s="7" t="s">
        <v>26</v>
      </c>
      <c r="R341" s="7" t="s">
        <v>27</v>
      </c>
      <c r="S341" s="7" t="s">
        <v>28</v>
      </c>
      <c r="T341" s="7"/>
      <c r="U341" s="7"/>
      <c r="V341" s="7"/>
      <c r="W341" s="16"/>
      <c r="X341" s="7"/>
      <c r="AC341" s="130"/>
      <c r="AD341" s="130"/>
    </row>
    <row r="342" spans="1:34" s="74" customFormat="1" x14ac:dyDescent="0.2">
      <c r="A342" s="7" t="s">
        <v>21</v>
      </c>
      <c r="B342" s="7">
        <v>1674</v>
      </c>
      <c r="C342" s="7">
        <v>2</v>
      </c>
      <c r="D342" s="8">
        <v>31937</v>
      </c>
      <c r="E342" s="9">
        <f t="shared" si="6"/>
        <v>1987</v>
      </c>
      <c r="F342" s="7" t="s">
        <v>22</v>
      </c>
      <c r="G342" s="7">
        <v>2</v>
      </c>
      <c r="H342" s="7" t="s">
        <v>72</v>
      </c>
      <c r="I342" s="7" t="s">
        <v>24</v>
      </c>
      <c r="J342" s="7" t="s">
        <v>66</v>
      </c>
      <c r="K342" s="7"/>
      <c r="L342" s="7"/>
      <c r="M342" s="7">
        <v>5</v>
      </c>
      <c r="N342" s="7">
        <v>2</v>
      </c>
      <c r="O342" s="7" t="s">
        <v>25</v>
      </c>
      <c r="P342" s="7">
        <v>3</v>
      </c>
      <c r="Q342" s="7" t="s">
        <v>26</v>
      </c>
      <c r="R342" s="7" t="s">
        <v>27</v>
      </c>
      <c r="S342" s="7" t="s">
        <v>28</v>
      </c>
      <c r="T342" s="7"/>
      <c r="U342" s="7"/>
      <c r="V342" s="7"/>
      <c r="W342" s="16"/>
      <c r="X342" s="7"/>
      <c r="Y342" s="127"/>
      <c r="Z342" s="127"/>
      <c r="AA342" s="127"/>
      <c r="AB342" s="127"/>
      <c r="AC342" s="130"/>
      <c r="AD342" s="130"/>
      <c r="AE342" s="137"/>
      <c r="AF342" s="138"/>
      <c r="AG342" s="138"/>
      <c r="AH342" s="138"/>
    </row>
    <row r="343" spans="1:34" ht="39" customHeight="1" x14ac:dyDescent="0.2">
      <c r="A343" s="7" t="s">
        <v>21</v>
      </c>
      <c r="B343" s="7">
        <v>1674</v>
      </c>
      <c r="C343" s="7">
        <v>2</v>
      </c>
      <c r="D343" s="8">
        <v>31951</v>
      </c>
      <c r="E343" s="9">
        <f t="shared" si="6"/>
        <v>1987</v>
      </c>
      <c r="F343" s="7" t="s">
        <v>22</v>
      </c>
      <c r="G343" s="7">
        <v>2</v>
      </c>
      <c r="H343" s="7" t="s">
        <v>36</v>
      </c>
      <c r="I343" s="7" t="s">
        <v>24</v>
      </c>
      <c r="J343" s="7" t="s">
        <v>66</v>
      </c>
      <c r="K343" s="7"/>
      <c r="L343" s="7"/>
      <c r="M343" s="7">
        <v>5</v>
      </c>
      <c r="N343" s="7">
        <v>5</v>
      </c>
      <c r="O343" s="7" t="s">
        <v>25</v>
      </c>
      <c r="P343" s="7">
        <v>3.4</v>
      </c>
      <c r="Q343" s="7" t="s">
        <v>26</v>
      </c>
      <c r="R343" s="7" t="s">
        <v>27</v>
      </c>
      <c r="S343" s="7" t="s">
        <v>28</v>
      </c>
      <c r="T343" s="7"/>
      <c r="U343" s="7"/>
      <c r="V343" s="7"/>
      <c r="W343" s="16"/>
      <c r="X343" s="7"/>
      <c r="AC343" s="130"/>
      <c r="AD343" s="130"/>
    </row>
    <row r="344" spans="1:34" x14ac:dyDescent="0.2">
      <c r="A344" s="7" t="s">
        <v>21</v>
      </c>
      <c r="B344" s="7">
        <v>1674</v>
      </c>
      <c r="C344" s="7">
        <v>2</v>
      </c>
      <c r="D344" s="8">
        <v>31971</v>
      </c>
      <c r="E344" s="9">
        <f t="shared" si="6"/>
        <v>1987</v>
      </c>
      <c r="F344" s="7" t="s">
        <v>22</v>
      </c>
      <c r="G344" s="7">
        <v>2</v>
      </c>
      <c r="H344" s="7" t="s">
        <v>74</v>
      </c>
      <c r="I344" s="7" t="s">
        <v>24</v>
      </c>
      <c r="J344" s="7" t="s">
        <v>66</v>
      </c>
      <c r="K344" s="7"/>
      <c r="L344" s="7"/>
      <c r="M344" s="7">
        <v>12</v>
      </c>
      <c r="N344" s="7">
        <v>5</v>
      </c>
      <c r="O344" s="7" t="s">
        <v>30</v>
      </c>
      <c r="P344" s="7">
        <v>3.7</v>
      </c>
      <c r="Q344" s="7" t="s">
        <v>26</v>
      </c>
      <c r="R344" s="7" t="s">
        <v>27</v>
      </c>
      <c r="S344" s="7" t="s">
        <v>28</v>
      </c>
      <c r="T344" s="7"/>
      <c r="U344" s="7"/>
      <c r="V344" s="7"/>
      <c r="W344" s="16"/>
      <c r="X344" s="7"/>
      <c r="AC344" s="130"/>
      <c r="AD344" s="130"/>
    </row>
    <row r="345" spans="1:34" x14ac:dyDescent="0.2">
      <c r="A345" s="7" t="s">
        <v>21</v>
      </c>
      <c r="B345" s="7">
        <v>1674</v>
      </c>
      <c r="C345" s="7">
        <v>2</v>
      </c>
      <c r="D345" s="8">
        <v>31987</v>
      </c>
      <c r="E345" s="9">
        <f t="shared" si="6"/>
        <v>1987</v>
      </c>
      <c r="F345" s="7" t="s">
        <v>22</v>
      </c>
      <c r="G345" s="7">
        <v>2</v>
      </c>
      <c r="H345" s="7" t="s">
        <v>77</v>
      </c>
      <c r="I345" s="7" t="s">
        <v>24</v>
      </c>
      <c r="J345" s="7" t="s">
        <v>51</v>
      </c>
      <c r="K345" s="7"/>
      <c r="L345" s="7"/>
      <c r="M345" s="7">
        <v>7</v>
      </c>
      <c r="N345" s="7">
        <v>1</v>
      </c>
      <c r="O345" s="7" t="s">
        <v>30</v>
      </c>
      <c r="P345" s="7">
        <v>2.4</v>
      </c>
      <c r="Q345" s="7" t="s">
        <v>26</v>
      </c>
      <c r="R345" s="7" t="s">
        <v>27</v>
      </c>
      <c r="S345" s="7" t="s">
        <v>28</v>
      </c>
      <c r="T345" s="7"/>
      <c r="U345" s="7"/>
      <c r="V345" s="7"/>
      <c r="W345" s="16"/>
      <c r="X345" s="7"/>
      <c r="AC345" s="130"/>
      <c r="AD345" s="130"/>
    </row>
    <row r="346" spans="1:34" x14ac:dyDescent="0.2">
      <c r="A346" s="7" t="s">
        <v>21</v>
      </c>
      <c r="B346" s="7">
        <v>1674</v>
      </c>
      <c r="C346" s="7">
        <v>2</v>
      </c>
      <c r="D346" s="8">
        <v>32001</v>
      </c>
      <c r="E346" s="9">
        <f t="shared" si="6"/>
        <v>1987</v>
      </c>
      <c r="F346" s="7" t="s">
        <v>22</v>
      </c>
      <c r="G346" s="7">
        <v>2</v>
      </c>
      <c r="H346" s="7" t="s">
        <v>37</v>
      </c>
      <c r="I346" s="7" t="s">
        <v>24</v>
      </c>
      <c r="J346" s="7" t="s">
        <v>66</v>
      </c>
      <c r="K346" s="7"/>
      <c r="L346" s="7"/>
      <c r="M346" s="7">
        <v>3</v>
      </c>
      <c r="N346" s="7">
        <v>6</v>
      </c>
      <c r="O346" s="7" t="s">
        <v>32</v>
      </c>
      <c r="P346" s="7">
        <v>2</v>
      </c>
      <c r="Q346" s="7" t="s">
        <v>26</v>
      </c>
      <c r="R346" s="7" t="s">
        <v>27</v>
      </c>
      <c r="S346" s="7" t="s">
        <v>28</v>
      </c>
      <c r="T346" s="7"/>
      <c r="U346" s="7"/>
      <c r="V346" s="7"/>
      <c r="W346" s="16"/>
      <c r="X346" s="7"/>
      <c r="AC346" s="130"/>
      <c r="AD346" s="130"/>
    </row>
    <row r="347" spans="1:34" x14ac:dyDescent="0.2">
      <c r="A347" s="7" t="s">
        <v>21</v>
      </c>
      <c r="B347" s="7">
        <v>1674</v>
      </c>
      <c r="C347" s="7">
        <v>2</v>
      </c>
      <c r="D347" s="8">
        <v>32015</v>
      </c>
      <c r="E347" s="9">
        <f t="shared" si="6"/>
        <v>1987</v>
      </c>
      <c r="F347" s="7" t="s">
        <v>22</v>
      </c>
      <c r="G347" s="7">
        <v>2</v>
      </c>
      <c r="H347" s="7" t="s">
        <v>79</v>
      </c>
      <c r="I347" s="7" t="s">
        <v>24</v>
      </c>
      <c r="J347" s="7" t="s">
        <v>66</v>
      </c>
      <c r="K347" s="7"/>
      <c r="L347" s="7"/>
      <c r="M347" s="7">
        <v>15</v>
      </c>
      <c r="N347" s="7">
        <v>8</v>
      </c>
      <c r="O347" s="7" t="s">
        <v>32</v>
      </c>
      <c r="P347" s="7">
        <v>1.7</v>
      </c>
      <c r="Q347" s="7" t="s">
        <v>26</v>
      </c>
      <c r="R347" s="7" t="s">
        <v>27</v>
      </c>
      <c r="S347" s="7" t="s">
        <v>28</v>
      </c>
      <c r="T347" s="7"/>
      <c r="U347" s="7"/>
      <c r="V347" s="7"/>
      <c r="W347" s="16"/>
      <c r="X347" s="7"/>
      <c r="AC347" s="130"/>
      <c r="AD347" s="130"/>
    </row>
    <row r="348" spans="1:34" x14ac:dyDescent="0.2">
      <c r="A348" s="7" t="s">
        <v>21</v>
      </c>
      <c r="B348" s="7">
        <v>1674</v>
      </c>
      <c r="C348" s="7">
        <v>2</v>
      </c>
      <c r="D348" s="8">
        <v>32035</v>
      </c>
      <c r="E348" s="9">
        <f t="shared" si="6"/>
        <v>1987</v>
      </c>
      <c r="F348" s="7" t="s">
        <v>22</v>
      </c>
      <c r="G348" s="7">
        <v>2</v>
      </c>
      <c r="H348" s="7" t="s">
        <v>82</v>
      </c>
      <c r="I348" s="7" t="s">
        <v>66</v>
      </c>
      <c r="J348" s="7" t="s">
        <v>81</v>
      </c>
      <c r="K348" s="7"/>
      <c r="L348" s="7"/>
      <c r="M348" s="7">
        <v>15</v>
      </c>
      <c r="N348" s="7">
        <v>8</v>
      </c>
      <c r="O348" s="7" t="s">
        <v>30</v>
      </c>
      <c r="P348" s="7">
        <v>1.5</v>
      </c>
      <c r="Q348" s="7" t="s">
        <v>26</v>
      </c>
      <c r="R348" s="7" t="s">
        <v>27</v>
      </c>
      <c r="S348" s="7" t="s">
        <v>28</v>
      </c>
      <c r="T348" s="7"/>
      <c r="U348" s="7"/>
      <c r="V348" s="7"/>
      <c r="W348" s="16"/>
      <c r="X348" s="7"/>
      <c r="AC348" s="130"/>
      <c r="AD348" s="130"/>
    </row>
    <row r="349" spans="1:34" x14ac:dyDescent="0.2">
      <c r="A349" s="7" t="s">
        <v>21</v>
      </c>
      <c r="B349" s="7">
        <v>1674</v>
      </c>
      <c r="C349" s="7">
        <v>2</v>
      </c>
      <c r="D349" s="8">
        <v>32048</v>
      </c>
      <c r="E349" s="9">
        <f t="shared" si="6"/>
        <v>1987</v>
      </c>
      <c r="F349" s="7" t="s">
        <v>22</v>
      </c>
      <c r="G349" s="7">
        <v>2</v>
      </c>
      <c r="H349" s="7" t="s">
        <v>74</v>
      </c>
      <c r="I349" s="7" t="s">
        <v>24</v>
      </c>
      <c r="J349" s="7" t="s">
        <v>81</v>
      </c>
      <c r="K349" s="7"/>
      <c r="L349" s="7"/>
      <c r="M349" s="7">
        <v>10</v>
      </c>
      <c r="N349" s="7">
        <v>6</v>
      </c>
      <c r="O349" s="7" t="s">
        <v>25</v>
      </c>
      <c r="P349" s="7">
        <v>1.9</v>
      </c>
      <c r="Q349" s="7" t="s">
        <v>26</v>
      </c>
      <c r="R349" s="7" t="s">
        <v>27</v>
      </c>
      <c r="S349" s="7" t="s">
        <v>28</v>
      </c>
      <c r="T349" s="7"/>
      <c r="U349" s="7"/>
      <c r="V349" s="7"/>
      <c r="W349" s="16"/>
      <c r="X349" s="7"/>
      <c r="AC349" s="130"/>
      <c r="AD349" s="130"/>
    </row>
    <row r="350" spans="1:34" x14ac:dyDescent="0.2">
      <c r="A350" s="7" t="s">
        <v>21</v>
      </c>
      <c r="B350" s="7">
        <v>1674</v>
      </c>
      <c r="C350" s="7">
        <v>2</v>
      </c>
      <c r="D350" s="8">
        <v>32065</v>
      </c>
      <c r="E350" s="9">
        <f t="shared" si="6"/>
        <v>1987</v>
      </c>
      <c r="F350" s="7" t="s">
        <v>22</v>
      </c>
      <c r="G350" s="7">
        <v>2</v>
      </c>
      <c r="H350" s="7" t="s">
        <v>46</v>
      </c>
      <c r="I350" s="7" t="s">
        <v>70</v>
      </c>
      <c r="J350" s="7" t="s">
        <v>24</v>
      </c>
      <c r="K350" s="7"/>
      <c r="L350" s="7"/>
      <c r="M350" s="7">
        <v>9</v>
      </c>
      <c r="N350" s="7">
        <v>8</v>
      </c>
      <c r="O350" s="7" t="s">
        <v>30</v>
      </c>
      <c r="P350" s="7">
        <v>2.1</v>
      </c>
      <c r="Q350" s="7" t="s">
        <v>26</v>
      </c>
      <c r="R350" s="7" t="s">
        <v>27</v>
      </c>
      <c r="S350" s="7" t="s">
        <v>28</v>
      </c>
      <c r="T350" s="7"/>
      <c r="U350" s="7"/>
      <c r="V350" s="7"/>
      <c r="W350" s="16"/>
      <c r="X350" s="7"/>
      <c r="AC350" s="130"/>
      <c r="AD350" s="130"/>
    </row>
    <row r="351" spans="1:34" x14ac:dyDescent="0.2">
      <c r="A351" s="7" t="s">
        <v>21</v>
      </c>
      <c r="B351" s="7">
        <v>1674</v>
      </c>
      <c r="C351" s="7">
        <v>2</v>
      </c>
      <c r="D351" s="8">
        <v>33829</v>
      </c>
      <c r="E351" s="9">
        <f t="shared" si="6"/>
        <v>1992</v>
      </c>
      <c r="F351" s="7" t="s">
        <v>22</v>
      </c>
      <c r="G351" s="7">
        <v>2</v>
      </c>
      <c r="H351" s="7" t="s">
        <v>131</v>
      </c>
      <c r="I351" s="7" t="s">
        <v>129</v>
      </c>
      <c r="J351" s="7" t="s">
        <v>96</v>
      </c>
      <c r="K351" s="7"/>
      <c r="L351" s="7"/>
      <c r="M351" s="7"/>
      <c r="N351" s="7"/>
      <c r="O351" s="7" t="s">
        <v>30</v>
      </c>
      <c r="P351" s="7">
        <v>2.5</v>
      </c>
      <c r="Q351" s="7" t="s">
        <v>26</v>
      </c>
      <c r="R351" s="7" t="s">
        <v>27</v>
      </c>
      <c r="S351" s="7" t="s">
        <v>28</v>
      </c>
      <c r="T351" s="7"/>
      <c r="U351" s="7"/>
      <c r="V351" s="7"/>
      <c r="W351" s="16"/>
      <c r="X351" s="7"/>
      <c r="AC351" s="130"/>
      <c r="AD351" s="130"/>
    </row>
    <row r="352" spans="1:34" x14ac:dyDescent="0.2">
      <c r="A352" s="6" t="s">
        <v>21</v>
      </c>
      <c r="B352" s="6">
        <v>1674</v>
      </c>
      <c r="C352" s="6">
        <v>2</v>
      </c>
      <c r="D352" s="4">
        <v>38913</v>
      </c>
      <c r="E352" s="5">
        <f t="shared" si="6"/>
        <v>2006</v>
      </c>
      <c r="F352" s="6" t="s">
        <v>22</v>
      </c>
      <c r="G352" s="6">
        <v>2</v>
      </c>
      <c r="H352" s="6" t="s">
        <v>113</v>
      </c>
      <c r="I352" s="6" t="s">
        <v>86</v>
      </c>
      <c r="J352" s="6"/>
      <c r="K352" s="6"/>
      <c r="L352" s="6"/>
      <c r="M352" s="6">
        <v>3</v>
      </c>
      <c r="N352" s="6">
        <v>4</v>
      </c>
      <c r="O352" s="6" t="s">
        <v>30</v>
      </c>
      <c r="P352" s="6">
        <v>2.31</v>
      </c>
      <c r="Q352" t="s">
        <v>26</v>
      </c>
      <c r="R352" t="s">
        <v>140</v>
      </c>
      <c r="S352" t="s">
        <v>28</v>
      </c>
      <c r="T352" t="s">
        <v>150</v>
      </c>
    </row>
    <row r="353" spans="1:34" x14ac:dyDescent="0.2">
      <c r="A353" s="6" t="s">
        <v>21</v>
      </c>
      <c r="B353" s="6">
        <v>1674</v>
      </c>
      <c r="C353" s="6">
        <v>2</v>
      </c>
      <c r="D353" s="4">
        <v>38913</v>
      </c>
      <c r="E353" s="5">
        <f t="shared" si="6"/>
        <v>2006</v>
      </c>
      <c r="F353" s="6" t="s">
        <v>22</v>
      </c>
      <c r="G353" s="6">
        <v>2</v>
      </c>
      <c r="H353" s="6" t="s">
        <v>113</v>
      </c>
      <c r="I353" s="6" t="s">
        <v>86</v>
      </c>
      <c r="J353" s="6"/>
      <c r="K353" s="6"/>
      <c r="L353" s="6"/>
      <c r="M353" s="6">
        <v>3</v>
      </c>
      <c r="N353" s="6">
        <v>4</v>
      </c>
      <c r="O353" s="6" t="s">
        <v>30</v>
      </c>
      <c r="P353" s="6">
        <v>2.29</v>
      </c>
      <c r="Q353" t="s">
        <v>26</v>
      </c>
      <c r="R353" t="s">
        <v>140</v>
      </c>
      <c r="S353" t="s">
        <v>27</v>
      </c>
      <c r="T353" t="s">
        <v>150</v>
      </c>
      <c r="W353" s="15">
        <f>AVERAGE(P352:P353)</f>
        <v>2.2999999999999998</v>
      </c>
    </row>
    <row r="354" spans="1:34" x14ac:dyDescent="0.2">
      <c r="A354" s="6" t="s">
        <v>21</v>
      </c>
      <c r="B354" s="6">
        <v>1674</v>
      </c>
      <c r="C354" s="6">
        <v>2</v>
      </c>
      <c r="D354" s="4">
        <v>43284</v>
      </c>
      <c r="E354" s="5">
        <f t="shared" si="6"/>
        <v>2018</v>
      </c>
      <c r="F354" s="6" t="s">
        <v>22</v>
      </c>
      <c r="G354" s="6">
        <v>3</v>
      </c>
      <c r="H354" s="6" t="s">
        <v>183</v>
      </c>
      <c r="I354" s="6" t="s">
        <v>173</v>
      </c>
      <c r="J354" s="6" t="s">
        <v>174</v>
      </c>
      <c r="K354" s="6"/>
      <c r="L354" s="6"/>
      <c r="M354" s="6">
        <v>4</v>
      </c>
      <c r="N354" s="6">
        <v>7</v>
      </c>
      <c r="O354" s="6" t="s">
        <v>32</v>
      </c>
      <c r="P354" s="6">
        <v>3.05</v>
      </c>
      <c r="Q354" t="s">
        <v>26</v>
      </c>
      <c r="R354" t="s">
        <v>140</v>
      </c>
      <c r="S354" t="s">
        <v>28</v>
      </c>
      <c r="T354" t="s">
        <v>177</v>
      </c>
      <c r="U354">
        <v>9</v>
      </c>
      <c r="AD354" s="127">
        <f>COUNTA(P339:P365)</f>
        <v>27</v>
      </c>
    </row>
    <row r="355" spans="1:34" s="177" customFormat="1" x14ac:dyDescent="0.2">
      <c r="A355" s="6" t="s">
        <v>21</v>
      </c>
      <c r="B355" s="6">
        <v>1674</v>
      </c>
      <c r="C355" s="6">
        <v>2</v>
      </c>
      <c r="D355" s="4">
        <v>43284</v>
      </c>
      <c r="E355" s="5">
        <f t="shared" si="6"/>
        <v>2018</v>
      </c>
      <c r="F355" s="6" t="s">
        <v>22</v>
      </c>
      <c r="G355" s="6">
        <v>3</v>
      </c>
      <c r="H355" s="6" t="s">
        <v>183</v>
      </c>
      <c r="I355" s="6" t="s">
        <v>173</v>
      </c>
      <c r="J355" s="6" t="s">
        <v>174</v>
      </c>
      <c r="K355" s="6"/>
      <c r="L355" s="6"/>
      <c r="M355" s="6">
        <v>4</v>
      </c>
      <c r="N355" s="6">
        <v>7</v>
      </c>
      <c r="O355" s="6" t="s">
        <v>32</v>
      </c>
      <c r="P355" s="6">
        <v>3.07</v>
      </c>
      <c r="Q355" t="s">
        <v>26</v>
      </c>
      <c r="R355" t="s">
        <v>140</v>
      </c>
      <c r="S355" t="s">
        <v>27</v>
      </c>
      <c r="T355" t="s">
        <v>177</v>
      </c>
      <c r="U355">
        <v>9</v>
      </c>
      <c r="V355"/>
      <c r="W355" s="15">
        <f>AVERAGE(P354:P355)</f>
        <v>3.0599999999999996</v>
      </c>
      <c r="X355"/>
      <c r="Y355" s="127"/>
      <c r="Z355" s="127"/>
      <c r="AA355" s="127"/>
      <c r="AB355" s="127"/>
      <c r="AC355" s="127"/>
      <c r="AD355" s="127"/>
      <c r="AE355" s="127"/>
      <c r="AF355" s="129"/>
      <c r="AG355" s="129"/>
      <c r="AH355" s="129"/>
    </row>
    <row r="356" spans="1:34" x14ac:dyDescent="0.2">
      <c r="A356" s="7" t="s">
        <v>21</v>
      </c>
      <c r="B356" s="7">
        <v>1674</v>
      </c>
      <c r="C356" s="7">
        <v>2</v>
      </c>
      <c r="D356" s="8">
        <v>43297</v>
      </c>
      <c r="E356" s="9">
        <f t="shared" si="6"/>
        <v>2018</v>
      </c>
      <c r="F356" s="7" t="s">
        <v>22</v>
      </c>
      <c r="G356" s="7">
        <v>3</v>
      </c>
      <c r="H356" s="7" t="s">
        <v>184</v>
      </c>
      <c r="I356" s="7" t="s">
        <v>173</v>
      </c>
      <c r="J356" s="7" t="s">
        <v>174</v>
      </c>
      <c r="K356" s="7"/>
      <c r="L356" s="7"/>
      <c r="M356" s="7">
        <v>0</v>
      </c>
      <c r="N356" s="7">
        <v>0</v>
      </c>
      <c r="O356" s="7" t="s">
        <v>30</v>
      </c>
      <c r="P356" s="7">
        <v>4.54</v>
      </c>
      <c r="Q356" s="7" t="s">
        <v>26</v>
      </c>
      <c r="R356" s="7" t="s">
        <v>140</v>
      </c>
      <c r="S356" s="7" t="s">
        <v>28</v>
      </c>
      <c r="T356" s="7" t="s">
        <v>175</v>
      </c>
      <c r="U356" s="7">
        <v>9</v>
      </c>
      <c r="V356" s="7"/>
      <c r="W356" s="16"/>
      <c r="X356" s="7"/>
      <c r="AC356" s="130"/>
      <c r="AD356" s="130"/>
    </row>
    <row r="357" spans="1:34" x14ac:dyDescent="0.2">
      <c r="A357" s="7" t="s">
        <v>21</v>
      </c>
      <c r="B357" s="7">
        <v>1674</v>
      </c>
      <c r="C357" s="7">
        <v>2</v>
      </c>
      <c r="D357" s="8">
        <v>43313</v>
      </c>
      <c r="E357" s="9">
        <f t="shared" si="6"/>
        <v>2018</v>
      </c>
      <c r="F357" s="7" t="s">
        <v>22</v>
      </c>
      <c r="G357" s="7">
        <v>3</v>
      </c>
      <c r="H357" s="7" t="s">
        <v>185</v>
      </c>
      <c r="I357" s="7" t="s">
        <v>173</v>
      </c>
      <c r="J357" s="7" t="s">
        <v>174</v>
      </c>
      <c r="K357" s="7"/>
      <c r="L357" s="7"/>
      <c r="M357" s="7">
        <v>2</v>
      </c>
      <c r="N357" s="7">
        <v>5</v>
      </c>
      <c r="O357" s="7" t="s">
        <v>30</v>
      </c>
      <c r="P357" s="7">
        <v>4.74</v>
      </c>
      <c r="Q357" s="7" t="s">
        <v>26</v>
      </c>
      <c r="R357" s="7" t="s">
        <v>140</v>
      </c>
      <c r="S357" s="7" t="s">
        <v>28</v>
      </c>
      <c r="T357" s="7" t="s">
        <v>177</v>
      </c>
      <c r="U357" s="7">
        <v>9</v>
      </c>
      <c r="V357" s="7"/>
      <c r="W357" s="16"/>
      <c r="X357" s="7"/>
      <c r="AC357" s="130"/>
      <c r="AD357" s="130"/>
    </row>
    <row r="358" spans="1:34" x14ac:dyDescent="0.2">
      <c r="A358" s="7" t="s">
        <v>21</v>
      </c>
      <c r="B358" s="7">
        <v>1674</v>
      </c>
      <c r="C358" s="7">
        <v>2</v>
      </c>
      <c r="D358" s="8">
        <v>43325</v>
      </c>
      <c r="E358" s="9">
        <f t="shared" si="6"/>
        <v>2018</v>
      </c>
      <c r="F358" s="7" t="s">
        <v>22</v>
      </c>
      <c r="G358" s="7">
        <v>3</v>
      </c>
      <c r="H358" s="7" t="s">
        <v>186</v>
      </c>
      <c r="I358" s="7" t="s">
        <v>173</v>
      </c>
      <c r="J358" s="7" t="s">
        <v>174</v>
      </c>
      <c r="K358" s="7"/>
      <c r="L358" s="7"/>
      <c r="M358" s="7">
        <v>0</v>
      </c>
      <c r="N358" s="7">
        <v>0</v>
      </c>
      <c r="O358" s="7" t="s">
        <v>30</v>
      </c>
      <c r="P358" s="7">
        <v>3.43</v>
      </c>
      <c r="Q358" s="7" t="s">
        <v>26</v>
      </c>
      <c r="R358" s="7" t="s">
        <v>140</v>
      </c>
      <c r="S358" s="7" t="s">
        <v>28</v>
      </c>
      <c r="T358" s="7" t="s">
        <v>175</v>
      </c>
      <c r="U358" s="7">
        <v>9</v>
      </c>
      <c r="V358" s="7"/>
      <c r="W358" s="16"/>
      <c r="X358" s="7"/>
      <c r="AC358" s="130"/>
      <c r="AD358" s="130"/>
    </row>
    <row r="359" spans="1:34" x14ac:dyDescent="0.2">
      <c r="A359" s="7" t="s">
        <v>21</v>
      </c>
      <c r="B359" s="7">
        <v>1674</v>
      </c>
      <c r="C359" s="7">
        <v>2</v>
      </c>
      <c r="D359" s="8">
        <v>43341</v>
      </c>
      <c r="E359" s="9">
        <f t="shared" si="6"/>
        <v>2018</v>
      </c>
      <c r="F359" s="7" t="s">
        <v>22</v>
      </c>
      <c r="G359" s="7">
        <v>3</v>
      </c>
      <c r="H359" s="7" t="s">
        <v>187</v>
      </c>
      <c r="I359" s="7" t="s">
        <v>173</v>
      </c>
      <c r="J359" s="7" t="s">
        <v>174</v>
      </c>
      <c r="K359" s="7"/>
      <c r="L359" s="7"/>
      <c r="M359" s="7">
        <v>0</v>
      </c>
      <c r="N359" s="7">
        <v>0</v>
      </c>
      <c r="O359" s="7" t="s">
        <v>30</v>
      </c>
      <c r="P359" s="7">
        <v>3.13</v>
      </c>
      <c r="Q359" s="7" t="s">
        <v>26</v>
      </c>
      <c r="R359" s="7" t="s">
        <v>140</v>
      </c>
      <c r="S359" s="7" t="s">
        <v>28</v>
      </c>
      <c r="T359" s="7" t="s">
        <v>175</v>
      </c>
      <c r="U359" s="7">
        <v>9</v>
      </c>
      <c r="V359" s="7"/>
      <c r="W359" s="16"/>
      <c r="X359" s="7"/>
      <c r="AC359" s="130"/>
      <c r="AD359" s="130"/>
    </row>
    <row r="360" spans="1:34" x14ac:dyDescent="0.2">
      <c r="A360" s="6" t="s">
        <v>21</v>
      </c>
      <c r="B360" s="6">
        <v>1674</v>
      </c>
      <c r="C360" s="6">
        <v>2</v>
      </c>
      <c r="D360" s="4">
        <v>43357</v>
      </c>
      <c r="E360" s="5">
        <f t="shared" si="6"/>
        <v>2018</v>
      </c>
      <c r="F360" s="6" t="s">
        <v>22</v>
      </c>
      <c r="G360" s="6">
        <v>3</v>
      </c>
      <c r="H360" s="6" t="s">
        <v>188</v>
      </c>
      <c r="I360" s="6" t="s">
        <v>173</v>
      </c>
      <c r="J360" s="6" t="s">
        <v>174</v>
      </c>
      <c r="K360" s="6"/>
      <c r="L360" s="6"/>
      <c r="M360" s="6">
        <v>2</v>
      </c>
      <c r="N360" s="6">
        <v>4</v>
      </c>
      <c r="O360" s="6" t="s">
        <v>30</v>
      </c>
      <c r="P360" s="6">
        <v>3.03</v>
      </c>
      <c r="Q360" t="s">
        <v>26</v>
      </c>
      <c r="R360" t="s">
        <v>140</v>
      </c>
      <c r="S360" t="s">
        <v>28</v>
      </c>
      <c r="T360" t="s">
        <v>177</v>
      </c>
      <c r="U360">
        <v>9</v>
      </c>
    </row>
    <row r="361" spans="1:34" x14ac:dyDescent="0.2">
      <c r="A361" s="6" t="s">
        <v>21</v>
      </c>
      <c r="B361" s="6">
        <v>1674</v>
      </c>
      <c r="C361" s="6">
        <v>2</v>
      </c>
      <c r="D361" s="4">
        <v>43357</v>
      </c>
      <c r="E361" s="5">
        <f t="shared" si="6"/>
        <v>2018</v>
      </c>
      <c r="F361" s="6" t="s">
        <v>22</v>
      </c>
      <c r="G361" s="6">
        <v>3</v>
      </c>
      <c r="H361" s="6" t="s">
        <v>188</v>
      </c>
      <c r="I361" s="6" t="s">
        <v>173</v>
      </c>
      <c r="J361" s="6" t="s">
        <v>174</v>
      </c>
      <c r="K361" s="6"/>
      <c r="L361" s="6"/>
      <c r="M361" s="6">
        <v>2</v>
      </c>
      <c r="N361" s="6">
        <v>4</v>
      </c>
      <c r="O361" s="6" t="s">
        <v>30</v>
      </c>
      <c r="P361" s="6">
        <v>3.13</v>
      </c>
      <c r="Q361" s="7" t="s">
        <v>26</v>
      </c>
      <c r="R361" s="7" t="s">
        <v>140</v>
      </c>
      <c r="S361" s="7" t="s">
        <v>28</v>
      </c>
      <c r="T361" s="7" t="s">
        <v>175</v>
      </c>
      <c r="U361" s="7">
        <v>9</v>
      </c>
      <c r="V361" s="7"/>
      <c r="W361" s="15">
        <f>AVERAGE(P360:P361)</f>
        <v>3.08</v>
      </c>
      <c r="X361" s="7"/>
      <c r="AC361" s="130"/>
      <c r="AD361" s="130"/>
    </row>
    <row r="362" spans="1:34" x14ac:dyDescent="0.2">
      <c r="A362" s="7" t="s">
        <v>21</v>
      </c>
      <c r="B362" s="7">
        <v>1674</v>
      </c>
      <c r="C362" s="7">
        <v>2</v>
      </c>
      <c r="D362" s="8">
        <v>43381</v>
      </c>
      <c r="E362" s="9">
        <f t="shared" si="6"/>
        <v>2018</v>
      </c>
      <c r="F362" s="7" t="s">
        <v>22</v>
      </c>
      <c r="G362" s="7">
        <v>3</v>
      </c>
      <c r="H362" s="7" t="s">
        <v>124</v>
      </c>
      <c r="I362" s="7" t="s">
        <v>173</v>
      </c>
      <c r="J362" s="7" t="s">
        <v>174</v>
      </c>
      <c r="K362" s="7"/>
      <c r="L362" s="7"/>
      <c r="M362" s="7">
        <v>0</v>
      </c>
      <c r="N362" s="7">
        <v>0</v>
      </c>
      <c r="O362" s="7" t="s">
        <v>30</v>
      </c>
      <c r="P362" s="7">
        <v>2.73</v>
      </c>
      <c r="Q362" s="7" t="s">
        <v>26</v>
      </c>
      <c r="R362" s="7" t="s">
        <v>140</v>
      </c>
      <c r="S362" s="7" t="s">
        <v>28</v>
      </c>
      <c r="T362" s="7" t="s">
        <v>175</v>
      </c>
      <c r="U362" s="7">
        <v>9</v>
      </c>
      <c r="V362" s="7"/>
      <c r="W362" s="16"/>
      <c r="X362" s="7"/>
      <c r="AC362" s="130"/>
      <c r="AD362" s="130"/>
    </row>
    <row r="363" spans="1:34" x14ac:dyDescent="0.2">
      <c r="A363" s="21" t="s">
        <v>21</v>
      </c>
      <c r="B363" s="21">
        <v>1674</v>
      </c>
      <c r="C363" s="21">
        <v>2</v>
      </c>
      <c r="D363" s="261">
        <v>43598</v>
      </c>
      <c r="E363" s="23">
        <f>YEAR(D363)</f>
        <v>2019</v>
      </c>
      <c r="F363" s="21" t="s">
        <v>246</v>
      </c>
      <c r="G363" s="32"/>
      <c r="H363" s="32"/>
      <c r="I363" s="32"/>
      <c r="J363" s="32"/>
      <c r="K363" s="32"/>
      <c r="L363" s="32"/>
      <c r="M363" s="32"/>
      <c r="N363" s="32"/>
      <c r="O363" s="32"/>
      <c r="P363" s="32">
        <v>2.56</v>
      </c>
    </row>
    <row r="364" spans="1:34" x14ac:dyDescent="0.2">
      <c r="A364" s="21" t="s">
        <v>21</v>
      </c>
      <c r="B364" s="21">
        <v>1674</v>
      </c>
      <c r="C364" s="21">
        <v>2</v>
      </c>
      <c r="D364" s="261">
        <v>43610</v>
      </c>
      <c r="E364" s="23">
        <f>YEAR(D364)</f>
        <v>2019</v>
      </c>
      <c r="F364" s="21" t="s">
        <v>246</v>
      </c>
      <c r="G364" s="32"/>
      <c r="H364" s="32"/>
      <c r="I364" s="32"/>
      <c r="J364" s="32"/>
      <c r="K364" s="32"/>
      <c r="L364" s="32"/>
      <c r="M364" s="32"/>
      <c r="N364" s="32"/>
      <c r="O364" s="32"/>
      <c r="P364" s="32">
        <v>3.45</v>
      </c>
    </row>
    <row r="365" spans="1:34" x14ac:dyDescent="0.2">
      <c r="A365" s="21" t="s">
        <v>21</v>
      </c>
      <c r="B365" s="21">
        <v>1674</v>
      </c>
      <c r="C365" s="21">
        <v>2</v>
      </c>
      <c r="D365" s="261">
        <v>43622</v>
      </c>
      <c r="E365" s="23">
        <f>YEAR(D365)</f>
        <v>2019</v>
      </c>
      <c r="F365" s="21" t="s">
        <v>246</v>
      </c>
      <c r="G365" s="32"/>
      <c r="H365" s="32"/>
      <c r="I365" s="32"/>
      <c r="J365" s="32"/>
      <c r="K365" s="32"/>
      <c r="L365" s="32"/>
      <c r="M365" s="32"/>
      <c r="N365" s="32"/>
      <c r="O365" s="32"/>
      <c r="P365" s="32">
        <v>3.65</v>
      </c>
      <c r="Q365" s="74"/>
      <c r="R365" s="74"/>
      <c r="S365" s="74"/>
      <c r="T365" s="74"/>
      <c r="U365" s="74"/>
      <c r="V365" s="74"/>
      <c r="W365" s="104"/>
      <c r="X365" s="74"/>
      <c r="Y365" s="137"/>
      <c r="Z365" s="137"/>
      <c r="AA365" s="137"/>
      <c r="AB365" s="137"/>
      <c r="AC365" s="137"/>
      <c r="AD365" s="137"/>
    </row>
    <row r="366" spans="1:34" x14ac:dyDescent="0.2">
      <c r="A366" s="21" t="s">
        <v>21</v>
      </c>
      <c r="B366" s="21">
        <v>1674</v>
      </c>
      <c r="C366" s="21">
        <v>3</v>
      </c>
      <c r="D366" s="73">
        <v>43637</v>
      </c>
      <c r="E366" s="23">
        <f t="shared" ref="E366:E377" si="7">YEAR(D366)</f>
        <v>2019</v>
      </c>
      <c r="F366" s="21" t="s">
        <v>246</v>
      </c>
      <c r="G366" s="32"/>
      <c r="H366" s="32"/>
      <c r="I366" s="32"/>
      <c r="J366" s="32"/>
      <c r="K366" s="32"/>
      <c r="L366" s="32"/>
      <c r="M366" s="32"/>
      <c r="N366" s="32"/>
      <c r="O366" s="32"/>
      <c r="P366" s="31">
        <v>4.25</v>
      </c>
    </row>
    <row r="367" spans="1:34" x14ac:dyDescent="0.2">
      <c r="A367" s="21" t="s">
        <v>21</v>
      </c>
      <c r="B367" s="21">
        <v>1674</v>
      </c>
      <c r="C367" s="21">
        <v>3</v>
      </c>
      <c r="D367" s="261">
        <v>43651</v>
      </c>
      <c r="E367" s="23">
        <f t="shared" si="7"/>
        <v>2019</v>
      </c>
      <c r="F367" s="21" t="s">
        <v>246</v>
      </c>
      <c r="G367" s="32"/>
      <c r="H367" s="32"/>
      <c r="I367" s="32"/>
      <c r="J367" s="32"/>
      <c r="K367" s="32"/>
      <c r="L367" s="32"/>
      <c r="M367" s="32"/>
      <c r="N367" s="32"/>
      <c r="O367" s="32"/>
      <c r="P367" s="31">
        <v>3.46</v>
      </c>
    </row>
    <row r="368" spans="1:34" x14ac:dyDescent="0.2">
      <c r="A368" s="21" t="s">
        <v>21</v>
      </c>
      <c r="B368" s="21">
        <v>1674</v>
      </c>
      <c r="C368" s="21">
        <v>3</v>
      </c>
      <c r="D368" s="73">
        <v>43664</v>
      </c>
      <c r="E368" s="23">
        <f t="shared" si="7"/>
        <v>2019</v>
      </c>
      <c r="F368" s="21" t="s">
        <v>246</v>
      </c>
      <c r="G368" s="32"/>
      <c r="H368" s="32"/>
      <c r="I368" s="32"/>
      <c r="J368" s="32"/>
      <c r="K368" s="32"/>
      <c r="L368" s="32"/>
      <c r="M368" s="32"/>
      <c r="N368" s="32"/>
      <c r="O368" s="32"/>
      <c r="P368" s="31">
        <v>3.83</v>
      </c>
      <c r="AD368" s="127">
        <f>COUNTA(P366:P377)</f>
        <v>12</v>
      </c>
    </row>
    <row r="369" spans="1:17" x14ac:dyDescent="0.2">
      <c r="A369" s="21" t="s">
        <v>21</v>
      </c>
      <c r="B369" s="21">
        <v>1674</v>
      </c>
      <c r="C369" s="21">
        <v>3</v>
      </c>
      <c r="D369" s="73">
        <v>43678</v>
      </c>
      <c r="E369" s="23">
        <f t="shared" si="7"/>
        <v>2019</v>
      </c>
      <c r="F369" s="21" t="s">
        <v>246</v>
      </c>
      <c r="G369" s="32"/>
      <c r="H369" s="32"/>
      <c r="I369" s="32"/>
      <c r="J369" s="32"/>
      <c r="K369" s="32"/>
      <c r="L369" s="32"/>
      <c r="M369" s="32"/>
      <c r="N369" s="32"/>
      <c r="O369" s="32"/>
      <c r="P369" s="31">
        <v>4.28</v>
      </c>
    </row>
    <row r="370" spans="1:17" x14ac:dyDescent="0.2">
      <c r="A370" s="21" t="s">
        <v>21</v>
      </c>
      <c r="B370" s="21">
        <v>1674</v>
      </c>
      <c r="C370" s="21">
        <v>3</v>
      </c>
      <c r="D370" s="73">
        <v>43691</v>
      </c>
      <c r="E370" s="23">
        <f t="shared" si="7"/>
        <v>2019</v>
      </c>
      <c r="F370" s="21" t="s">
        <v>246</v>
      </c>
      <c r="G370" s="32"/>
      <c r="H370" s="32"/>
      <c r="I370" s="32"/>
      <c r="J370" s="32"/>
      <c r="K370" s="32"/>
      <c r="L370" s="32"/>
      <c r="M370" s="32"/>
      <c r="N370" s="32"/>
      <c r="O370" s="32"/>
      <c r="P370" s="27">
        <v>2.3199999999999998</v>
      </c>
      <c r="Q370" s="7"/>
    </row>
    <row r="371" spans="1:17" x14ac:dyDescent="0.2">
      <c r="A371" s="21" t="s">
        <v>21</v>
      </c>
      <c r="B371" s="21">
        <v>1674</v>
      </c>
      <c r="C371" s="21">
        <v>3</v>
      </c>
      <c r="D371" s="261">
        <v>43705</v>
      </c>
      <c r="E371" s="23">
        <f t="shared" si="7"/>
        <v>2019</v>
      </c>
      <c r="F371" s="21" t="s">
        <v>246</v>
      </c>
      <c r="G371" s="32"/>
      <c r="H371" s="32"/>
      <c r="I371" s="32"/>
      <c r="J371" s="32"/>
      <c r="K371" s="32"/>
      <c r="L371" s="32"/>
      <c r="M371" s="32"/>
      <c r="N371" s="32"/>
      <c r="O371" s="32"/>
      <c r="P371" s="27">
        <v>3.28</v>
      </c>
      <c r="Q371" s="7"/>
    </row>
    <row r="372" spans="1:17" x14ac:dyDescent="0.2">
      <c r="A372" s="21" t="s">
        <v>21</v>
      </c>
      <c r="B372" s="21">
        <v>1674</v>
      </c>
      <c r="C372" s="21">
        <v>3</v>
      </c>
      <c r="D372" s="73">
        <v>43721</v>
      </c>
      <c r="E372" s="23">
        <f t="shared" si="7"/>
        <v>2019</v>
      </c>
      <c r="F372" s="21" t="s">
        <v>246</v>
      </c>
      <c r="G372" s="32"/>
      <c r="H372" s="32"/>
      <c r="I372" s="32"/>
      <c r="J372" s="32"/>
      <c r="K372" s="32"/>
      <c r="L372" s="32"/>
      <c r="M372" s="32"/>
      <c r="N372" s="32"/>
      <c r="O372" s="32"/>
      <c r="P372" s="27">
        <v>1.88</v>
      </c>
      <c r="Q372" s="7"/>
    </row>
    <row r="373" spans="1:17" x14ac:dyDescent="0.2">
      <c r="A373" s="21" t="s">
        <v>21</v>
      </c>
      <c r="B373" s="21">
        <v>1674</v>
      </c>
      <c r="C373" s="21">
        <v>3</v>
      </c>
      <c r="D373" s="73">
        <v>43727</v>
      </c>
      <c r="E373" s="23">
        <f t="shared" si="7"/>
        <v>2019</v>
      </c>
      <c r="F373" s="21" t="s">
        <v>246</v>
      </c>
      <c r="G373" s="32"/>
      <c r="H373" s="32"/>
      <c r="I373" s="32"/>
      <c r="J373" s="32"/>
      <c r="K373" s="32"/>
      <c r="L373" s="32"/>
      <c r="M373" s="32"/>
      <c r="N373" s="32"/>
      <c r="O373" s="32"/>
      <c r="P373" s="27">
        <v>1.79</v>
      </c>
      <c r="Q373" s="7"/>
    </row>
    <row r="374" spans="1:17" x14ac:dyDescent="0.2">
      <c r="A374" s="21" t="s">
        <v>21</v>
      </c>
      <c r="B374" s="21">
        <v>1674</v>
      </c>
      <c r="C374" s="21">
        <v>3</v>
      </c>
      <c r="D374" s="73">
        <v>43733</v>
      </c>
      <c r="E374" s="23">
        <f t="shared" si="7"/>
        <v>2019</v>
      </c>
      <c r="F374" s="21" t="s">
        <v>246</v>
      </c>
      <c r="G374" s="32"/>
      <c r="H374" s="32"/>
      <c r="I374" s="32"/>
      <c r="J374" s="32"/>
      <c r="K374" s="32"/>
      <c r="L374" s="32"/>
      <c r="M374" s="32"/>
      <c r="N374" s="32"/>
      <c r="O374" s="32"/>
      <c r="P374" s="27">
        <v>1.84</v>
      </c>
      <c r="Q374" s="7"/>
    </row>
    <row r="375" spans="1:17" x14ac:dyDescent="0.2">
      <c r="A375" s="21" t="s">
        <v>21</v>
      </c>
      <c r="B375" s="21">
        <v>1674</v>
      </c>
      <c r="C375" s="21">
        <v>3</v>
      </c>
      <c r="D375" s="73">
        <v>43747</v>
      </c>
      <c r="E375" s="23">
        <f t="shared" si="7"/>
        <v>2019</v>
      </c>
      <c r="F375" s="21" t="s">
        <v>246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27">
        <v>2.62</v>
      </c>
      <c r="Q375" s="7"/>
    </row>
    <row r="376" spans="1:17" x14ac:dyDescent="0.2">
      <c r="A376" s="21" t="s">
        <v>21</v>
      </c>
      <c r="B376" s="21">
        <v>1674</v>
      </c>
      <c r="C376" s="21">
        <v>3</v>
      </c>
      <c r="D376" s="73">
        <v>43759</v>
      </c>
      <c r="E376" s="23">
        <f t="shared" si="7"/>
        <v>2019</v>
      </c>
      <c r="F376" s="21" t="s">
        <v>246</v>
      </c>
      <c r="G376" s="32"/>
      <c r="H376" s="32"/>
      <c r="I376" s="32"/>
      <c r="J376" s="32"/>
      <c r="K376" s="32"/>
      <c r="L376" s="32"/>
      <c r="M376" s="32"/>
      <c r="N376" s="32"/>
      <c r="O376" s="32"/>
      <c r="P376" s="31">
        <v>3.2</v>
      </c>
    </row>
    <row r="377" spans="1:17" x14ac:dyDescent="0.2">
      <c r="A377" s="21" t="s">
        <v>21</v>
      </c>
      <c r="B377" s="21">
        <v>1674</v>
      </c>
      <c r="C377" s="21">
        <v>3</v>
      </c>
      <c r="D377" s="28">
        <v>43771</v>
      </c>
      <c r="E377" s="23">
        <f t="shared" si="7"/>
        <v>2019</v>
      </c>
      <c r="F377" s="21" t="s">
        <v>246</v>
      </c>
      <c r="G377" s="32"/>
      <c r="H377" s="32"/>
      <c r="I377" s="32"/>
      <c r="J377" s="32"/>
      <c r="K377" s="32"/>
      <c r="L377" s="32"/>
      <c r="M377" s="32"/>
      <c r="N377" s="32"/>
      <c r="O377" s="32"/>
      <c r="P377" s="31">
        <v>2.0699999999999998</v>
      </c>
    </row>
    <row r="409" spans="25:28" ht="16" thickBot="1" x14ac:dyDescent="0.25">
      <c r="Y409" s="139"/>
      <c r="Z409" s="139"/>
      <c r="AA409" s="139"/>
      <c r="AB409" s="139"/>
    </row>
  </sheetData>
  <sortState xmlns:xlrd2="http://schemas.microsoft.com/office/spreadsheetml/2017/richdata2" ref="A2:W324">
    <sortCondition ref="C1"/>
  </sortState>
  <mergeCells count="4">
    <mergeCell ref="AC1:AE1"/>
    <mergeCell ref="Z1:AB1"/>
    <mergeCell ref="Y1:Y2"/>
    <mergeCell ref="AF1:A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F183-7608-44AF-8A01-7EDA00C4833C}">
  <dimension ref="A1:DE1498"/>
  <sheetViews>
    <sheetView topLeftCell="A1185" zoomScaleNormal="100" workbookViewId="0">
      <selection activeCell="K1" sqref="K1:K1048576"/>
    </sheetView>
  </sheetViews>
  <sheetFormatPr baseColWidth="10" defaultColWidth="8.83203125" defaultRowHeight="15" x14ac:dyDescent="0.2"/>
  <cols>
    <col min="1" max="1" width="8.83203125" customWidth="1"/>
    <col min="2" max="2" width="8.83203125" style="89" customWidth="1"/>
    <col min="3" max="3" width="8.1640625" style="82" customWidth="1"/>
    <col min="4" max="4" width="11.33203125" style="82" customWidth="1"/>
    <col min="5" max="5" width="5.6640625" style="82" customWidth="1"/>
    <col min="6" max="6" width="4.6640625" style="82" hidden="1" customWidth="1"/>
    <col min="7" max="7" width="0" style="82" hidden="1" customWidth="1"/>
    <col min="8" max="8" width="6.33203125" style="82" customWidth="1"/>
    <col min="9" max="9" width="5.83203125" style="82" customWidth="1"/>
    <col min="10" max="10" width="7.6640625" style="82" customWidth="1"/>
    <col min="11" max="11" width="8.83203125" style="89" customWidth="1"/>
    <col min="13" max="13" width="5.6640625" customWidth="1"/>
    <col min="14" max="14" width="16.6640625" style="46" customWidth="1"/>
    <col min="15" max="58" width="3.5" style="38" customWidth="1"/>
    <col min="59" max="66" width="3.33203125" style="35" customWidth="1"/>
    <col min="67" max="109" width="2.6640625" style="35" customWidth="1"/>
  </cols>
  <sheetData>
    <row r="1" spans="1:109" x14ac:dyDescent="0.2">
      <c r="A1" t="s">
        <v>0</v>
      </c>
      <c r="B1" s="89" t="s">
        <v>1</v>
      </c>
      <c r="C1" s="82" t="s">
        <v>2</v>
      </c>
      <c r="D1" s="82" t="s">
        <v>3</v>
      </c>
      <c r="E1" s="82" t="s">
        <v>238</v>
      </c>
      <c r="F1" s="82" t="s">
        <v>4</v>
      </c>
      <c r="G1" s="82" t="s">
        <v>5</v>
      </c>
      <c r="H1" s="82" t="s">
        <v>189</v>
      </c>
      <c r="I1" s="82" t="s">
        <v>190</v>
      </c>
      <c r="J1" s="82" t="s">
        <v>191</v>
      </c>
      <c r="K1" s="89" t="s">
        <v>192</v>
      </c>
      <c r="N1" s="50"/>
      <c r="O1" s="295">
        <v>1981</v>
      </c>
      <c r="P1" s="295">
        <v>1983</v>
      </c>
      <c r="Q1" s="289" t="s">
        <v>251</v>
      </c>
      <c r="R1" s="290"/>
      <c r="S1" s="290"/>
      <c r="T1" s="290"/>
      <c r="U1" s="290"/>
      <c r="V1" s="290"/>
      <c r="W1" s="291"/>
      <c r="X1" s="289" t="s">
        <v>252</v>
      </c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1"/>
      <c r="AK1" s="289" t="s">
        <v>254</v>
      </c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1"/>
      <c r="AW1" s="290" t="s">
        <v>255</v>
      </c>
      <c r="AX1" s="290"/>
      <c r="AY1" s="290"/>
      <c r="AZ1" s="290"/>
      <c r="BA1" s="290"/>
      <c r="BB1" s="290"/>
      <c r="BC1" s="290"/>
      <c r="BD1" s="290"/>
      <c r="BE1" s="290"/>
      <c r="BF1" s="291"/>
    </row>
    <row r="2" spans="1:109" x14ac:dyDescent="0.2">
      <c r="A2" t="s">
        <v>21</v>
      </c>
      <c r="B2" s="89">
        <v>1674</v>
      </c>
      <c r="C2" s="82">
        <v>1</v>
      </c>
      <c r="D2" s="83">
        <v>29817</v>
      </c>
      <c r="E2" s="84">
        <f t="shared" ref="E2:E65" si="0">YEAR(D2)</f>
        <v>1981</v>
      </c>
      <c r="F2" s="82" t="s">
        <v>22</v>
      </c>
      <c r="G2" s="82">
        <v>2</v>
      </c>
      <c r="H2" s="82">
        <v>0</v>
      </c>
      <c r="I2" s="82">
        <v>18.3</v>
      </c>
      <c r="J2" s="82">
        <v>8.6999999999999993</v>
      </c>
      <c r="K2" s="89" t="s">
        <v>193</v>
      </c>
      <c r="N2" s="50"/>
      <c r="O2" s="296"/>
      <c r="P2" s="296"/>
      <c r="Q2" s="292"/>
      <c r="R2" s="293"/>
      <c r="S2" s="293"/>
      <c r="T2" s="293"/>
      <c r="U2" s="293"/>
      <c r="V2" s="293"/>
      <c r="W2" s="294"/>
      <c r="X2" s="292"/>
      <c r="Y2" s="293"/>
      <c r="Z2" s="293"/>
      <c r="AA2" s="293"/>
      <c r="AB2" s="293"/>
      <c r="AC2" s="293"/>
      <c r="AD2" s="293"/>
      <c r="AE2" s="293"/>
      <c r="AF2" s="293"/>
      <c r="AG2" s="293"/>
      <c r="AH2" s="293"/>
      <c r="AI2" s="293"/>
      <c r="AJ2" s="294"/>
      <c r="AK2" s="292"/>
      <c r="AL2" s="293"/>
      <c r="AM2" s="293"/>
      <c r="AN2" s="293"/>
      <c r="AO2" s="293"/>
      <c r="AP2" s="293"/>
      <c r="AQ2" s="293"/>
      <c r="AR2" s="293"/>
      <c r="AS2" s="293"/>
      <c r="AT2" s="293"/>
      <c r="AU2" s="293"/>
      <c r="AV2" s="294"/>
      <c r="AW2" s="293"/>
      <c r="AX2" s="293"/>
      <c r="AY2" s="293"/>
      <c r="AZ2" s="293"/>
      <c r="BA2" s="293"/>
      <c r="BB2" s="293"/>
      <c r="BC2" s="293"/>
      <c r="BD2" s="293"/>
      <c r="BE2" s="293"/>
      <c r="BF2" s="294"/>
    </row>
    <row r="3" spans="1:109" ht="41" x14ac:dyDescent="0.2">
      <c r="A3" t="s">
        <v>21</v>
      </c>
      <c r="B3" s="89">
        <v>1674</v>
      </c>
      <c r="C3" s="82">
        <v>1</v>
      </c>
      <c r="D3" s="83">
        <v>29817</v>
      </c>
      <c r="E3" s="84">
        <f t="shared" si="0"/>
        <v>1981</v>
      </c>
      <c r="F3" s="82" t="s">
        <v>22</v>
      </c>
      <c r="G3" s="82">
        <v>2</v>
      </c>
      <c r="H3" s="82">
        <v>1</v>
      </c>
      <c r="I3" s="82">
        <v>18.5</v>
      </c>
      <c r="J3" s="82">
        <v>8.6</v>
      </c>
      <c r="K3" s="89" t="s">
        <v>193</v>
      </c>
      <c r="N3" s="50"/>
      <c r="O3" s="51">
        <v>29817</v>
      </c>
      <c r="P3" s="51">
        <v>30405</v>
      </c>
      <c r="Q3" s="52">
        <v>30854</v>
      </c>
      <c r="R3" s="41">
        <v>30862</v>
      </c>
      <c r="S3" s="41">
        <v>30873</v>
      </c>
      <c r="T3" s="41">
        <v>30882</v>
      </c>
      <c r="U3" s="41">
        <v>30897</v>
      </c>
      <c r="V3" s="41">
        <v>30908</v>
      </c>
      <c r="W3" s="54">
        <v>30939</v>
      </c>
      <c r="X3" s="52">
        <v>31497</v>
      </c>
      <c r="Y3" s="53">
        <v>31541</v>
      </c>
      <c r="Z3" s="53">
        <v>31559</v>
      </c>
      <c r="AA3" s="53">
        <v>31573</v>
      </c>
      <c r="AB3" s="53">
        <v>31590</v>
      </c>
      <c r="AC3" s="53">
        <v>31609</v>
      </c>
      <c r="AD3" s="41">
        <v>31623</v>
      </c>
      <c r="AE3" s="41">
        <v>31636</v>
      </c>
      <c r="AF3" s="53">
        <v>31651</v>
      </c>
      <c r="AG3" s="53">
        <v>31663</v>
      </c>
      <c r="AH3" s="53">
        <v>31684</v>
      </c>
      <c r="AI3" s="53">
        <v>31699</v>
      </c>
      <c r="AJ3" s="54">
        <v>31714</v>
      </c>
      <c r="AK3" s="42">
        <v>31834</v>
      </c>
      <c r="AL3" s="53">
        <v>31906</v>
      </c>
      <c r="AM3" s="53">
        <v>31925</v>
      </c>
      <c r="AN3" s="53">
        <v>31937</v>
      </c>
      <c r="AO3" s="53">
        <v>31951</v>
      </c>
      <c r="AP3" s="53">
        <v>31972</v>
      </c>
      <c r="AQ3" s="41">
        <v>31987</v>
      </c>
      <c r="AR3" s="53">
        <v>32002</v>
      </c>
      <c r="AS3" s="53">
        <v>32014</v>
      </c>
      <c r="AT3" s="53">
        <v>32035</v>
      </c>
      <c r="AU3" s="53">
        <v>32048</v>
      </c>
      <c r="AV3" s="54">
        <v>32065</v>
      </c>
      <c r="AW3" s="53">
        <v>32235</v>
      </c>
      <c r="AX3" s="53">
        <v>32273</v>
      </c>
      <c r="AY3" s="53">
        <v>32296</v>
      </c>
      <c r="AZ3" s="53">
        <v>32310</v>
      </c>
      <c r="BA3" s="53">
        <v>32322</v>
      </c>
      <c r="BB3" s="53">
        <v>32346</v>
      </c>
      <c r="BC3" s="41">
        <v>32357</v>
      </c>
      <c r="BD3" s="41">
        <v>32377</v>
      </c>
      <c r="BE3" s="53">
        <v>32394</v>
      </c>
      <c r="BF3" s="54">
        <v>32422</v>
      </c>
    </row>
    <row r="4" spans="1:109" s="47" customFormat="1" ht="14.25" customHeight="1" x14ac:dyDescent="0.2">
      <c r="A4" s="47" t="s">
        <v>21</v>
      </c>
      <c r="B4" s="269">
        <v>1674</v>
      </c>
      <c r="C4" s="85">
        <v>1</v>
      </c>
      <c r="D4" s="86">
        <v>29817</v>
      </c>
      <c r="E4" s="87">
        <f t="shared" si="0"/>
        <v>1981</v>
      </c>
      <c r="F4" s="85" t="s">
        <v>22</v>
      </c>
      <c r="G4" s="85">
        <v>2</v>
      </c>
      <c r="H4" s="85">
        <v>2</v>
      </c>
      <c r="I4" s="85">
        <v>18.5</v>
      </c>
      <c r="J4" s="85">
        <v>8.6</v>
      </c>
      <c r="K4" s="269" t="s">
        <v>193</v>
      </c>
      <c r="N4" s="50" t="s">
        <v>263</v>
      </c>
      <c r="O4" s="55"/>
      <c r="P4" s="55">
        <v>11</v>
      </c>
      <c r="Q4" s="56">
        <v>12</v>
      </c>
      <c r="R4" s="57">
        <v>14</v>
      </c>
      <c r="S4" s="58">
        <v>10.5</v>
      </c>
      <c r="T4" s="57">
        <v>9</v>
      </c>
      <c r="U4" s="57">
        <v>7</v>
      </c>
      <c r="V4" s="57">
        <v>7</v>
      </c>
      <c r="W4" s="59"/>
      <c r="X4" s="56">
        <v>9</v>
      </c>
      <c r="Y4" s="57"/>
      <c r="Z4" s="58">
        <v>13.5</v>
      </c>
      <c r="AA4" s="57"/>
      <c r="AB4" s="57"/>
      <c r="AC4" s="57">
        <v>13</v>
      </c>
      <c r="AD4" s="57">
        <v>9</v>
      </c>
      <c r="AE4" s="57">
        <v>9</v>
      </c>
      <c r="AF4" s="57">
        <v>13</v>
      </c>
      <c r="AG4" s="57"/>
      <c r="AH4" s="57"/>
      <c r="AI4" s="57"/>
      <c r="AJ4" s="59"/>
      <c r="AK4" s="56">
        <v>7</v>
      </c>
      <c r="AL4" s="57"/>
      <c r="AM4" s="57"/>
      <c r="AN4" s="57">
        <v>13</v>
      </c>
      <c r="AO4" s="57"/>
      <c r="AP4" s="57">
        <v>8</v>
      </c>
      <c r="AQ4" s="57">
        <v>8</v>
      </c>
      <c r="AR4" s="58">
        <v>13.5</v>
      </c>
      <c r="AS4" s="57"/>
      <c r="AT4" s="57"/>
      <c r="AU4" s="57"/>
      <c r="AV4" s="59"/>
      <c r="AW4" s="57">
        <v>8</v>
      </c>
      <c r="AX4" s="57"/>
      <c r="AY4" s="57"/>
      <c r="AZ4" s="57"/>
      <c r="BA4" s="57"/>
      <c r="BB4" s="57">
        <v>5</v>
      </c>
      <c r="BC4" s="57">
        <v>9</v>
      </c>
      <c r="BD4" s="57">
        <v>13</v>
      </c>
      <c r="BE4" s="57"/>
      <c r="BF4" s="59">
        <v>12</v>
      </c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</row>
    <row r="5" spans="1:109" s="47" customFormat="1" ht="14.25" customHeight="1" x14ac:dyDescent="0.2">
      <c r="A5" s="47" t="s">
        <v>21</v>
      </c>
      <c r="B5" s="269">
        <v>1674</v>
      </c>
      <c r="C5" s="85">
        <v>1</v>
      </c>
      <c r="D5" s="86">
        <v>29817</v>
      </c>
      <c r="E5" s="87">
        <f t="shared" si="0"/>
        <v>1981</v>
      </c>
      <c r="F5" s="85" t="s">
        <v>22</v>
      </c>
      <c r="G5" s="85">
        <v>2</v>
      </c>
      <c r="H5" s="85">
        <v>3</v>
      </c>
      <c r="I5" s="85">
        <v>18.5</v>
      </c>
      <c r="J5" s="85">
        <v>8.6999999999999993</v>
      </c>
      <c r="K5" s="269" t="s">
        <v>193</v>
      </c>
      <c r="N5" s="50" t="s">
        <v>264</v>
      </c>
      <c r="O5" s="60"/>
      <c r="P5" s="60"/>
      <c r="Q5" s="61"/>
      <c r="R5" s="62">
        <v>14</v>
      </c>
      <c r="S5" s="63">
        <v>10.5</v>
      </c>
      <c r="T5" s="62">
        <v>11</v>
      </c>
      <c r="U5" s="62">
        <v>12</v>
      </c>
      <c r="V5" s="62">
        <v>11</v>
      </c>
      <c r="W5" s="64"/>
      <c r="X5" s="61"/>
      <c r="Y5" s="62"/>
      <c r="Z5" s="62"/>
      <c r="AA5" s="62"/>
      <c r="AB5" s="62"/>
      <c r="AC5" s="62"/>
      <c r="AD5" s="62">
        <v>13</v>
      </c>
      <c r="AE5" s="62">
        <v>12</v>
      </c>
      <c r="AF5" s="62"/>
      <c r="AG5" s="62"/>
      <c r="AH5" s="62"/>
      <c r="AI5" s="62"/>
      <c r="AJ5" s="64"/>
      <c r="AK5" s="61">
        <v>10</v>
      </c>
      <c r="AL5" s="62"/>
      <c r="AM5" s="62"/>
      <c r="AN5" s="62"/>
      <c r="AO5" s="62"/>
      <c r="AP5" s="62"/>
      <c r="AQ5" s="62">
        <v>11</v>
      </c>
      <c r="AR5" s="62"/>
      <c r="AS5" s="62"/>
      <c r="AT5" s="62"/>
      <c r="AU5" s="62"/>
      <c r="AV5" s="64"/>
      <c r="AW5" s="62"/>
      <c r="AX5" s="62"/>
      <c r="AY5" s="62"/>
      <c r="AZ5" s="62"/>
      <c r="BA5" s="62"/>
      <c r="BB5" s="62"/>
      <c r="BC5" s="65">
        <v>11</v>
      </c>
      <c r="BD5" s="65">
        <v>13</v>
      </c>
      <c r="BE5" s="65"/>
      <c r="BF5" s="66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</row>
    <row r="6" spans="1:109" x14ac:dyDescent="0.2">
      <c r="A6" t="s">
        <v>21</v>
      </c>
      <c r="B6" s="89">
        <v>1674</v>
      </c>
      <c r="C6" s="82">
        <v>1</v>
      </c>
      <c r="D6" s="83">
        <v>29817</v>
      </c>
      <c r="E6" s="84">
        <f t="shared" si="0"/>
        <v>1981</v>
      </c>
      <c r="F6" s="82" t="s">
        <v>22</v>
      </c>
      <c r="G6" s="82">
        <v>2</v>
      </c>
      <c r="H6" s="82">
        <v>4</v>
      </c>
      <c r="I6" s="82">
        <v>18.5</v>
      </c>
      <c r="J6" s="82">
        <v>8.6999999999999993</v>
      </c>
      <c r="K6" s="89" t="s">
        <v>193</v>
      </c>
      <c r="M6" s="34"/>
      <c r="N6" s="50"/>
      <c r="O6" s="289" t="s">
        <v>256</v>
      </c>
      <c r="P6" s="290"/>
      <c r="Q6" s="290"/>
      <c r="R6" s="290"/>
      <c r="S6" s="290"/>
      <c r="T6" s="290"/>
      <c r="U6" s="290"/>
      <c r="V6" s="290"/>
      <c r="W6" s="291"/>
      <c r="X6" s="289" t="s">
        <v>257</v>
      </c>
      <c r="Y6" s="290"/>
      <c r="Z6" s="290"/>
      <c r="AA6" s="290"/>
      <c r="AB6" s="291"/>
      <c r="AC6" s="289" t="s">
        <v>258</v>
      </c>
      <c r="AD6" s="290"/>
      <c r="AE6" s="290"/>
      <c r="AF6" s="291"/>
      <c r="AG6" s="289" t="s">
        <v>259</v>
      </c>
      <c r="AH6" s="290"/>
      <c r="AI6" s="290"/>
      <c r="AJ6" s="290"/>
      <c r="AK6" s="290"/>
      <c r="AL6" s="291"/>
      <c r="AM6" s="289" t="s">
        <v>260</v>
      </c>
      <c r="AN6" s="291"/>
      <c r="AO6" s="295">
        <v>1995</v>
      </c>
      <c r="AP6" s="295">
        <v>1997</v>
      </c>
      <c r="AQ6" s="289" t="s">
        <v>261</v>
      </c>
      <c r="AR6" s="290"/>
      <c r="AS6" s="295">
        <v>2002</v>
      </c>
      <c r="AT6" s="295">
        <v>2003</v>
      </c>
      <c r="AU6" s="290" t="s">
        <v>262</v>
      </c>
      <c r="AV6" s="290"/>
      <c r="AW6" s="291"/>
      <c r="AX6" s="295">
        <v>2005</v>
      </c>
      <c r="AY6" s="295">
        <v>2009</v>
      </c>
      <c r="AZ6" s="295">
        <v>2016</v>
      </c>
      <c r="BA6" s="295">
        <v>2017</v>
      </c>
      <c r="BB6" s="295">
        <v>2018</v>
      </c>
      <c r="BC6" s="67"/>
      <c r="BD6" s="67"/>
      <c r="BE6" s="67"/>
      <c r="BF6" s="67"/>
    </row>
    <row r="7" spans="1:109" x14ac:dyDescent="0.2">
      <c r="A7" t="s">
        <v>21</v>
      </c>
      <c r="B7" s="89">
        <v>1674</v>
      </c>
      <c r="C7" s="82">
        <v>1</v>
      </c>
      <c r="D7" s="83">
        <v>29817</v>
      </c>
      <c r="E7" s="84">
        <f t="shared" si="0"/>
        <v>1981</v>
      </c>
      <c r="F7" s="82" t="s">
        <v>22</v>
      </c>
      <c r="G7" s="82">
        <v>2</v>
      </c>
      <c r="H7" s="82">
        <v>5</v>
      </c>
      <c r="I7" s="82">
        <v>18.5</v>
      </c>
      <c r="J7" s="82">
        <v>8.6</v>
      </c>
      <c r="K7" s="89" t="s">
        <v>193</v>
      </c>
      <c r="M7" s="34"/>
      <c r="N7" s="50"/>
      <c r="O7" s="292"/>
      <c r="P7" s="293"/>
      <c r="Q7" s="293"/>
      <c r="R7" s="293"/>
      <c r="S7" s="293"/>
      <c r="T7" s="293"/>
      <c r="U7" s="293"/>
      <c r="V7" s="293"/>
      <c r="W7" s="294"/>
      <c r="X7" s="292"/>
      <c r="Y7" s="293"/>
      <c r="Z7" s="293"/>
      <c r="AA7" s="293"/>
      <c r="AB7" s="294"/>
      <c r="AC7" s="292"/>
      <c r="AD7" s="293"/>
      <c r="AE7" s="293"/>
      <c r="AF7" s="294"/>
      <c r="AG7" s="292"/>
      <c r="AH7" s="293"/>
      <c r="AI7" s="293"/>
      <c r="AJ7" s="293"/>
      <c r="AK7" s="293"/>
      <c r="AL7" s="294"/>
      <c r="AM7" s="292"/>
      <c r="AN7" s="294"/>
      <c r="AO7" s="296"/>
      <c r="AP7" s="296"/>
      <c r="AQ7" s="292"/>
      <c r="AR7" s="293"/>
      <c r="AS7" s="296"/>
      <c r="AT7" s="296"/>
      <c r="AU7" s="293"/>
      <c r="AV7" s="293"/>
      <c r="AW7" s="294"/>
      <c r="AX7" s="296"/>
      <c r="AY7" s="296"/>
      <c r="AZ7" s="296"/>
      <c r="BA7" s="296"/>
      <c r="BB7" s="296"/>
      <c r="BC7" s="68"/>
      <c r="BD7" s="68"/>
      <c r="BE7" s="68"/>
      <c r="BF7" s="68"/>
      <c r="BG7" s="37"/>
      <c r="BH7" s="37"/>
      <c r="BI7" s="37"/>
    </row>
    <row r="8" spans="1:109" ht="48.75" customHeight="1" x14ac:dyDescent="0.2">
      <c r="A8" t="s">
        <v>21</v>
      </c>
      <c r="B8" s="89">
        <v>1674</v>
      </c>
      <c r="C8" s="82">
        <v>1</v>
      </c>
      <c r="D8" s="83">
        <v>29817</v>
      </c>
      <c r="E8" s="84">
        <f t="shared" si="0"/>
        <v>1981</v>
      </c>
      <c r="F8" s="82" t="s">
        <v>22</v>
      </c>
      <c r="G8" s="82">
        <v>2</v>
      </c>
      <c r="H8" s="82">
        <v>6</v>
      </c>
      <c r="I8" s="82">
        <v>18.5</v>
      </c>
      <c r="J8" s="82">
        <v>8.6</v>
      </c>
      <c r="K8" s="89" t="s">
        <v>193</v>
      </c>
      <c r="M8" s="34"/>
      <c r="N8" s="50"/>
      <c r="O8" s="52">
        <v>32582</v>
      </c>
      <c r="P8" s="53">
        <v>32646</v>
      </c>
      <c r="Q8" s="53">
        <v>32662</v>
      </c>
      <c r="R8" s="53">
        <v>32681</v>
      </c>
      <c r="S8" s="53">
        <v>32695</v>
      </c>
      <c r="T8" s="41">
        <v>32707</v>
      </c>
      <c r="U8" s="41">
        <v>32720</v>
      </c>
      <c r="V8" s="53">
        <v>32751</v>
      </c>
      <c r="W8" s="54">
        <v>32768</v>
      </c>
      <c r="X8" s="52">
        <v>33021</v>
      </c>
      <c r="Y8" s="53">
        <v>33051</v>
      </c>
      <c r="Z8" s="41">
        <v>33078</v>
      </c>
      <c r="AA8" s="41">
        <v>33106</v>
      </c>
      <c r="AB8" s="54">
        <v>33140</v>
      </c>
      <c r="AC8" s="52">
        <v>33395</v>
      </c>
      <c r="AD8" s="53">
        <v>33437</v>
      </c>
      <c r="AE8" s="41">
        <v>33448</v>
      </c>
      <c r="AF8" s="54">
        <v>33471</v>
      </c>
      <c r="AG8" s="52">
        <v>33752</v>
      </c>
      <c r="AH8" s="41">
        <v>33793</v>
      </c>
      <c r="AI8" s="41">
        <v>33805</v>
      </c>
      <c r="AJ8" s="41">
        <v>33815</v>
      </c>
      <c r="AK8" s="41">
        <v>33829</v>
      </c>
      <c r="AL8" s="54">
        <v>33862</v>
      </c>
      <c r="AM8" s="52">
        <v>34511</v>
      </c>
      <c r="AN8" s="43">
        <v>34573</v>
      </c>
      <c r="AO8" s="44">
        <v>34839</v>
      </c>
      <c r="AP8" s="44">
        <v>35654</v>
      </c>
      <c r="AQ8" s="52">
        <v>36689</v>
      </c>
      <c r="AR8" s="41">
        <v>36752</v>
      </c>
      <c r="AS8" s="51">
        <v>37394</v>
      </c>
      <c r="AT8" s="44">
        <v>37857</v>
      </c>
      <c r="AU8" s="53">
        <v>38141</v>
      </c>
      <c r="AV8" s="53">
        <v>38169</v>
      </c>
      <c r="AW8" s="43">
        <v>38203</v>
      </c>
      <c r="AX8" s="44">
        <v>38583</v>
      </c>
      <c r="AY8" s="44">
        <v>40045</v>
      </c>
      <c r="AZ8" s="44">
        <v>42604</v>
      </c>
      <c r="BA8" s="51">
        <v>42996</v>
      </c>
      <c r="BB8" s="44">
        <v>43334</v>
      </c>
      <c r="BC8" s="69"/>
      <c r="BD8" s="69"/>
      <c r="BE8" s="69"/>
      <c r="BF8" s="69"/>
      <c r="BG8" s="36"/>
      <c r="BH8" s="36"/>
      <c r="BI8" s="36"/>
    </row>
    <row r="9" spans="1:109" s="47" customFormat="1" ht="14.25" customHeight="1" x14ac:dyDescent="0.2">
      <c r="A9" s="47" t="s">
        <v>21</v>
      </c>
      <c r="B9" s="269">
        <v>1674</v>
      </c>
      <c r="C9" s="85">
        <v>1</v>
      </c>
      <c r="D9" s="86">
        <v>29817</v>
      </c>
      <c r="E9" s="87">
        <f t="shared" si="0"/>
        <v>1981</v>
      </c>
      <c r="F9" s="85" t="s">
        <v>22</v>
      </c>
      <c r="G9" s="85">
        <v>2</v>
      </c>
      <c r="H9" s="85">
        <v>7</v>
      </c>
      <c r="I9" s="85">
        <v>18.5</v>
      </c>
      <c r="J9" s="85">
        <v>8.5</v>
      </c>
      <c r="K9" s="269" t="s">
        <v>193</v>
      </c>
      <c r="N9" s="50" t="s">
        <v>263</v>
      </c>
      <c r="O9" s="56">
        <v>8</v>
      </c>
      <c r="P9" s="57"/>
      <c r="Q9" s="57"/>
      <c r="R9" s="57"/>
      <c r="S9" s="57">
        <v>10.5</v>
      </c>
      <c r="T9" s="57">
        <v>11</v>
      </c>
      <c r="U9" s="57">
        <v>9</v>
      </c>
      <c r="V9" s="57">
        <v>13</v>
      </c>
      <c r="W9" s="59">
        <v>11</v>
      </c>
      <c r="X9" s="56"/>
      <c r="Y9" s="57">
        <v>9</v>
      </c>
      <c r="Z9" s="57">
        <v>10</v>
      </c>
      <c r="AA9" s="57">
        <v>13</v>
      </c>
      <c r="AB9" s="59"/>
      <c r="AC9" s="56"/>
      <c r="AD9" s="57">
        <v>13</v>
      </c>
      <c r="AE9" s="57">
        <v>9</v>
      </c>
      <c r="AF9" s="59"/>
      <c r="AG9" s="56"/>
      <c r="AH9" s="57">
        <v>12</v>
      </c>
      <c r="AI9" s="57">
        <v>12</v>
      </c>
      <c r="AJ9" s="57">
        <v>12</v>
      </c>
      <c r="AK9" s="57">
        <v>12</v>
      </c>
      <c r="AL9" s="59"/>
      <c r="AM9" s="56"/>
      <c r="AN9" s="59">
        <v>13</v>
      </c>
      <c r="AO9" s="55">
        <v>12</v>
      </c>
      <c r="AP9" s="55">
        <v>11</v>
      </c>
      <c r="AQ9" s="56"/>
      <c r="AR9" s="57">
        <v>9</v>
      </c>
      <c r="AS9" s="55"/>
      <c r="AT9" s="55">
        <v>10</v>
      </c>
      <c r="AU9" s="57"/>
      <c r="AV9" s="57"/>
      <c r="AW9" s="59">
        <v>9</v>
      </c>
      <c r="AX9" s="55">
        <v>11</v>
      </c>
      <c r="AY9" s="55">
        <v>8</v>
      </c>
      <c r="AZ9" s="55">
        <v>11</v>
      </c>
      <c r="BA9" s="55">
        <v>13</v>
      </c>
      <c r="BB9" s="55">
        <v>10</v>
      </c>
      <c r="BC9" s="70"/>
      <c r="BD9" s="70"/>
      <c r="BE9" s="70"/>
      <c r="BF9" s="70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</row>
    <row r="10" spans="1:109" s="47" customFormat="1" ht="14.25" customHeight="1" x14ac:dyDescent="0.2">
      <c r="A10" s="47" t="s">
        <v>21</v>
      </c>
      <c r="B10" s="269">
        <v>1674</v>
      </c>
      <c r="C10" s="85">
        <v>1</v>
      </c>
      <c r="D10" s="86">
        <v>29817</v>
      </c>
      <c r="E10" s="87">
        <f t="shared" si="0"/>
        <v>1981</v>
      </c>
      <c r="F10" s="85" t="s">
        <v>22</v>
      </c>
      <c r="G10" s="85">
        <v>2</v>
      </c>
      <c r="H10" s="85">
        <v>8</v>
      </c>
      <c r="I10" s="85">
        <v>18.3</v>
      </c>
      <c r="J10" s="85">
        <v>8.5</v>
      </c>
      <c r="K10" s="269" t="s">
        <v>193</v>
      </c>
      <c r="N10" s="50" t="s">
        <v>264</v>
      </c>
      <c r="O10" s="71"/>
      <c r="P10" s="65"/>
      <c r="Q10" s="65"/>
      <c r="R10" s="65"/>
      <c r="S10" s="65"/>
      <c r="T10" s="65">
        <v>13</v>
      </c>
      <c r="U10" s="65">
        <v>11</v>
      </c>
      <c r="V10" s="65"/>
      <c r="W10" s="66"/>
      <c r="X10" s="71"/>
      <c r="Y10" s="65"/>
      <c r="Z10" s="65">
        <v>12</v>
      </c>
      <c r="AA10" s="65">
        <v>13</v>
      </c>
      <c r="AB10" s="66"/>
      <c r="AC10" s="71"/>
      <c r="AD10" s="65"/>
      <c r="AE10" s="65">
        <v>13</v>
      </c>
      <c r="AF10" s="66"/>
      <c r="AG10" s="71"/>
      <c r="AH10" s="65">
        <v>13</v>
      </c>
      <c r="AI10" s="65">
        <v>14</v>
      </c>
      <c r="AJ10" s="65">
        <v>14</v>
      </c>
      <c r="AK10" s="65">
        <v>13.5</v>
      </c>
      <c r="AL10" s="66"/>
      <c r="AM10" s="71"/>
      <c r="AN10" s="66">
        <v>13</v>
      </c>
      <c r="AO10" s="72">
        <v>12</v>
      </c>
      <c r="AP10" s="72">
        <v>12</v>
      </c>
      <c r="AQ10" s="71"/>
      <c r="AR10" s="65">
        <v>12</v>
      </c>
      <c r="AS10" s="72"/>
      <c r="AT10" s="72">
        <v>11</v>
      </c>
      <c r="AU10" s="65"/>
      <c r="AV10" s="65"/>
      <c r="AW10" s="66">
        <v>12</v>
      </c>
      <c r="AX10" s="72">
        <v>11</v>
      </c>
      <c r="AY10" s="72">
        <v>10</v>
      </c>
      <c r="AZ10" s="72">
        <v>12</v>
      </c>
      <c r="BA10" s="72"/>
      <c r="BB10" s="72">
        <v>11</v>
      </c>
      <c r="BC10" s="70"/>
      <c r="BD10" s="70"/>
      <c r="BE10" s="70"/>
      <c r="BF10" s="70"/>
      <c r="BG10" s="48"/>
      <c r="BH10" s="48"/>
      <c r="BI10" s="48"/>
      <c r="BJ10" s="49"/>
      <c r="BK10" s="49"/>
      <c r="BL10" s="49"/>
      <c r="BM10" s="49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</row>
    <row r="11" spans="1:109" x14ac:dyDescent="0.2">
      <c r="A11" t="s">
        <v>21</v>
      </c>
      <c r="B11" s="89">
        <v>1674</v>
      </c>
      <c r="C11" s="82">
        <v>1</v>
      </c>
      <c r="D11" s="83">
        <v>29817</v>
      </c>
      <c r="E11" s="84">
        <f t="shared" si="0"/>
        <v>1981</v>
      </c>
      <c r="F11" s="82" t="s">
        <v>22</v>
      </c>
      <c r="G11" s="82">
        <v>2</v>
      </c>
      <c r="H11" s="82">
        <v>9</v>
      </c>
      <c r="I11" s="82">
        <v>18.3</v>
      </c>
      <c r="J11" s="82">
        <v>8.1999999999999993</v>
      </c>
      <c r="K11" s="89" t="s">
        <v>193</v>
      </c>
      <c r="M11" s="34"/>
      <c r="N11" s="50"/>
      <c r="O11" s="289" t="s">
        <v>253</v>
      </c>
      <c r="P11" s="290"/>
      <c r="Q11" s="290"/>
      <c r="R11" s="290"/>
      <c r="S11" s="290"/>
      <c r="T11" s="290"/>
      <c r="U11" s="290"/>
      <c r="V11" s="290"/>
      <c r="W11" s="290"/>
      <c r="X11" s="290"/>
      <c r="Y11" s="291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</row>
    <row r="12" spans="1:109" x14ac:dyDescent="0.2">
      <c r="A12" t="s">
        <v>21</v>
      </c>
      <c r="B12" s="89">
        <v>1674</v>
      </c>
      <c r="C12" s="82">
        <v>1</v>
      </c>
      <c r="D12" s="83">
        <v>29817</v>
      </c>
      <c r="E12" s="84">
        <f t="shared" si="0"/>
        <v>1981</v>
      </c>
      <c r="F12" s="82" t="s">
        <v>22</v>
      </c>
      <c r="G12" s="82">
        <v>2</v>
      </c>
      <c r="H12" s="82">
        <v>10</v>
      </c>
      <c r="I12" s="82">
        <v>18.3</v>
      </c>
      <c r="J12" s="82">
        <v>8</v>
      </c>
      <c r="K12" s="89" t="s">
        <v>193</v>
      </c>
      <c r="M12" s="34"/>
      <c r="N12" s="50"/>
      <c r="O12" s="292"/>
      <c r="P12" s="293"/>
      <c r="Q12" s="293"/>
      <c r="R12" s="293"/>
      <c r="S12" s="293"/>
      <c r="T12" s="293"/>
      <c r="U12" s="293"/>
      <c r="V12" s="293"/>
      <c r="W12" s="293"/>
      <c r="X12" s="293"/>
      <c r="Y12" s="294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</row>
    <row r="13" spans="1:109" ht="41" x14ac:dyDescent="0.2">
      <c r="A13" t="s">
        <v>21</v>
      </c>
      <c r="B13" s="89">
        <v>1674</v>
      </c>
      <c r="C13" s="82">
        <v>1</v>
      </c>
      <c r="D13" s="83">
        <v>29817</v>
      </c>
      <c r="E13" s="84">
        <f t="shared" si="0"/>
        <v>1981</v>
      </c>
      <c r="F13" s="82" t="s">
        <v>22</v>
      </c>
      <c r="G13" s="82">
        <v>2</v>
      </c>
      <c r="H13" s="82">
        <v>11</v>
      </c>
      <c r="I13" s="82">
        <v>18.3</v>
      </c>
      <c r="J13" s="82">
        <v>7.8</v>
      </c>
      <c r="K13" s="89" t="s">
        <v>193</v>
      </c>
      <c r="M13" s="34"/>
      <c r="N13" s="50"/>
      <c r="O13" s="52">
        <v>43637</v>
      </c>
      <c r="P13" s="41">
        <v>43650</v>
      </c>
      <c r="Q13" s="41">
        <v>43664</v>
      </c>
      <c r="R13" s="41">
        <v>43678</v>
      </c>
      <c r="S13" s="41">
        <v>43691</v>
      </c>
      <c r="T13" s="41">
        <v>43705</v>
      </c>
      <c r="U13" s="53">
        <v>43721</v>
      </c>
      <c r="V13" s="53">
        <v>43733</v>
      </c>
      <c r="W13" s="53">
        <v>43747</v>
      </c>
      <c r="X13" s="53">
        <v>43759</v>
      </c>
      <c r="Y13" s="54">
        <v>43771</v>
      </c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</row>
    <row r="14" spans="1:109" s="47" customFormat="1" ht="14.25" customHeight="1" x14ac:dyDescent="0.2">
      <c r="A14" s="47" t="s">
        <v>21</v>
      </c>
      <c r="B14" s="269">
        <v>1674</v>
      </c>
      <c r="C14" s="85">
        <v>1</v>
      </c>
      <c r="D14" s="86">
        <v>29817</v>
      </c>
      <c r="E14" s="87">
        <f t="shared" si="0"/>
        <v>1981</v>
      </c>
      <c r="F14" s="85" t="s">
        <v>22</v>
      </c>
      <c r="G14" s="85">
        <v>2</v>
      </c>
      <c r="H14" s="85">
        <v>12</v>
      </c>
      <c r="I14" s="85">
        <v>18.3</v>
      </c>
      <c r="J14" s="85">
        <v>7.5</v>
      </c>
      <c r="K14" s="269" t="s">
        <v>193</v>
      </c>
      <c r="N14" s="50" t="s">
        <v>263</v>
      </c>
      <c r="O14" s="56">
        <v>12</v>
      </c>
      <c r="P14" s="57">
        <v>12</v>
      </c>
      <c r="Q14" s="57">
        <v>10</v>
      </c>
      <c r="R14" s="57">
        <v>8</v>
      </c>
      <c r="S14" s="57">
        <v>10</v>
      </c>
      <c r="T14" s="57">
        <v>11</v>
      </c>
      <c r="U14" s="57"/>
      <c r="V14" s="57">
        <v>13</v>
      </c>
      <c r="W14" s="57"/>
      <c r="X14" s="57"/>
      <c r="Y14" s="59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</row>
    <row r="15" spans="1:109" s="47" customFormat="1" ht="14.25" customHeight="1" x14ac:dyDescent="0.2">
      <c r="A15" s="47" t="s">
        <v>21</v>
      </c>
      <c r="B15" s="269">
        <v>1674</v>
      </c>
      <c r="C15" s="85">
        <v>1</v>
      </c>
      <c r="D15" s="86">
        <v>29817</v>
      </c>
      <c r="E15" s="87">
        <f t="shared" si="0"/>
        <v>1981</v>
      </c>
      <c r="F15" s="85" t="s">
        <v>22</v>
      </c>
      <c r="G15" s="85">
        <v>2</v>
      </c>
      <c r="H15" s="85">
        <v>13</v>
      </c>
      <c r="I15" s="85">
        <v>18.2</v>
      </c>
      <c r="J15" s="85">
        <v>7.2</v>
      </c>
      <c r="K15" s="269" t="s">
        <v>193</v>
      </c>
      <c r="N15" s="50" t="s">
        <v>264</v>
      </c>
      <c r="O15" s="71"/>
      <c r="P15" s="65">
        <v>13</v>
      </c>
      <c r="Q15" s="65">
        <v>12</v>
      </c>
      <c r="R15" s="65">
        <v>11</v>
      </c>
      <c r="S15" s="65">
        <v>11</v>
      </c>
      <c r="T15" s="65">
        <v>12</v>
      </c>
      <c r="U15" s="65"/>
      <c r="V15" s="65"/>
      <c r="W15" s="65"/>
      <c r="X15" s="65"/>
      <c r="Y15" s="66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</row>
    <row r="16" spans="1:109" x14ac:dyDescent="0.2">
      <c r="A16" t="s">
        <v>21</v>
      </c>
      <c r="B16" s="89">
        <v>1674</v>
      </c>
      <c r="C16" s="82">
        <v>1</v>
      </c>
      <c r="D16" s="83">
        <v>29817</v>
      </c>
      <c r="E16" s="84">
        <f t="shared" si="0"/>
        <v>1981</v>
      </c>
      <c r="F16" s="82" t="s">
        <v>22</v>
      </c>
      <c r="G16" s="82">
        <v>2</v>
      </c>
      <c r="H16" s="82">
        <v>14</v>
      </c>
      <c r="I16" s="82">
        <v>18.2</v>
      </c>
      <c r="J16" s="82">
        <v>7</v>
      </c>
      <c r="K16" s="89" t="s">
        <v>193</v>
      </c>
      <c r="M16" s="34"/>
      <c r="N16" s="45"/>
      <c r="O16" s="260" t="s">
        <v>305</v>
      </c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</row>
    <row r="17" spans="1:15" x14ac:dyDescent="0.2">
      <c r="A17" t="s">
        <v>21</v>
      </c>
      <c r="B17" s="89">
        <v>1674</v>
      </c>
      <c r="C17" s="82">
        <v>1</v>
      </c>
      <c r="D17" s="83">
        <v>30405</v>
      </c>
      <c r="E17" s="84">
        <f t="shared" si="0"/>
        <v>1983</v>
      </c>
      <c r="F17" s="82" t="s">
        <v>22</v>
      </c>
      <c r="G17" s="82">
        <v>2</v>
      </c>
      <c r="H17" s="82">
        <v>1</v>
      </c>
      <c r="I17" s="82">
        <v>1</v>
      </c>
      <c r="J17" s="82">
        <v>14.2</v>
      </c>
      <c r="K17" s="89" t="s">
        <v>193</v>
      </c>
      <c r="M17" s="34"/>
      <c r="O17" s="39" t="s">
        <v>309</v>
      </c>
    </row>
    <row r="18" spans="1:15" x14ac:dyDescent="0.2">
      <c r="A18" t="s">
        <v>21</v>
      </c>
      <c r="B18" s="89">
        <v>1674</v>
      </c>
      <c r="C18" s="82">
        <v>1</v>
      </c>
      <c r="D18" s="83">
        <v>30405</v>
      </c>
      <c r="E18" s="84">
        <f t="shared" si="0"/>
        <v>1983</v>
      </c>
      <c r="F18" s="82" t="s">
        <v>22</v>
      </c>
      <c r="G18" s="82">
        <v>2</v>
      </c>
      <c r="H18" s="82">
        <v>2</v>
      </c>
      <c r="I18" s="82">
        <v>1.5</v>
      </c>
      <c r="J18" s="82">
        <v>14</v>
      </c>
      <c r="K18" s="89" t="s">
        <v>193</v>
      </c>
      <c r="M18" s="34"/>
    </row>
    <row r="19" spans="1:15" x14ac:dyDescent="0.2">
      <c r="A19" t="s">
        <v>21</v>
      </c>
      <c r="B19" s="89">
        <v>1674</v>
      </c>
      <c r="C19" s="82">
        <v>1</v>
      </c>
      <c r="D19" s="83">
        <v>30405</v>
      </c>
      <c r="E19" s="84">
        <f t="shared" si="0"/>
        <v>1983</v>
      </c>
      <c r="F19" s="82" t="s">
        <v>22</v>
      </c>
      <c r="G19" s="82">
        <v>2</v>
      </c>
      <c r="H19" s="82">
        <v>3</v>
      </c>
      <c r="I19" s="82">
        <v>2</v>
      </c>
      <c r="J19" s="82">
        <v>14</v>
      </c>
      <c r="K19" s="89" t="s">
        <v>193</v>
      </c>
      <c r="M19" s="34"/>
    </row>
    <row r="20" spans="1:15" x14ac:dyDescent="0.2">
      <c r="A20" t="s">
        <v>21</v>
      </c>
      <c r="B20" s="89">
        <v>1674</v>
      </c>
      <c r="C20" s="82">
        <v>1</v>
      </c>
      <c r="D20" s="83">
        <v>30405</v>
      </c>
      <c r="E20" s="84">
        <f t="shared" si="0"/>
        <v>1983</v>
      </c>
      <c r="F20" s="82" t="s">
        <v>22</v>
      </c>
      <c r="G20" s="82">
        <v>2</v>
      </c>
      <c r="H20" s="82">
        <v>4</v>
      </c>
      <c r="I20" s="82">
        <v>2.2000000000000002</v>
      </c>
      <c r="J20" s="82">
        <v>13.8</v>
      </c>
      <c r="K20" s="89" t="s">
        <v>193</v>
      </c>
      <c r="M20" s="34"/>
    </row>
    <row r="21" spans="1:15" x14ac:dyDescent="0.2">
      <c r="A21" t="s">
        <v>21</v>
      </c>
      <c r="B21" s="89">
        <v>1674</v>
      </c>
      <c r="C21" s="82">
        <v>1</v>
      </c>
      <c r="D21" s="83">
        <v>30405</v>
      </c>
      <c r="E21" s="84">
        <f t="shared" si="0"/>
        <v>1983</v>
      </c>
      <c r="F21" s="82" t="s">
        <v>22</v>
      </c>
      <c r="G21" s="82">
        <v>2</v>
      </c>
      <c r="H21" s="82">
        <v>5</v>
      </c>
      <c r="I21" s="82">
        <v>2.5</v>
      </c>
      <c r="J21" s="82">
        <v>13</v>
      </c>
      <c r="K21" s="89" t="s">
        <v>193</v>
      </c>
      <c r="M21" s="34"/>
    </row>
    <row r="22" spans="1:15" x14ac:dyDescent="0.2">
      <c r="A22" t="s">
        <v>21</v>
      </c>
      <c r="B22" s="89">
        <v>1674</v>
      </c>
      <c r="C22" s="82">
        <v>1</v>
      </c>
      <c r="D22" s="83">
        <v>30405</v>
      </c>
      <c r="E22" s="84">
        <f t="shared" si="0"/>
        <v>1983</v>
      </c>
      <c r="F22" s="82" t="s">
        <v>22</v>
      </c>
      <c r="G22" s="82">
        <v>2</v>
      </c>
      <c r="H22" s="82">
        <v>6</v>
      </c>
      <c r="I22" s="82">
        <v>3</v>
      </c>
      <c r="J22" s="82">
        <v>12.4</v>
      </c>
      <c r="K22" s="89" t="s">
        <v>193</v>
      </c>
      <c r="M22" s="34"/>
    </row>
    <row r="23" spans="1:15" x14ac:dyDescent="0.2">
      <c r="A23" t="s">
        <v>21</v>
      </c>
      <c r="B23" s="89">
        <v>1674</v>
      </c>
      <c r="C23" s="82">
        <v>1</v>
      </c>
      <c r="D23" s="83">
        <v>30405</v>
      </c>
      <c r="E23" s="84">
        <f t="shared" si="0"/>
        <v>1983</v>
      </c>
      <c r="F23" s="82" t="s">
        <v>22</v>
      </c>
      <c r="G23" s="82">
        <v>2</v>
      </c>
      <c r="H23" s="82">
        <v>7</v>
      </c>
      <c r="I23" s="82">
        <v>3</v>
      </c>
      <c r="J23" s="82">
        <v>10</v>
      </c>
      <c r="K23" s="89" t="s">
        <v>193</v>
      </c>
      <c r="M23" s="34"/>
    </row>
    <row r="24" spans="1:15" x14ac:dyDescent="0.2">
      <c r="A24" t="s">
        <v>21</v>
      </c>
      <c r="B24" s="89">
        <v>1674</v>
      </c>
      <c r="C24" s="82">
        <v>1</v>
      </c>
      <c r="D24" s="83">
        <v>30405</v>
      </c>
      <c r="E24" s="84">
        <f t="shared" si="0"/>
        <v>1983</v>
      </c>
      <c r="F24" s="82" t="s">
        <v>22</v>
      </c>
      <c r="G24" s="82">
        <v>2</v>
      </c>
      <c r="H24" s="82">
        <v>8</v>
      </c>
      <c r="I24" s="82">
        <v>3</v>
      </c>
      <c r="J24" s="82">
        <v>8</v>
      </c>
      <c r="K24" s="89" t="s">
        <v>193</v>
      </c>
      <c r="M24" s="34"/>
    </row>
    <row r="25" spans="1:15" x14ac:dyDescent="0.2">
      <c r="A25" t="s">
        <v>21</v>
      </c>
      <c r="B25" s="89">
        <v>1674</v>
      </c>
      <c r="C25" s="82">
        <v>1</v>
      </c>
      <c r="D25" s="83">
        <v>30405</v>
      </c>
      <c r="E25" s="84">
        <f t="shared" si="0"/>
        <v>1983</v>
      </c>
      <c r="F25" s="82" t="s">
        <v>22</v>
      </c>
      <c r="G25" s="82">
        <v>2</v>
      </c>
      <c r="H25" s="82">
        <v>9</v>
      </c>
      <c r="I25" s="82">
        <v>3</v>
      </c>
      <c r="J25" s="82">
        <v>5.6</v>
      </c>
      <c r="K25" s="89" t="s">
        <v>193</v>
      </c>
      <c r="M25" s="34"/>
    </row>
    <row r="26" spans="1:15" x14ac:dyDescent="0.2">
      <c r="A26" t="s">
        <v>21</v>
      </c>
      <c r="B26" s="89">
        <v>1674</v>
      </c>
      <c r="C26" s="82">
        <v>1</v>
      </c>
      <c r="D26" s="83">
        <v>30405</v>
      </c>
      <c r="E26" s="84">
        <f t="shared" si="0"/>
        <v>1983</v>
      </c>
      <c r="F26" s="82" t="s">
        <v>22</v>
      </c>
      <c r="G26" s="82">
        <v>2</v>
      </c>
      <c r="H26" s="82">
        <v>10</v>
      </c>
      <c r="I26" s="82">
        <v>4</v>
      </c>
      <c r="J26" s="82">
        <v>5</v>
      </c>
      <c r="K26" s="89" t="s">
        <v>193</v>
      </c>
      <c r="M26" s="34"/>
    </row>
    <row r="27" spans="1:15" x14ac:dyDescent="0.2">
      <c r="A27" t="s">
        <v>21</v>
      </c>
      <c r="B27" s="89">
        <v>1674</v>
      </c>
      <c r="C27" s="82">
        <v>1</v>
      </c>
      <c r="D27" s="83">
        <v>30405</v>
      </c>
      <c r="E27" s="84">
        <f t="shared" si="0"/>
        <v>1983</v>
      </c>
      <c r="F27" s="82" t="s">
        <v>22</v>
      </c>
      <c r="G27" s="82">
        <v>2</v>
      </c>
      <c r="H27" s="82">
        <v>11</v>
      </c>
      <c r="I27" s="82">
        <v>4</v>
      </c>
      <c r="J27" s="82">
        <v>4.8</v>
      </c>
      <c r="K27" s="89" t="s">
        <v>193</v>
      </c>
      <c r="M27" s="34"/>
    </row>
    <row r="28" spans="1:15" x14ac:dyDescent="0.2">
      <c r="A28" t="s">
        <v>21</v>
      </c>
      <c r="B28" s="89">
        <v>1674</v>
      </c>
      <c r="C28" s="82">
        <v>1</v>
      </c>
      <c r="D28" s="83">
        <v>30405</v>
      </c>
      <c r="E28" s="84">
        <f t="shared" si="0"/>
        <v>1983</v>
      </c>
      <c r="F28" s="82" t="s">
        <v>22</v>
      </c>
      <c r="G28" s="82">
        <v>2</v>
      </c>
      <c r="H28" s="82">
        <v>12</v>
      </c>
      <c r="I28" s="82">
        <v>4</v>
      </c>
      <c r="J28" s="82">
        <v>1.8</v>
      </c>
      <c r="K28" s="89" t="s">
        <v>193</v>
      </c>
      <c r="M28" s="34"/>
    </row>
    <row r="29" spans="1:15" x14ac:dyDescent="0.2">
      <c r="A29" t="s">
        <v>21</v>
      </c>
      <c r="B29" s="89">
        <v>1674</v>
      </c>
      <c r="C29" s="82">
        <v>1</v>
      </c>
      <c r="D29" s="83">
        <v>30405</v>
      </c>
      <c r="E29" s="84">
        <f t="shared" si="0"/>
        <v>1983</v>
      </c>
      <c r="F29" s="82" t="s">
        <v>22</v>
      </c>
      <c r="G29" s="82">
        <v>2</v>
      </c>
      <c r="H29" s="82">
        <v>13</v>
      </c>
      <c r="I29" s="82">
        <v>4</v>
      </c>
      <c r="J29" s="82">
        <v>1.6</v>
      </c>
      <c r="K29" s="89" t="s">
        <v>193</v>
      </c>
      <c r="M29" s="34"/>
    </row>
    <row r="30" spans="1:15" x14ac:dyDescent="0.2">
      <c r="A30" t="s">
        <v>21</v>
      </c>
      <c r="B30" s="89">
        <v>1674</v>
      </c>
      <c r="C30" s="82">
        <v>1</v>
      </c>
      <c r="D30" s="83">
        <v>30854</v>
      </c>
      <c r="E30" s="84">
        <f t="shared" si="0"/>
        <v>1984</v>
      </c>
      <c r="F30" s="82" t="s">
        <v>22</v>
      </c>
      <c r="G30" s="82">
        <v>3</v>
      </c>
      <c r="H30" s="82">
        <v>0.1</v>
      </c>
      <c r="I30" s="82">
        <v>18.5</v>
      </c>
      <c r="J30" s="82">
        <v>8.8000000000000007</v>
      </c>
      <c r="K30" s="89" t="s">
        <v>193</v>
      </c>
      <c r="M30" s="34"/>
    </row>
    <row r="31" spans="1:15" x14ac:dyDescent="0.2">
      <c r="A31" t="s">
        <v>21</v>
      </c>
      <c r="B31" s="89">
        <v>1674</v>
      </c>
      <c r="C31" s="82">
        <v>1</v>
      </c>
      <c r="D31" s="83">
        <v>30854</v>
      </c>
      <c r="E31" s="84">
        <f t="shared" si="0"/>
        <v>1984</v>
      </c>
      <c r="F31" s="82" t="s">
        <v>22</v>
      </c>
      <c r="G31" s="82">
        <v>3</v>
      </c>
      <c r="H31" s="82">
        <v>1</v>
      </c>
      <c r="I31" s="82">
        <v>18.2</v>
      </c>
      <c r="J31" s="82">
        <v>8.6999999999999993</v>
      </c>
      <c r="K31" s="89" t="s">
        <v>193</v>
      </c>
      <c r="M31" s="34"/>
    </row>
    <row r="32" spans="1:15" x14ac:dyDescent="0.2">
      <c r="A32" t="s">
        <v>21</v>
      </c>
      <c r="B32" s="89">
        <v>1674</v>
      </c>
      <c r="C32" s="82">
        <v>1</v>
      </c>
      <c r="D32" s="83">
        <v>30854</v>
      </c>
      <c r="E32" s="84">
        <f t="shared" si="0"/>
        <v>1984</v>
      </c>
      <c r="F32" s="82" t="s">
        <v>22</v>
      </c>
      <c r="G32" s="82">
        <v>3</v>
      </c>
      <c r="H32" s="82">
        <v>2</v>
      </c>
      <c r="I32" s="82">
        <v>18.2</v>
      </c>
      <c r="J32" s="82">
        <v>8.6</v>
      </c>
      <c r="K32" s="89" t="s">
        <v>193</v>
      </c>
      <c r="M32" s="34"/>
    </row>
    <row r="33" spans="1:13" x14ac:dyDescent="0.2">
      <c r="A33" t="s">
        <v>21</v>
      </c>
      <c r="B33" s="89">
        <v>1674</v>
      </c>
      <c r="C33" s="82">
        <v>1</v>
      </c>
      <c r="D33" s="83">
        <v>30854</v>
      </c>
      <c r="E33" s="84">
        <f t="shared" si="0"/>
        <v>1984</v>
      </c>
      <c r="F33" s="82" t="s">
        <v>22</v>
      </c>
      <c r="G33" s="82">
        <v>3</v>
      </c>
      <c r="H33" s="82">
        <v>3</v>
      </c>
      <c r="I33" s="82">
        <v>18</v>
      </c>
      <c r="J33" s="82">
        <v>8.4</v>
      </c>
      <c r="K33" s="89" t="s">
        <v>193</v>
      </c>
      <c r="M33" s="34"/>
    </row>
    <row r="34" spans="1:13" x14ac:dyDescent="0.2">
      <c r="A34" t="s">
        <v>21</v>
      </c>
      <c r="B34" s="89">
        <v>1674</v>
      </c>
      <c r="C34" s="82">
        <v>1</v>
      </c>
      <c r="D34" s="83">
        <v>30854</v>
      </c>
      <c r="E34" s="84">
        <f t="shared" si="0"/>
        <v>1984</v>
      </c>
      <c r="F34" s="82" t="s">
        <v>22</v>
      </c>
      <c r="G34" s="82">
        <v>3</v>
      </c>
      <c r="H34" s="82">
        <v>4</v>
      </c>
      <c r="I34" s="82">
        <v>18</v>
      </c>
      <c r="J34" s="82">
        <v>8.3000000000000007</v>
      </c>
      <c r="K34" s="89" t="s">
        <v>193</v>
      </c>
      <c r="M34" s="34"/>
    </row>
    <row r="35" spans="1:13" x14ac:dyDescent="0.2">
      <c r="A35" t="s">
        <v>21</v>
      </c>
      <c r="B35" s="89">
        <v>1674</v>
      </c>
      <c r="C35" s="82">
        <v>1</v>
      </c>
      <c r="D35" s="83">
        <v>30854</v>
      </c>
      <c r="E35" s="84">
        <f t="shared" si="0"/>
        <v>1984</v>
      </c>
      <c r="F35" s="82" t="s">
        <v>22</v>
      </c>
      <c r="G35" s="82">
        <v>3</v>
      </c>
      <c r="H35" s="82">
        <v>5</v>
      </c>
      <c r="I35" s="82">
        <v>17.8</v>
      </c>
      <c r="J35" s="82">
        <v>8.3000000000000007</v>
      </c>
      <c r="K35" s="89" t="s">
        <v>193</v>
      </c>
      <c r="M35" s="34"/>
    </row>
    <row r="36" spans="1:13" x14ac:dyDescent="0.2">
      <c r="A36" t="s">
        <v>21</v>
      </c>
      <c r="B36" s="89">
        <v>1674</v>
      </c>
      <c r="C36" s="82">
        <v>1</v>
      </c>
      <c r="D36" s="83">
        <v>30854</v>
      </c>
      <c r="E36" s="84">
        <f t="shared" si="0"/>
        <v>1984</v>
      </c>
      <c r="F36" s="82" t="s">
        <v>22</v>
      </c>
      <c r="G36" s="82">
        <v>3</v>
      </c>
      <c r="H36" s="82">
        <v>6</v>
      </c>
      <c r="I36" s="82">
        <v>17.8</v>
      </c>
      <c r="J36" s="82">
        <v>8.1</v>
      </c>
      <c r="K36" s="89" t="s">
        <v>193</v>
      </c>
      <c r="M36" s="34"/>
    </row>
    <row r="37" spans="1:13" x14ac:dyDescent="0.2">
      <c r="A37" t="s">
        <v>21</v>
      </c>
      <c r="B37" s="89">
        <v>1674</v>
      </c>
      <c r="C37" s="82">
        <v>1</v>
      </c>
      <c r="D37" s="83">
        <v>30854</v>
      </c>
      <c r="E37" s="84">
        <f t="shared" si="0"/>
        <v>1984</v>
      </c>
      <c r="F37" s="82" t="s">
        <v>22</v>
      </c>
      <c r="G37" s="82">
        <v>3</v>
      </c>
      <c r="H37" s="82">
        <v>7</v>
      </c>
      <c r="I37" s="82">
        <v>17.8</v>
      </c>
      <c r="J37" s="82">
        <v>8.1</v>
      </c>
      <c r="K37" s="89" t="s">
        <v>193</v>
      </c>
      <c r="M37" s="34"/>
    </row>
    <row r="38" spans="1:13" x14ac:dyDescent="0.2">
      <c r="A38" t="s">
        <v>21</v>
      </c>
      <c r="B38" s="89">
        <v>1674</v>
      </c>
      <c r="C38" s="82">
        <v>1</v>
      </c>
      <c r="D38" s="83">
        <v>30854</v>
      </c>
      <c r="E38" s="84">
        <f t="shared" si="0"/>
        <v>1984</v>
      </c>
      <c r="F38" s="82" t="s">
        <v>22</v>
      </c>
      <c r="G38" s="82">
        <v>3</v>
      </c>
      <c r="H38" s="82">
        <v>8</v>
      </c>
      <c r="I38" s="82">
        <v>17.5</v>
      </c>
      <c r="J38" s="82">
        <v>7.9</v>
      </c>
      <c r="K38" s="89" t="s">
        <v>193</v>
      </c>
      <c r="M38" s="34"/>
    </row>
    <row r="39" spans="1:13" x14ac:dyDescent="0.2">
      <c r="A39" t="s">
        <v>21</v>
      </c>
      <c r="B39" s="89">
        <v>1674</v>
      </c>
      <c r="C39" s="82">
        <v>1</v>
      </c>
      <c r="D39" s="83">
        <v>30854</v>
      </c>
      <c r="E39" s="84">
        <f t="shared" si="0"/>
        <v>1984</v>
      </c>
      <c r="F39" s="82" t="s">
        <v>22</v>
      </c>
      <c r="G39" s="82">
        <v>3</v>
      </c>
      <c r="H39" s="82">
        <v>10</v>
      </c>
      <c r="I39" s="82">
        <v>15.5</v>
      </c>
      <c r="J39" s="82">
        <v>6.4</v>
      </c>
      <c r="K39" s="89" t="s">
        <v>193</v>
      </c>
      <c r="M39" s="34"/>
    </row>
    <row r="40" spans="1:13" x14ac:dyDescent="0.2">
      <c r="A40" t="s">
        <v>21</v>
      </c>
      <c r="B40" s="89">
        <v>1674</v>
      </c>
      <c r="C40" s="82">
        <v>1</v>
      </c>
      <c r="D40" s="83">
        <v>30854</v>
      </c>
      <c r="E40" s="84">
        <f t="shared" si="0"/>
        <v>1984</v>
      </c>
      <c r="F40" s="82" t="s">
        <v>22</v>
      </c>
      <c r="G40" s="82">
        <v>3</v>
      </c>
      <c r="H40" s="82">
        <v>11</v>
      </c>
      <c r="I40" s="82">
        <v>15.5</v>
      </c>
      <c r="J40" s="82">
        <v>6.4</v>
      </c>
      <c r="K40" s="89" t="s">
        <v>193</v>
      </c>
      <c r="M40" s="34"/>
    </row>
    <row r="41" spans="1:13" x14ac:dyDescent="0.2">
      <c r="A41" t="s">
        <v>21</v>
      </c>
      <c r="B41" s="89">
        <v>1674</v>
      </c>
      <c r="C41" s="82">
        <v>1</v>
      </c>
      <c r="D41" s="83">
        <v>30854</v>
      </c>
      <c r="E41" s="84">
        <f t="shared" si="0"/>
        <v>1984</v>
      </c>
      <c r="F41" s="82" t="s">
        <v>22</v>
      </c>
      <c r="G41" s="82">
        <v>3</v>
      </c>
      <c r="H41" s="82">
        <v>12</v>
      </c>
      <c r="I41" s="82">
        <v>15</v>
      </c>
      <c r="J41" s="82">
        <v>4.4000000000000004</v>
      </c>
      <c r="K41" s="89" t="s">
        <v>193</v>
      </c>
      <c r="M41" s="34"/>
    </row>
    <row r="42" spans="1:13" x14ac:dyDescent="0.2">
      <c r="A42" t="s">
        <v>21</v>
      </c>
      <c r="B42" s="89">
        <v>1674</v>
      </c>
      <c r="C42" s="82">
        <v>1</v>
      </c>
      <c r="D42" s="83">
        <v>30854</v>
      </c>
      <c r="E42" s="84">
        <f t="shared" si="0"/>
        <v>1984</v>
      </c>
      <c r="F42" s="82" t="s">
        <v>22</v>
      </c>
      <c r="G42" s="82">
        <v>3</v>
      </c>
      <c r="H42" s="82">
        <v>13</v>
      </c>
      <c r="I42" s="82">
        <v>15</v>
      </c>
      <c r="J42" s="82">
        <v>4.5999999999999996</v>
      </c>
      <c r="K42" s="89" t="s">
        <v>193</v>
      </c>
      <c r="M42" s="34"/>
    </row>
    <row r="43" spans="1:13" x14ac:dyDescent="0.2">
      <c r="A43" t="s">
        <v>21</v>
      </c>
      <c r="B43" s="89">
        <v>1674</v>
      </c>
      <c r="C43" s="82">
        <v>1</v>
      </c>
      <c r="D43" s="83">
        <v>30854</v>
      </c>
      <c r="E43" s="84">
        <f t="shared" si="0"/>
        <v>1984</v>
      </c>
      <c r="F43" s="82" t="s">
        <v>22</v>
      </c>
      <c r="G43" s="82">
        <v>3</v>
      </c>
      <c r="H43" s="82">
        <v>15</v>
      </c>
      <c r="I43" s="82">
        <v>15</v>
      </c>
      <c r="J43" s="82">
        <v>3.8</v>
      </c>
      <c r="K43" s="89" t="s">
        <v>193</v>
      </c>
      <c r="M43" s="34"/>
    </row>
    <row r="44" spans="1:13" x14ac:dyDescent="0.2">
      <c r="A44" t="s">
        <v>21</v>
      </c>
      <c r="B44" s="89">
        <v>1674</v>
      </c>
      <c r="C44" s="82">
        <v>1</v>
      </c>
      <c r="D44" s="83">
        <v>30862</v>
      </c>
      <c r="E44" s="84">
        <f t="shared" si="0"/>
        <v>1984</v>
      </c>
      <c r="F44" s="82" t="s">
        <v>22</v>
      </c>
      <c r="G44" s="82">
        <v>3</v>
      </c>
      <c r="H44" s="82">
        <v>0.1</v>
      </c>
      <c r="I44" s="82">
        <v>17.5</v>
      </c>
      <c r="J44" s="82">
        <v>9.4</v>
      </c>
      <c r="K44" s="89" t="s">
        <v>193</v>
      </c>
      <c r="M44" s="34"/>
    </row>
    <row r="45" spans="1:13" x14ac:dyDescent="0.2">
      <c r="A45" t="s">
        <v>21</v>
      </c>
      <c r="B45" s="89">
        <v>1674</v>
      </c>
      <c r="C45" s="82">
        <v>1</v>
      </c>
      <c r="D45" s="83">
        <v>30862</v>
      </c>
      <c r="E45" s="84">
        <f t="shared" si="0"/>
        <v>1984</v>
      </c>
      <c r="F45" s="82" t="s">
        <v>22</v>
      </c>
      <c r="G45" s="82">
        <v>3</v>
      </c>
      <c r="H45" s="82">
        <v>2</v>
      </c>
      <c r="I45" s="82">
        <v>16.5</v>
      </c>
      <c r="J45" s="82">
        <v>9.1999999999999993</v>
      </c>
      <c r="K45" s="89" t="s">
        <v>193</v>
      </c>
      <c r="M45" s="34"/>
    </row>
    <row r="46" spans="1:13" x14ac:dyDescent="0.2">
      <c r="A46" t="s">
        <v>21</v>
      </c>
      <c r="B46" s="89">
        <v>1674</v>
      </c>
      <c r="C46" s="82">
        <v>1</v>
      </c>
      <c r="D46" s="83">
        <v>30862</v>
      </c>
      <c r="E46" s="84">
        <f t="shared" si="0"/>
        <v>1984</v>
      </c>
      <c r="F46" s="82" t="s">
        <v>22</v>
      </c>
      <c r="G46" s="82">
        <v>3</v>
      </c>
      <c r="H46" s="82">
        <v>3</v>
      </c>
      <c r="I46" s="82">
        <v>16.2</v>
      </c>
      <c r="J46" s="82">
        <v>8.9</v>
      </c>
      <c r="K46" s="89" t="s">
        <v>193</v>
      </c>
      <c r="M46" s="34"/>
    </row>
    <row r="47" spans="1:13" x14ac:dyDescent="0.2">
      <c r="A47" t="s">
        <v>21</v>
      </c>
      <c r="B47" s="89">
        <v>1674</v>
      </c>
      <c r="C47" s="82">
        <v>1</v>
      </c>
      <c r="D47" s="83">
        <v>30862</v>
      </c>
      <c r="E47" s="84">
        <f t="shared" si="0"/>
        <v>1984</v>
      </c>
      <c r="F47" s="82" t="s">
        <v>22</v>
      </c>
      <c r="G47" s="82">
        <v>3</v>
      </c>
      <c r="H47" s="82">
        <v>4</v>
      </c>
      <c r="I47" s="82">
        <v>16</v>
      </c>
      <c r="J47" s="82">
        <v>8.4</v>
      </c>
      <c r="K47" s="89" t="s">
        <v>193</v>
      </c>
      <c r="M47" s="34"/>
    </row>
    <row r="48" spans="1:13" x14ac:dyDescent="0.2">
      <c r="A48" t="s">
        <v>21</v>
      </c>
      <c r="B48" s="89">
        <v>1674</v>
      </c>
      <c r="C48" s="82">
        <v>1</v>
      </c>
      <c r="D48" s="83">
        <v>30862</v>
      </c>
      <c r="E48" s="84">
        <f t="shared" si="0"/>
        <v>1984</v>
      </c>
      <c r="F48" s="82" t="s">
        <v>22</v>
      </c>
      <c r="G48" s="82">
        <v>3</v>
      </c>
      <c r="H48" s="82">
        <v>5</v>
      </c>
      <c r="I48" s="82">
        <v>15.8</v>
      </c>
      <c r="J48" s="82">
        <v>8</v>
      </c>
      <c r="K48" s="89" t="s">
        <v>193</v>
      </c>
      <c r="M48" s="34"/>
    </row>
    <row r="49" spans="1:13" x14ac:dyDescent="0.2">
      <c r="A49" t="s">
        <v>21</v>
      </c>
      <c r="B49" s="89">
        <v>1674</v>
      </c>
      <c r="C49" s="82">
        <v>1</v>
      </c>
      <c r="D49" s="83">
        <v>30862</v>
      </c>
      <c r="E49" s="84">
        <f t="shared" si="0"/>
        <v>1984</v>
      </c>
      <c r="F49" s="82" t="s">
        <v>22</v>
      </c>
      <c r="G49" s="82">
        <v>3</v>
      </c>
      <c r="H49" s="82">
        <v>6</v>
      </c>
      <c r="I49" s="82">
        <v>15.5</v>
      </c>
      <c r="J49" s="82">
        <v>8.1999999999999993</v>
      </c>
      <c r="K49" s="89" t="s">
        <v>193</v>
      </c>
      <c r="M49" s="34"/>
    </row>
    <row r="50" spans="1:13" x14ac:dyDescent="0.2">
      <c r="A50" t="s">
        <v>21</v>
      </c>
      <c r="B50" s="89">
        <v>1674</v>
      </c>
      <c r="C50" s="82">
        <v>1</v>
      </c>
      <c r="D50" s="83">
        <v>30862</v>
      </c>
      <c r="E50" s="84">
        <f t="shared" si="0"/>
        <v>1984</v>
      </c>
      <c r="F50" s="82" t="s">
        <v>22</v>
      </c>
      <c r="G50" s="82">
        <v>3</v>
      </c>
      <c r="H50" s="82">
        <v>7</v>
      </c>
      <c r="I50" s="82">
        <v>15.5</v>
      </c>
      <c r="J50" s="82">
        <v>8</v>
      </c>
      <c r="K50" s="89" t="s">
        <v>193</v>
      </c>
      <c r="M50" s="34"/>
    </row>
    <row r="51" spans="1:13" x14ac:dyDescent="0.2">
      <c r="A51" t="s">
        <v>21</v>
      </c>
      <c r="B51" s="89">
        <v>1674</v>
      </c>
      <c r="C51" s="82">
        <v>1</v>
      </c>
      <c r="D51" s="83">
        <v>30862</v>
      </c>
      <c r="E51" s="84">
        <f t="shared" si="0"/>
        <v>1984</v>
      </c>
      <c r="F51" s="82" t="s">
        <v>22</v>
      </c>
      <c r="G51" s="82">
        <v>3</v>
      </c>
      <c r="H51" s="82">
        <v>8</v>
      </c>
      <c r="I51" s="82">
        <v>15.5</v>
      </c>
      <c r="J51" s="82">
        <v>8</v>
      </c>
      <c r="K51" s="89" t="s">
        <v>193</v>
      </c>
      <c r="M51" s="34"/>
    </row>
    <row r="52" spans="1:13" x14ac:dyDescent="0.2">
      <c r="A52" t="s">
        <v>21</v>
      </c>
      <c r="B52" s="89">
        <v>1674</v>
      </c>
      <c r="C52" s="82">
        <v>1</v>
      </c>
      <c r="D52" s="83">
        <v>30862</v>
      </c>
      <c r="E52" s="84">
        <f t="shared" si="0"/>
        <v>1984</v>
      </c>
      <c r="F52" s="82" t="s">
        <v>22</v>
      </c>
      <c r="G52" s="82">
        <v>3</v>
      </c>
      <c r="H52" s="82">
        <v>9</v>
      </c>
      <c r="I52" s="82">
        <v>15.5</v>
      </c>
      <c r="J52" s="82">
        <v>8</v>
      </c>
      <c r="K52" s="89" t="s">
        <v>193</v>
      </c>
      <c r="M52" s="34"/>
    </row>
    <row r="53" spans="1:13" x14ac:dyDescent="0.2">
      <c r="A53" t="s">
        <v>21</v>
      </c>
      <c r="B53" s="89">
        <v>1674</v>
      </c>
      <c r="C53" s="82">
        <v>1</v>
      </c>
      <c r="D53" s="83">
        <v>30862</v>
      </c>
      <c r="E53" s="84">
        <f t="shared" si="0"/>
        <v>1984</v>
      </c>
      <c r="F53" s="82" t="s">
        <v>22</v>
      </c>
      <c r="G53" s="82">
        <v>3</v>
      </c>
      <c r="H53" s="82">
        <v>10</v>
      </c>
      <c r="I53" s="82">
        <v>15.2</v>
      </c>
      <c r="J53" s="82">
        <v>7.9</v>
      </c>
      <c r="K53" s="89" t="s">
        <v>193</v>
      </c>
      <c r="M53" s="34"/>
    </row>
    <row r="54" spans="1:13" x14ac:dyDescent="0.2">
      <c r="A54" t="s">
        <v>21</v>
      </c>
      <c r="B54" s="89">
        <v>1674</v>
      </c>
      <c r="C54" s="82">
        <v>1</v>
      </c>
      <c r="D54" s="83">
        <v>30862</v>
      </c>
      <c r="E54" s="84">
        <f t="shared" si="0"/>
        <v>1984</v>
      </c>
      <c r="F54" s="82" t="s">
        <v>22</v>
      </c>
      <c r="G54" s="82">
        <v>3</v>
      </c>
      <c r="H54" s="82">
        <v>11</v>
      </c>
      <c r="I54" s="82">
        <v>15.2</v>
      </c>
      <c r="J54" s="82">
        <v>7.9</v>
      </c>
      <c r="K54" s="89" t="s">
        <v>193</v>
      </c>
      <c r="M54" s="34"/>
    </row>
    <row r="55" spans="1:13" x14ac:dyDescent="0.2">
      <c r="A55" t="s">
        <v>21</v>
      </c>
      <c r="B55" s="89">
        <v>1674</v>
      </c>
      <c r="C55" s="82">
        <v>1</v>
      </c>
      <c r="D55" s="83">
        <v>30862</v>
      </c>
      <c r="E55" s="84">
        <f t="shared" si="0"/>
        <v>1984</v>
      </c>
      <c r="F55" s="82" t="s">
        <v>22</v>
      </c>
      <c r="G55" s="82">
        <v>3</v>
      </c>
      <c r="H55" s="82">
        <v>12</v>
      </c>
      <c r="I55" s="82">
        <v>15.2</v>
      </c>
      <c r="J55" s="82">
        <v>7.8</v>
      </c>
      <c r="K55" s="89" t="s">
        <v>193</v>
      </c>
      <c r="M55" s="34"/>
    </row>
    <row r="56" spans="1:13" x14ac:dyDescent="0.2">
      <c r="A56" t="s">
        <v>21</v>
      </c>
      <c r="B56" s="89">
        <v>1674</v>
      </c>
      <c r="C56" s="82">
        <v>1</v>
      </c>
      <c r="D56" s="83">
        <v>30862</v>
      </c>
      <c r="E56" s="84">
        <f t="shared" si="0"/>
        <v>1984</v>
      </c>
      <c r="F56" s="82" t="s">
        <v>22</v>
      </c>
      <c r="G56" s="82">
        <v>3</v>
      </c>
      <c r="H56" s="82">
        <v>13</v>
      </c>
      <c r="I56" s="82">
        <v>15.2</v>
      </c>
      <c r="J56" s="82">
        <v>6.9</v>
      </c>
      <c r="K56" s="89" t="s">
        <v>193</v>
      </c>
      <c r="M56" s="34"/>
    </row>
    <row r="57" spans="1:13" x14ac:dyDescent="0.2">
      <c r="A57" t="s">
        <v>21</v>
      </c>
      <c r="B57" s="89">
        <v>1674</v>
      </c>
      <c r="C57" s="82">
        <v>1</v>
      </c>
      <c r="D57" s="83">
        <v>30862</v>
      </c>
      <c r="E57" s="84">
        <f t="shared" si="0"/>
        <v>1984</v>
      </c>
      <c r="F57" s="82" t="s">
        <v>22</v>
      </c>
      <c r="G57" s="82">
        <v>3</v>
      </c>
      <c r="H57" s="82">
        <v>14</v>
      </c>
      <c r="I57" s="82">
        <v>15.2</v>
      </c>
      <c r="J57" s="82">
        <v>0.5</v>
      </c>
      <c r="K57" s="89" t="s">
        <v>193</v>
      </c>
      <c r="M57" s="34"/>
    </row>
    <row r="58" spans="1:13" x14ac:dyDescent="0.2">
      <c r="A58" t="s">
        <v>21</v>
      </c>
      <c r="B58" s="89">
        <v>1674</v>
      </c>
      <c r="C58" s="82">
        <v>1</v>
      </c>
      <c r="D58" s="83">
        <v>30873</v>
      </c>
      <c r="E58" s="84">
        <f t="shared" si="0"/>
        <v>1984</v>
      </c>
      <c r="F58" s="82" t="s">
        <v>22</v>
      </c>
      <c r="G58" s="82">
        <v>3</v>
      </c>
      <c r="H58" s="82">
        <v>1</v>
      </c>
      <c r="I58" s="82">
        <v>21.5</v>
      </c>
      <c r="J58" s="82">
        <v>9</v>
      </c>
      <c r="K58" s="89" t="s">
        <v>193</v>
      </c>
      <c r="M58" s="34"/>
    </row>
    <row r="59" spans="1:13" x14ac:dyDescent="0.2">
      <c r="A59" t="s">
        <v>21</v>
      </c>
      <c r="B59" s="89">
        <v>1674</v>
      </c>
      <c r="C59" s="82">
        <v>1</v>
      </c>
      <c r="D59" s="83">
        <v>30873</v>
      </c>
      <c r="E59" s="84">
        <f t="shared" si="0"/>
        <v>1984</v>
      </c>
      <c r="F59" s="82" t="s">
        <v>22</v>
      </c>
      <c r="G59" s="82">
        <v>3</v>
      </c>
      <c r="H59" s="82">
        <v>2</v>
      </c>
      <c r="I59" s="82">
        <v>21.1</v>
      </c>
      <c r="J59" s="82">
        <v>8.9</v>
      </c>
      <c r="K59" s="89" t="s">
        <v>193</v>
      </c>
      <c r="M59" s="34"/>
    </row>
    <row r="60" spans="1:13" x14ac:dyDescent="0.2">
      <c r="A60" t="s">
        <v>21</v>
      </c>
      <c r="B60" s="89">
        <v>1674</v>
      </c>
      <c r="C60" s="82">
        <v>1</v>
      </c>
      <c r="D60" s="83">
        <v>30873</v>
      </c>
      <c r="E60" s="84">
        <f t="shared" si="0"/>
        <v>1984</v>
      </c>
      <c r="F60" s="82" t="s">
        <v>22</v>
      </c>
      <c r="G60" s="82">
        <v>3</v>
      </c>
      <c r="H60" s="82">
        <v>3</v>
      </c>
      <c r="I60" s="82">
        <v>21</v>
      </c>
      <c r="J60" s="82">
        <v>8.8000000000000007</v>
      </c>
      <c r="K60" s="89" t="s">
        <v>193</v>
      </c>
    </row>
    <row r="61" spans="1:13" x14ac:dyDescent="0.2">
      <c r="A61" t="s">
        <v>21</v>
      </c>
      <c r="B61" s="89">
        <v>1674</v>
      </c>
      <c r="C61" s="82">
        <v>1</v>
      </c>
      <c r="D61" s="83">
        <v>30873</v>
      </c>
      <c r="E61" s="84">
        <f t="shared" si="0"/>
        <v>1984</v>
      </c>
      <c r="F61" s="82" t="s">
        <v>22</v>
      </c>
      <c r="G61" s="82">
        <v>3</v>
      </c>
      <c r="H61" s="82">
        <v>4</v>
      </c>
      <c r="I61" s="82">
        <v>21</v>
      </c>
      <c r="J61" s="82">
        <v>8.6999999999999993</v>
      </c>
      <c r="K61" s="89" t="s">
        <v>193</v>
      </c>
    </row>
    <row r="62" spans="1:13" x14ac:dyDescent="0.2">
      <c r="A62" t="s">
        <v>21</v>
      </c>
      <c r="B62" s="89">
        <v>1674</v>
      </c>
      <c r="C62" s="82">
        <v>1</v>
      </c>
      <c r="D62" s="83">
        <v>30873</v>
      </c>
      <c r="E62" s="84">
        <f t="shared" si="0"/>
        <v>1984</v>
      </c>
      <c r="F62" s="82" t="s">
        <v>22</v>
      </c>
      <c r="G62" s="82">
        <v>3</v>
      </c>
      <c r="H62" s="82">
        <v>5</v>
      </c>
      <c r="I62" s="82">
        <v>18.5</v>
      </c>
      <c r="J62" s="82">
        <v>7.2</v>
      </c>
      <c r="K62" s="89" t="s">
        <v>193</v>
      </c>
    </row>
    <row r="63" spans="1:13" x14ac:dyDescent="0.2">
      <c r="A63" t="s">
        <v>21</v>
      </c>
      <c r="B63" s="89">
        <v>1674</v>
      </c>
      <c r="C63" s="82">
        <v>1</v>
      </c>
      <c r="D63" s="83">
        <v>30873</v>
      </c>
      <c r="E63" s="84">
        <f t="shared" si="0"/>
        <v>1984</v>
      </c>
      <c r="F63" s="82" t="s">
        <v>22</v>
      </c>
      <c r="G63" s="82">
        <v>3</v>
      </c>
      <c r="H63" s="82">
        <v>6</v>
      </c>
      <c r="I63" s="82">
        <v>17.8</v>
      </c>
      <c r="J63" s="82">
        <v>6.8</v>
      </c>
      <c r="K63" s="89" t="s">
        <v>193</v>
      </c>
    </row>
    <row r="64" spans="1:13" x14ac:dyDescent="0.2">
      <c r="A64" t="s">
        <v>21</v>
      </c>
      <c r="B64" s="89">
        <v>1674</v>
      </c>
      <c r="C64" s="82">
        <v>1</v>
      </c>
      <c r="D64" s="83">
        <v>30873</v>
      </c>
      <c r="E64" s="84">
        <f t="shared" si="0"/>
        <v>1984</v>
      </c>
      <c r="F64" s="82" t="s">
        <v>22</v>
      </c>
      <c r="G64" s="82">
        <v>3</v>
      </c>
      <c r="H64" s="82">
        <v>7</v>
      </c>
      <c r="I64" s="82">
        <v>17.5</v>
      </c>
      <c r="J64" s="82">
        <v>6.4</v>
      </c>
      <c r="K64" s="89" t="s">
        <v>193</v>
      </c>
    </row>
    <row r="65" spans="1:11" x14ac:dyDescent="0.2">
      <c r="A65" t="s">
        <v>21</v>
      </c>
      <c r="B65" s="89">
        <v>1674</v>
      </c>
      <c r="C65" s="82">
        <v>1</v>
      </c>
      <c r="D65" s="83">
        <v>30873</v>
      </c>
      <c r="E65" s="84">
        <f t="shared" si="0"/>
        <v>1984</v>
      </c>
      <c r="F65" s="82" t="s">
        <v>22</v>
      </c>
      <c r="G65" s="82">
        <v>3</v>
      </c>
      <c r="H65" s="82">
        <v>8</v>
      </c>
      <c r="I65" s="82">
        <v>17.2</v>
      </c>
      <c r="J65" s="82">
        <v>6.2</v>
      </c>
      <c r="K65" s="89" t="s">
        <v>193</v>
      </c>
    </row>
    <row r="66" spans="1:11" x14ac:dyDescent="0.2">
      <c r="A66" t="s">
        <v>21</v>
      </c>
      <c r="B66" s="89">
        <v>1674</v>
      </c>
      <c r="C66" s="82">
        <v>1</v>
      </c>
      <c r="D66" s="83">
        <v>30873</v>
      </c>
      <c r="E66" s="84">
        <f t="shared" ref="E66:E129" si="1">YEAR(D66)</f>
        <v>1984</v>
      </c>
      <c r="F66" s="82" t="s">
        <v>22</v>
      </c>
      <c r="G66" s="82">
        <v>3</v>
      </c>
      <c r="H66" s="82">
        <v>9</v>
      </c>
      <c r="I66" s="82">
        <v>17</v>
      </c>
      <c r="J66" s="82">
        <v>6</v>
      </c>
      <c r="K66" s="89" t="s">
        <v>193</v>
      </c>
    </row>
    <row r="67" spans="1:11" x14ac:dyDescent="0.2">
      <c r="A67" t="s">
        <v>21</v>
      </c>
      <c r="B67" s="89">
        <v>1674</v>
      </c>
      <c r="C67" s="82">
        <v>1</v>
      </c>
      <c r="D67" s="83">
        <v>30873</v>
      </c>
      <c r="E67" s="84">
        <f t="shared" si="1"/>
        <v>1984</v>
      </c>
      <c r="F67" s="82" t="s">
        <v>22</v>
      </c>
      <c r="G67" s="82">
        <v>3</v>
      </c>
      <c r="H67" s="82">
        <v>10</v>
      </c>
      <c r="I67" s="82">
        <v>16.5</v>
      </c>
      <c r="J67" s="82">
        <v>5.4</v>
      </c>
      <c r="K67" s="89" t="s">
        <v>193</v>
      </c>
    </row>
    <row r="68" spans="1:11" x14ac:dyDescent="0.2">
      <c r="A68" t="s">
        <v>21</v>
      </c>
      <c r="B68" s="89">
        <v>1674</v>
      </c>
      <c r="C68" s="82">
        <v>1</v>
      </c>
      <c r="D68" s="83">
        <v>30873</v>
      </c>
      <c r="E68" s="84">
        <f t="shared" si="1"/>
        <v>1984</v>
      </c>
      <c r="F68" s="82" t="s">
        <v>22</v>
      </c>
      <c r="G68" s="82">
        <v>3</v>
      </c>
      <c r="H68" s="82">
        <v>10.5</v>
      </c>
      <c r="I68" s="82">
        <v>16</v>
      </c>
      <c r="J68" s="82">
        <v>0.8</v>
      </c>
      <c r="K68" s="89" t="s">
        <v>193</v>
      </c>
    </row>
    <row r="69" spans="1:11" x14ac:dyDescent="0.2">
      <c r="A69" t="s">
        <v>21</v>
      </c>
      <c r="B69" s="89">
        <v>1674</v>
      </c>
      <c r="C69" s="82">
        <v>1</v>
      </c>
      <c r="D69" s="83">
        <v>30882</v>
      </c>
      <c r="E69" s="84">
        <f t="shared" si="1"/>
        <v>1984</v>
      </c>
      <c r="F69" s="82" t="s">
        <v>22</v>
      </c>
      <c r="G69" s="82">
        <v>3</v>
      </c>
      <c r="H69" s="82">
        <v>0.1</v>
      </c>
      <c r="I69" s="82">
        <v>21.4</v>
      </c>
      <c r="J69" s="82">
        <v>9.6999999999999993</v>
      </c>
      <c r="K69" s="89" t="s">
        <v>193</v>
      </c>
    </row>
    <row r="70" spans="1:11" x14ac:dyDescent="0.2">
      <c r="A70" t="s">
        <v>21</v>
      </c>
      <c r="B70" s="89">
        <v>1674</v>
      </c>
      <c r="C70" s="82">
        <v>1</v>
      </c>
      <c r="D70" s="83">
        <v>30882</v>
      </c>
      <c r="E70" s="84">
        <f t="shared" si="1"/>
        <v>1984</v>
      </c>
      <c r="F70" s="82" t="s">
        <v>22</v>
      </c>
      <c r="G70" s="82">
        <v>3</v>
      </c>
      <c r="H70" s="82">
        <v>1</v>
      </c>
      <c r="I70" s="82">
        <v>21.4</v>
      </c>
      <c r="J70" s="82">
        <v>9.6</v>
      </c>
      <c r="K70" s="89" t="s">
        <v>193</v>
      </c>
    </row>
    <row r="71" spans="1:11" x14ac:dyDescent="0.2">
      <c r="A71" t="s">
        <v>21</v>
      </c>
      <c r="B71" s="89">
        <v>1674</v>
      </c>
      <c r="C71" s="82">
        <v>1</v>
      </c>
      <c r="D71" s="83">
        <v>30882</v>
      </c>
      <c r="E71" s="84">
        <f t="shared" si="1"/>
        <v>1984</v>
      </c>
      <c r="F71" s="82" t="s">
        <v>22</v>
      </c>
      <c r="G71" s="82">
        <v>3</v>
      </c>
      <c r="H71" s="82">
        <v>2</v>
      </c>
      <c r="I71" s="82">
        <v>21.2</v>
      </c>
      <c r="J71" s="82">
        <v>9.6</v>
      </c>
      <c r="K71" s="89" t="s">
        <v>193</v>
      </c>
    </row>
    <row r="72" spans="1:11" x14ac:dyDescent="0.2">
      <c r="A72" t="s">
        <v>21</v>
      </c>
      <c r="B72" s="89">
        <v>1674</v>
      </c>
      <c r="C72" s="82">
        <v>1</v>
      </c>
      <c r="D72" s="83">
        <v>30882</v>
      </c>
      <c r="E72" s="84">
        <f t="shared" si="1"/>
        <v>1984</v>
      </c>
      <c r="F72" s="82" t="s">
        <v>22</v>
      </c>
      <c r="G72" s="82">
        <v>3</v>
      </c>
      <c r="H72" s="82">
        <v>3</v>
      </c>
      <c r="I72" s="82">
        <v>21.2</v>
      </c>
      <c r="J72" s="82">
        <v>9.6</v>
      </c>
      <c r="K72" s="89" t="s">
        <v>193</v>
      </c>
    </row>
    <row r="73" spans="1:11" x14ac:dyDescent="0.2">
      <c r="A73" t="s">
        <v>21</v>
      </c>
      <c r="B73" s="89">
        <v>1674</v>
      </c>
      <c r="C73" s="82">
        <v>1</v>
      </c>
      <c r="D73" s="83">
        <v>30882</v>
      </c>
      <c r="E73" s="84">
        <f t="shared" si="1"/>
        <v>1984</v>
      </c>
      <c r="F73" s="82" t="s">
        <v>22</v>
      </c>
      <c r="G73" s="82">
        <v>3</v>
      </c>
      <c r="H73" s="82">
        <v>4</v>
      </c>
      <c r="I73" s="82">
        <v>21</v>
      </c>
      <c r="J73" s="82">
        <v>9.6</v>
      </c>
      <c r="K73" s="89" t="s">
        <v>193</v>
      </c>
    </row>
    <row r="74" spans="1:11" x14ac:dyDescent="0.2">
      <c r="A74" t="s">
        <v>21</v>
      </c>
      <c r="B74" s="89">
        <v>1674</v>
      </c>
      <c r="C74" s="82">
        <v>1</v>
      </c>
      <c r="D74" s="83">
        <v>30882</v>
      </c>
      <c r="E74" s="84">
        <f t="shared" si="1"/>
        <v>1984</v>
      </c>
      <c r="F74" s="82" t="s">
        <v>22</v>
      </c>
      <c r="G74" s="82">
        <v>3</v>
      </c>
      <c r="H74" s="82">
        <v>5</v>
      </c>
      <c r="I74" s="82">
        <v>21</v>
      </c>
      <c r="J74" s="82">
        <v>9.6</v>
      </c>
      <c r="K74" s="89" t="s">
        <v>193</v>
      </c>
    </row>
    <row r="75" spans="1:11" x14ac:dyDescent="0.2">
      <c r="A75" t="s">
        <v>21</v>
      </c>
      <c r="B75" s="89">
        <v>1674</v>
      </c>
      <c r="C75" s="82">
        <v>1</v>
      </c>
      <c r="D75" s="83">
        <v>30882</v>
      </c>
      <c r="E75" s="84">
        <f t="shared" si="1"/>
        <v>1984</v>
      </c>
      <c r="F75" s="82" t="s">
        <v>22</v>
      </c>
      <c r="G75" s="82">
        <v>3</v>
      </c>
      <c r="H75" s="82">
        <v>6</v>
      </c>
      <c r="I75" s="82">
        <v>20.399999999999999</v>
      </c>
      <c r="J75" s="82">
        <v>9.4</v>
      </c>
      <c r="K75" s="89" t="s">
        <v>193</v>
      </c>
    </row>
    <row r="76" spans="1:11" x14ac:dyDescent="0.2">
      <c r="A76" t="s">
        <v>21</v>
      </c>
      <c r="B76" s="89">
        <v>1674</v>
      </c>
      <c r="C76" s="82">
        <v>1</v>
      </c>
      <c r="D76" s="83">
        <v>30882</v>
      </c>
      <c r="E76" s="84">
        <f t="shared" si="1"/>
        <v>1984</v>
      </c>
      <c r="F76" s="82" t="s">
        <v>22</v>
      </c>
      <c r="G76" s="82">
        <v>3</v>
      </c>
      <c r="H76" s="82">
        <v>7</v>
      </c>
      <c r="I76" s="82">
        <v>18.8</v>
      </c>
      <c r="J76" s="82">
        <v>6.2</v>
      </c>
      <c r="K76" s="89" t="s">
        <v>193</v>
      </c>
    </row>
    <row r="77" spans="1:11" x14ac:dyDescent="0.2">
      <c r="A77" t="s">
        <v>21</v>
      </c>
      <c r="B77" s="89">
        <v>1674</v>
      </c>
      <c r="C77" s="82">
        <v>1</v>
      </c>
      <c r="D77" s="83">
        <v>30882</v>
      </c>
      <c r="E77" s="84">
        <f t="shared" si="1"/>
        <v>1984</v>
      </c>
      <c r="F77" s="82" t="s">
        <v>22</v>
      </c>
      <c r="G77" s="82">
        <v>3</v>
      </c>
      <c r="H77" s="82">
        <v>8</v>
      </c>
      <c r="I77" s="82">
        <v>18.8</v>
      </c>
      <c r="J77" s="82">
        <v>5.2</v>
      </c>
      <c r="K77" s="89" t="s">
        <v>193</v>
      </c>
    </row>
    <row r="78" spans="1:11" x14ac:dyDescent="0.2">
      <c r="A78" t="s">
        <v>21</v>
      </c>
      <c r="B78" s="89">
        <v>1674</v>
      </c>
      <c r="C78" s="82">
        <v>1</v>
      </c>
      <c r="D78" s="83">
        <v>30882</v>
      </c>
      <c r="E78" s="84">
        <f t="shared" si="1"/>
        <v>1984</v>
      </c>
      <c r="F78" s="82" t="s">
        <v>22</v>
      </c>
      <c r="G78" s="82">
        <v>3</v>
      </c>
      <c r="H78" s="82">
        <v>9</v>
      </c>
      <c r="I78" s="82">
        <v>18.2</v>
      </c>
      <c r="J78" s="82">
        <v>4.5999999999999996</v>
      </c>
      <c r="K78" s="89" t="s">
        <v>193</v>
      </c>
    </row>
    <row r="79" spans="1:11" x14ac:dyDescent="0.2">
      <c r="A79" t="s">
        <v>21</v>
      </c>
      <c r="B79" s="89">
        <v>1674</v>
      </c>
      <c r="C79" s="82">
        <v>1</v>
      </c>
      <c r="D79" s="83">
        <v>30882</v>
      </c>
      <c r="E79" s="84">
        <f t="shared" si="1"/>
        <v>1984</v>
      </c>
      <c r="F79" s="82" t="s">
        <v>22</v>
      </c>
      <c r="G79" s="82">
        <v>3</v>
      </c>
      <c r="H79" s="82">
        <v>10</v>
      </c>
      <c r="I79" s="82">
        <v>17.5</v>
      </c>
      <c r="J79" s="82">
        <v>4.0999999999999996</v>
      </c>
      <c r="K79" s="89" t="s">
        <v>193</v>
      </c>
    </row>
    <row r="80" spans="1:11" x14ac:dyDescent="0.2">
      <c r="A80" t="s">
        <v>21</v>
      </c>
      <c r="B80" s="89">
        <v>1674</v>
      </c>
      <c r="C80" s="82">
        <v>1</v>
      </c>
      <c r="D80" s="83">
        <v>30882</v>
      </c>
      <c r="E80" s="84">
        <f t="shared" si="1"/>
        <v>1984</v>
      </c>
      <c r="F80" s="82" t="s">
        <v>22</v>
      </c>
      <c r="G80" s="82">
        <v>3</v>
      </c>
      <c r="H80" s="82">
        <v>11</v>
      </c>
      <c r="I80" s="82">
        <v>17.2</v>
      </c>
      <c r="J80" s="82">
        <v>0.5</v>
      </c>
      <c r="K80" s="89" t="s">
        <v>193</v>
      </c>
    </row>
    <row r="81" spans="1:11" x14ac:dyDescent="0.2">
      <c r="A81" t="s">
        <v>21</v>
      </c>
      <c r="B81" s="89">
        <v>1674</v>
      </c>
      <c r="C81" s="82">
        <v>1</v>
      </c>
      <c r="D81" s="83">
        <v>30897</v>
      </c>
      <c r="E81" s="84">
        <f t="shared" si="1"/>
        <v>1984</v>
      </c>
      <c r="F81" s="82" t="s">
        <v>22</v>
      </c>
      <c r="G81" s="82">
        <v>3</v>
      </c>
      <c r="H81" s="82">
        <v>0.1</v>
      </c>
      <c r="I81" s="82">
        <v>22.4</v>
      </c>
      <c r="J81" s="82">
        <v>10</v>
      </c>
      <c r="K81" s="89" t="s">
        <v>193</v>
      </c>
    </row>
    <row r="82" spans="1:11" x14ac:dyDescent="0.2">
      <c r="A82" t="s">
        <v>21</v>
      </c>
      <c r="B82" s="89">
        <v>1674</v>
      </c>
      <c r="C82" s="82">
        <v>1</v>
      </c>
      <c r="D82" s="83">
        <v>30897</v>
      </c>
      <c r="E82" s="84">
        <f t="shared" si="1"/>
        <v>1984</v>
      </c>
      <c r="F82" s="82" t="s">
        <v>22</v>
      </c>
      <c r="G82" s="82">
        <v>3</v>
      </c>
      <c r="H82" s="82">
        <v>1</v>
      </c>
      <c r="I82" s="82">
        <v>22.2</v>
      </c>
      <c r="J82" s="82">
        <v>9.8000000000000007</v>
      </c>
      <c r="K82" s="89" t="s">
        <v>193</v>
      </c>
    </row>
    <row r="83" spans="1:11" x14ac:dyDescent="0.2">
      <c r="A83" t="s">
        <v>21</v>
      </c>
      <c r="B83" s="89">
        <v>1674</v>
      </c>
      <c r="C83" s="82">
        <v>1</v>
      </c>
      <c r="D83" s="83">
        <v>30897</v>
      </c>
      <c r="E83" s="84">
        <f t="shared" si="1"/>
        <v>1984</v>
      </c>
      <c r="F83" s="82" t="s">
        <v>22</v>
      </c>
      <c r="G83" s="82">
        <v>3</v>
      </c>
      <c r="H83" s="82">
        <v>2</v>
      </c>
      <c r="I83" s="82">
        <v>21.9</v>
      </c>
      <c r="J83" s="82">
        <v>9.4</v>
      </c>
      <c r="K83" s="89" t="s">
        <v>193</v>
      </c>
    </row>
    <row r="84" spans="1:11" x14ac:dyDescent="0.2">
      <c r="A84" t="s">
        <v>21</v>
      </c>
      <c r="B84" s="89">
        <v>1674</v>
      </c>
      <c r="C84" s="82">
        <v>1</v>
      </c>
      <c r="D84" s="83">
        <v>30897</v>
      </c>
      <c r="E84" s="84">
        <f t="shared" si="1"/>
        <v>1984</v>
      </c>
      <c r="F84" s="82" t="s">
        <v>22</v>
      </c>
      <c r="G84" s="82">
        <v>3</v>
      </c>
      <c r="H84" s="82">
        <v>3</v>
      </c>
      <c r="I84" s="82">
        <v>21.8</v>
      </c>
      <c r="J84" s="82">
        <v>9.1999999999999993</v>
      </c>
      <c r="K84" s="89" t="s">
        <v>193</v>
      </c>
    </row>
    <row r="85" spans="1:11" x14ac:dyDescent="0.2">
      <c r="A85" t="s">
        <v>21</v>
      </c>
      <c r="B85" s="89">
        <v>1674</v>
      </c>
      <c r="C85" s="82">
        <v>1</v>
      </c>
      <c r="D85" s="83">
        <v>30897</v>
      </c>
      <c r="E85" s="84">
        <f t="shared" si="1"/>
        <v>1984</v>
      </c>
      <c r="F85" s="82" t="s">
        <v>22</v>
      </c>
      <c r="G85" s="82">
        <v>3</v>
      </c>
      <c r="H85" s="82">
        <v>4</v>
      </c>
      <c r="I85" s="82">
        <v>21.3</v>
      </c>
      <c r="J85" s="82">
        <v>8.6999999999999993</v>
      </c>
      <c r="K85" s="89" t="s">
        <v>193</v>
      </c>
    </row>
    <row r="86" spans="1:11" x14ac:dyDescent="0.2">
      <c r="A86" t="s">
        <v>21</v>
      </c>
      <c r="B86" s="89">
        <v>1674</v>
      </c>
      <c r="C86" s="82">
        <v>1</v>
      </c>
      <c r="D86" s="83">
        <v>30897</v>
      </c>
      <c r="E86" s="84">
        <f t="shared" si="1"/>
        <v>1984</v>
      </c>
      <c r="F86" s="82" t="s">
        <v>22</v>
      </c>
      <c r="G86" s="82">
        <v>3</v>
      </c>
      <c r="H86" s="82">
        <v>5</v>
      </c>
      <c r="I86" s="82">
        <v>20</v>
      </c>
      <c r="J86" s="82">
        <v>6.2</v>
      </c>
      <c r="K86" s="89" t="s">
        <v>193</v>
      </c>
    </row>
    <row r="87" spans="1:11" x14ac:dyDescent="0.2">
      <c r="A87" t="s">
        <v>21</v>
      </c>
      <c r="B87" s="89">
        <v>1674</v>
      </c>
      <c r="C87" s="82">
        <v>1</v>
      </c>
      <c r="D87" s="83">
        <v>30897</v>
      </c>
      <c r="E87" s="84">
        <f t="shared" si="1"/>
        <v>1984</v>
      </c>
      <c r="F87" s="82" t="s">
        <v>22</v>
      </c>
      <c r="G87" s="82">
        <v>3</v>
      </c>
      <c r="H87" s="82">
        <v>6</v>
      </c>
      <c r="I87" s="82">
        <v>19.100000000000001</v>
      </c>
      <c r="J87" s="82">
        <v>5.2</v>
      </c>
      <c r="K87" s="89" t="s">
        <v>193</v>
      </c>
    </row>
    <row r="88" spans="1:11" x14ac:dyDescent="0.2">
      <c r="A88" t="s">
        <v>21</v>
      </c>
      <c r="B88" s="89">
        <v>1674</v>
      </c>
      <c r="C88" s="82">
        <v>1</v>
      </c>
      <c r="D88" s="83">
        <v>30897</v>
      </c>
      <c r="E88" s="84">
        <f t="shared" si="1"/>
        <v>1984</v>
      </c>
      <c r="F88" s="82" t="s">
        <v>22</v>
      </c>
      <c r="G88" s="82">
        <v>3</v>
      </c>
      <c r="H88" s="82">
        <v>7</v>
      </c>
      <c r="I88" s="82">
        <v>19</v>
      </c>
      <c r="J88" s="82">
        <v>4.4000000000000004</v>
      </c>
      <c r="K88" s="89" t="s">
        <v>193</v>
      </c>
    </row>
    <row r="89" spans="1:11" x14ac:dyDescent="0.2">
      <c r="A89" t="s">
        <v>21</v>
      </c>
      <c r="B89" s="89">
        <v>1674</v>
      </c>
      <c r="C89" s="82">
        <v>1</v>
      </c>
      <c r="D89" s="83">
        <v>30897</v>
      </c>
      <c r="E89" s="84">
        <f t="shared" si="1"/>
        <v>1984</v>
      </c>
      <c r="F89" s="82" t="s">
        <v>22</v>
      </c>
      <c r="G89" s="82">
        <v>3</v>
      </c>
      <c r="H89" s="82">
        <v>8</v>
      </c>
      <c r="I89" s="82">
        <v>18.5</v>
      </c>
      <c r="J89" s="82">
        <v>3.6</v>
      </c>
      <c r="K89" s="89" t="s">
        <v>193</v>
      </c>
    </row>
    <row r="90" spans="1:11" x14ac:dyDescent="0.2">
      <c r="A90" t="s">
        <v>21</v>
      </c>
      <c r="B90" s="89">
        <v>1674</v>
      </c>
      <c r="C90" s="82">
        <v>1</v>
      </c>
      <c r="D90" s="83">
        <v>30897</v>
      </c>
      <c r="E90" s="84">
        <f t="shared" si="1"/>
        <v>1984</v>
      </c>
      <c r="F90" s="82" t="s">
        <v>22</v>
      </c>
      <c r="G90" s="82">
        <v>3</v>
      </c>
      <c r="H90" s="82">
        <v>9</v>
      </c>
      <c r="I90" s="82">
        <v>18.899999999999999</v>
      </c>
      <c r="J90" s="82">
        <v>3.2</v>
      </c>
      <c r="K90" s="89" t="s">
        <v>193</v>
      </c>
    </row>
    <row r="91" spans="1:11" x14ac:dyDescent="0.2">
      <c r="A91" t="s">
        <v>21</v>
      </c>
      <c r="B91" s="89">
        <v>1674</v>
      </c>
      <c r="C91" s="82">
        <v>1</v>
      </c>
      <c r="D91" s="83">
        <v>30897</v>
      </c>
      <c r="E91" s="84">
        <f t="shared" si="1"/>
        <v>1984</v>
      </c>
      <c r="F91" s="82" t="s">
        <v>22</v>
      </c>
      <c r="G91" s="82">
        <v>3</v>
      </c>
      <c r="H91" s="82">
        <v>10</v>
      </c>
      <c r="I91" s="82">
        <v>18.2</v>
      </c>
      <c r="J91" s="82">
        <v>2.5</v>
      </c>
      <c r="K91" s="89" t="s">
        <v>193</v>
      </c>
    </row>
    <row r="92" spans="1:11" x14ac:dyDescent="0.2">
      <c r="A92" t="s">
        <v>21</v>
      </c>
      <c r="B92" s="89">
        <v>1674</v>
      </c>
      <c r="C92" s="82">
        <v>1</v>
      </c>
      <c r="D92" s="83">
        <v>30897</v>
      </c>
      <c r="E92" s="84">
        <f t="shared" si="1"/>
        <v>1984</v>
      </c>
      <c r="F92" s="82" t="s">
        <v>22</v>
      </c>
      <c r="G92" s="82">
        <v>3</v>
      </c>
      <c r="H92" s="82">
        <v>11</v>
      </c>
      <c r="I92" s="82">
        <v>18</v>
      </c>
      <c r="J92" s="82">
        <v>1.2</v>
      </c>
      <c r="K92" s="89" t="s">
        <v>193</v>
      </c>
    </row>
    <row r="93" spans="1:11" x14ac:dyDescent="0.2">
      <c r="A93" t="s">
        <v>21</v>
      </c>
      <c r="B93" s="89">
        <v>1674</v>
      </c>
      <c r="C93" s="82">
        <v>1</v>
      </c>
      <c r="D93" s="83">
        <v>30897</v>
      </c>
      <c r="E93" s="84">
        <f t="shared" si="1"/>
        <v>1984</v>
      </c>
      <c r="F93" s="82" t="s">
        <v>22</v>
      </c>
      <c r="G93" s="82">
        <v>3</v>
      </c>
      <c r="H93" s="82">
        <v>12</v>
      </c>
      <c r="I93" s="82">
        <v>17.899999999999999</v>
      </c>
      <c r="J93" s="82">
        <v>0.2</v>
      </c>
      <c r="K93" s="89" t="s">
        <v>193</v>
      </c>
    </row>
    <row r="94" spans="1:11" x14ac:dyDescent="0.2">
      <c r="A94" t="s">
        <v>21</v>
      </c>
      <c r="B94" s="89">
        <v>1674</v>
      </c>
      <c r="C94" s="82">
        <v>1</v>
      </c>
      <c r="D94" s="83">
        <v>30908</v>
      </c>
      <c r="E94" s="84">
        <f t="shared" si="1"/>
        <v>1984</v>
      </c>
      <c r="F94" s="82" t="s">
        <v>22</v>
      </c>
      <c r="G94" s="82">
        <v>2</v>
      </c>
      <c r="H94" s="82">
        <v>0.1</v>
      </c>
      <c r="I94" s="82">
        <v>23</v>
      </c>
      <c r="J94" s="82">
        <v>10.6</v>
      </c>
      <c r="K94" s="89" t="s">
        <v>193</v>
      </c>
    </row>
    <row r="95" spans="1:11" x14ac:dyDescent="0.2">
      <c r="A95" t="s">
        <v>21</v>
      </c>
      <c r="B95" s="89">
        <v>1674</v>
      </c>
      <c r="C95" s="82">
        <v>1</v>
      </c>
      <c r="D95" s="83">
        <v>30908</v>
      </c>
      <c r="E95" s="84">
        <f t="shared" si="1"/>
        <v>1984</v>
      </c>
      <c r="F95" s="82" t="s">
        <v>22</v>
      </c>
      <c r="G95" s="82">
        <v>2</v>
      </c>
      <c r="H95" s="82">
        <v>1</v>
      </c>
      <c r="I95" s="82">
        <v>22.5</v>
      </c>
      <c r="J95" s="82">
        <v>9.1999999999999993</v>
      </c>
      <c r="K95" s="89" t="s">
        <v>193</v>
      </c>
    </row>
    <row r="96" spans="1:11" x14ac:dyDescent="0.2">
      <c r="A96" t="s">
        <v>21</v>
      </c>
      <c r="B96" s="89">
        <v>1674</v>
      </c>
      <c r="C96" s="82">
        <v>1</v>
      </c>
      <c r="D96" s="83">
        <v>30908</v>
      </c>
      <c r="E96" s="84">
        <f t="shared" si="1"/>
        <v>1984</v>
      </c>
      <c r="F96" s="82" t="s">
        <v>22</v>
      </c>
      <c r="G96" s="82">
        <v>2</v>
      </c>
      <c r="H96" s="82">
        <v>2</v>
      </c>
      <c r="I96" s="82">
        <v>22.3</v>
      </c>
      <c r="J96" s="82">
        <v>9.8000000000000007</v>
      </c>
      <c r="K96" s="89" t="s">
        <v>193</v>
      </c>
    </row>
    <row r="97" spans="1:11" x14ac:dyDescent="0.2">
      <c r="A97" t="s">
        <v>21</v>
      </c>
      <c r="B97" s="89">
        <v>1674</v>
      </c>
      <c r="C97" s="82">
        <v>1</v>
      </c>
      <c r="D97" s="83">
        <v>30908</v>
      </c>
      <c r="E97" s="84">
        <f t="shared" si="1"/>
        <v>1984</v>
      </c>
      <c r="F97" s="82" t="s">
        <v>22</v>
      </c>
      <c r="G97" s="82">
        <v>2</v>
      </c>
      <c r="H97" s="82">
        <v>3</v>
      </c>
      <c r="I97" s="82">
        <v>22</v>
      </c>
      <c r="J97" s="82">
        <v>8.3000000000000007</v>
      </c>
      <c r="K97" s="89" t="s">
        <v>193</v>
      </c>
    </row>
    <row r="98" spans="1:11" x14ac:dyDescent="0.2">
      <c r="A98" t="s">
        <v>21</v>
      </c>
      <c r="B98" s="89">
        <v>1674</v>
      </c>
      <c r="C98" s="82">
        <v>1</v>
      </c>
      <c r="D98" s="83">
        <v>30908</v>
      </c>
      <c r="E98" s="84">
        <f t="shared" si="1"/>
        <v>1984</v>
      </c>
      <c r="F98" s="82" t="s">
        <v>22</v>
      </c>
      <c r="G98" s="82">
        <v>2</v>
      </c>
      <c r="H98" s="82">
        <v>4</v>
      </c>
      <c r="I98" s="82">
        <v>21.6</v>
      </c>
      <c r="J98" s="82">
        <v>7.8</v>
      </c>
      <c r="K98" s="89" t="s">
        <v>193</v>
      </c>
    </row>
    <row r="99" spans="1:11" x14ac:dyDescent="0.2">
      <c r="A99" t="s">
        <v>21</v>
      </c>
      <c r="B99" s="89">
        <v>1674</v>
      </c>
      <c r="C99" s="82">
        <v>1</v>
      </c>
      <c r="D99" s="83">
        <v>30908</v>
      </c>
      <c r="E99" s="84">
        <f t="shared" si="1"/>
        <v>1984</v>
      </c>
      <c r="F99" s="82" t="s">
        <v>22</v>
      </c>
      <c r="G99" s="82">
        <v>2</v>
      </c>
      <c r="H99" s="82">
        <v>5</v>
      </c>
      <c r="I99" s="82">
        <v>21.3</v>
      </c>
      <c r="J99" s="82">
        <v>6.7</v>
      </c>
      <c r="K99" s="89" t="s">
        <v>193</v>
      </c>
    </row>
    <row r="100" spans="1:11" x14ac:dyDescent="0.2">
      <c r="A100" t="s">
        <v>21</v>
      </c>
      <c r="B100" s="89">
        <v>1674</v>
      </c>
      <c r="C100" s="82">
        <v>1</v>
      </c>
      <c r="D100" s="83">
        <v>30908</v>
      </c>
      <c r="E100" s="84">
        <f t="shared" si="1"/>
        <v>1984</v>
      </c>
      <c r="F100" s="82" t="s">
        <v>22</v>
      </c>
      <c r="G100" s="82">
        <v>2</v>
      </c>
      <c r="H100" s="82">
        <v>6</v>
      </c>
      <c r="I100" s="82">
        <v>20.8</v>
      </c>
      <c r="J100" s="82">
        <v>5.4</v>
      </c>
      <c r="K100" s="89" t="s">
        <v>193</v>
      </c>
    </row>
    <row r="101" spans="1:11" x14ac:dyDescent="0.2">
      <c r="A101" t="s">
        <v>21</v>
      </c>
      <c r="B101" s="89">
        <v>1674</v>
      </c>
      <c r="C101" s="82">
        <v>1</v>
      </c>
      <c r="D101" s="83">
        <v>30908</v>
      </c>
      <c r="E101" s="84">
        <f t="shared" si="1"/>
        <v>1984</v>
      </c>
      <c r="F101" s="82" t="s">
        <v>22</v>
      </c>
      <c r="G101" s="82">
        <v>2</v>
      </c>
      <c r="H101" s="82">
        <v>7</v>
      </c>
      <c r="I101" s="82">
        <v>20.2</v>
      </c>
      <c r="J101" s="82">
        <v>4.7</v>
      </c>
      <c r="K101" s="89" t="s">
        <v>193</v>
      </c>
    </row>
    <row r="102" spans="1:11" x14ac:dyDescent="0.2">
      <c r="A102" t="s">
        <v>21</v>
      </c>
      <c r="B102" s="89">
        <v>1674</v>
      </c>
      <c r="C102" s="82">
        <v>1</v>
      </c>
      <c r="D102" s="83">
        <v>30908</v>
      </c>
      <c r="E102" s="84">
        <f t="shared" si="1"/>
        <v>1984</v>
      </c>
      <c r="F102" s="82" t="s">
        <v>22</v>
      </c>
      <c r="G102" s="82">
        <v>2</v>
      </c>
      <c r="H102" s="82">
        <v>8</v>
      </c>
      <c r="I102" s="82">
        <v>19.8</v>
      </c>
      <c r="J102" s="82">
        <v>3.6</v>
      </c>
      <c r="K102" s="89" t="s">
        <v>193</v>
      </c>
    </row>
    <row r="103" spans="1:11" x14ac:dyDescent="0.2">
      <c r="A103" t="s">
        <v>21</v>
      </c>
      <c r="B103" s="89">
        <v>1674</v>
      </c>
      <c r="C103" s="82">
        <v>1</v>
      </c>
      <c r="D103" s="83">
        <v>30908</v>
      </c>
      <c r="E103" s="84">
        <f t="shared" si="1"/>
        <v>1984</v>
      </c>
      <c r="F103" s="82" t="s">
        <v>22</v>
      </c>
      <c r="G103" s="82">
        <v>2</v>
      </c>
      <c r="H103" s="82">
        <v>9</v>
      </c>
      <c r="I103" s="82">
        <v>19.2</v>
      </c>
      <c r="J103" s="82">
        <v>2.2999999999999998</v>
      </c>
      <c r="K103" s="89" t="s">
        <v>193</v>
      </c>
    </row>
    <row r="104" spans="1:11" x14ac:dyDescent="0.2">
      <c r="A104" t="s">
        <v>21</v>
      </c>
      <c r="B104" s="89">
        <v>1674</v>
      </c>
      <c r="C104" s="82">
        <v>1</v>
      </c>
      <c r="D104" s="83">
        <v>30908</v>
      </c>
      <c r="E104" s="84">
        <f t="shared" si="1"/>
        <v>1984</v>
      </c>
      <c r="F104" s="82" t="s">
        <v>22</v>
      </c>
      <c r="G104" s="82">
        <v>2</v>
      </c>
      <c r="H104" s="82">
        <v>10</v>
      </c>
      <c r="I104" s="82">
        <v>18.899999999999999</v>
      </c>
      <c r="J104" s="82">
        <v>1.4</v>
      </c>
      <c r="K104" s="89" t="s">
        <v>193</v>
      </c>
    </row>
    <row r="105" spans="1:11" x14ac:dyDescent="0.2">
      <c r="A105" t="s">
        <v>21</v>
      </c>
      <c r="B105" s="89">
        <v>1674</v>
      </c>
      <c r="C105" s="82">
        <v>1</v>
      </c>
      <c r="D105" s="83">
        <v>30908</v>
      </c>
      <c r="E105" s="84">
        <f t="shared" si="1"/>
        <v>1984</v>
      </c>
      <c r="F105" s="82" t="s">
        <v>22</v>
      </c>
      <c r="G105" s="82">
        <v>2</v>
      </c>
      <c r="H105" s="82">
        <v>11</v>
      </c>
      <c r="I105" s="82">
        <v>17.8</v>
      </c>
      <c r="J105" s="82">
        <v>0.3</v>
      </c>
      <c r="K105" s="89" t="s">
        <v>193</v>
      </c>
    </row>
    <row r="106" spans="1:11" x14ac:dyDescent="0.2">
      <c r="A106" t="s">
        <v>21</v>
      </c>
      <c r="B106" s="89">
        <v>1674</v>
      </c>
      <c r="C106" s="82">
        <v>1</v>
      </c>
      <c r="D106" s="83">
        <v>30908</v>
      </c>
      <c r="E106" s="84">
        <f t="shared" si="1"/>
        <v>1984</v>
      </c>
      <c r="F106" s="82" t="s">
        <v>22</v>
      </c>
      <c r="G106" s="82">
        <v>2</v>
      </c>
      <c r="H106" s="82">
        <v>12</v>
      </c>
      <c r="I106" s="82">
        <v>16.600000000000001</v>
      </c>
      <c r="J106" s="82">
        <v>0.3</v>
      </c>
      <c r="K106" s="89" t="s">
        <v>193</v>
      </c>
    </row>
    <row r="107" spans="1:11" x14ac:dyDescent="0.2">
      <c r="A107" t="s">
        <v>21</v>
      </c>
      <c r="B107" s="89">
        <v>1674</v>
      </c>
      <c r="C107" s="82">
        <v>1</v>
      </c>
      <c r="D107" s="83">
        <v>30908</v>
      </c>
      <c r="E107" s="84">
        <f t="shared" si="1"/>
        <v>1984</v>
      </c>
      <c r="F107" s="82" t="s">
        <v>22</v>
      </c>
      <c r="G107" s="82">
        <v>2</v>
      </c>
      <c r="H107" s="82">
        <v>13</v>
      </c>
      <c r="I107" s="82">
        <v>15.6</v>
      </c>
      <c r="J107" s="82">
        <v>0.3</v>
      </c>
      <c r="K107" s="89" t="s">
        <v>193</v>
      </c>
    </row>
    <row r="108" spans="1:11" x14ac:dyDescent="0.2">
      <c r="A108" t="s">
        <v>21</v>
      </c>
      <c r="B108" s="89">
        <v>1674</v>
      </c>
      <c r="C108" s="82">
        <v>1</v>
      </c>
      <c r="D108" s="83">
        <v>30908</v>
      </c>
      <c r="E108" s="84">
        <f t="shared" si="1"/>
        <v>1984</v>
      </c>
      <c r="F108" s="82" t="s">
        <v>22</v>
      </c>
      <c r="G108" s="82">
        <v>2</v>
      </c>
      <c r="H108" s="82">
        <v>13.5</v>
      </c>
      <c r="I108" s="82">
        <v>15.4</v>
      </c>
      <c r="J108" s="82">
        <v>0.2</v>
      </c>
      <c r="K108" s="89" t="s">
        <v>193</v>
      </c>
    </row>
    <row r="109" spans="1:11" x14ac:dyDescent="0.2">
      <c r="A109" t="s">
        <v>21</v>
      </c>
      <c r="B109" s="89">
        <v>1674</v>
      </c>
      <c r="C109" s="82">
        <v>1</v>
      </c>
      <c r="D109" s="83">
        <v>30939</v>
      </c>
      <c r="E109" s="84">
        <f t="shared" si="1"/>
        <v>1984</v>
      </c>
      <c r="F109" s="82" t="s">
        <v>22</v>
      </c>
      <c r="G109" s="82">
        <v>3</v>
      </c>
      <c r="H109" s="82">
        <v>1</v>
      </c>
      <c r="I109" s="82">
        <v>16.5</v>
      </c>
      <c r="J109" s="82">
        <v>8.6999999999999993</v>
      </c>
      <c r="K109" s="89" t="s">
        <v>193</v>
      </c>
    </row>
    <row r="110" spans="1:11" x14ac:dyDescent="0.2">
      <c r="A110" t="s">
        <v>21</v>
      </c>
      <c r="B110" s="89">
        <v>1674</v>
      </c>
      <c r="C110" s="82">
        <v>1</v>
      </c>
      <c r="D110" s="83">
        <v>30939</v>
      </c>
      <c r="E110" s="84">
        <f t="shared" si="1"/>
        <v>1984</v>
      </c>
      <c r="F110" s="82" t="s">
        <v>22</v>
      </c>
      <c r="G110" s="82">
        <v>3</v>
      </c>
      <c r="H110" s="82">
        <v>2</v>
      </c>
      <c r="I110" s="82">
        <v>16.5</v>
      </c>
      <c r="J110" s="82">
        <v>8.6999999999999993</v>
      </c>
      <c r="K110" s="89" t="s">
        <v>193</v>
      </c>
    </row>
    <row r="111" spans="1:11" x14ac:dyDescent="0.2">
      <c r="A111" t="s">
        <v>21</v>
      </c>
      <c r="B111" s="89">
        <v>1674</v>
      </c>
      <c r="C111" s="82">
        <v>1</v>
      </c>
      <c r="D111" s="83">
        <v>30939</v>
      </c>
      <c r="E111" s="84">
        <f t="shared" si="1"/>
        <v>1984</v>
      </c>
      <c r="F111" s="82" t="s">
        <v>22</v>
      </c>
      <c r="G111" s="82">
        <v>3</v>
      </c>
      <c r="H111" s="82">
        <v>3</v>
      </c>
      <c r="I111" s="82">
        <v>16.5</v>
      </c>
      <c r="J111" s="82">
        <v>8.6999999999999993</v>
      </c>
      <c r="K111" s="89" t="s">
        <v>193</v>
      </c>
    </row>
    <row r="112" spans="1:11" x14ac:dyDescent="0.2">
      <c r="A112" t="s">
        <v>21</v>
      </c>
      <c r="B112" s="89">
        <v>1674</v>
      </c>
      <c r="C112" s="82">
        <v>1</v>
      </c>
      <c r="D112" s="83">
        <v>30939</v>
      </c>
      <c r="E112" s="84">
        <f t="shared" si="1"/>
        <v>1984</v>
      </c>
      <c r="F112" s="82" t="s">
        <v>22</v>
      </c>
      <c r="G112" s="82">
        <v>3</v>
      </c>
      <c r="H112" s="82">
        <v>4</v>
      </c>
      <c r="I112" s="82">
        <v>16.5</v>
      </c>
      <c r="J112" s="82">
        <v>8.6999999999999993</v>
      </c>
      <c r="K112" s="89" t="s">
        <v>193</v>
      </c>
    </row>
    <row r="113" spans="1:11" x14ac:dyDescent="0.2">
      <c r="A113" t="s">
        <v>21</v>
      </c>
      <c r="B113" s="89">
        <v>1674</v>
      </c>
      <c r="C113" s="82">
        <v>1</v>
      </c>
      <c r="D113" s="83">
        <v>30939</v>
      </c>
      <c r="E113" s="84">
        <f t="shared" si="1"/>
        <v>1984</v>
      </c>
      <c r="F113" s="82" t="s">
        <v>22</v>
      </c>
      <c r="G113" s="82">
        <v>3</v>
      </c>
      <c r="H113" s="82">
        <v>5</v>
      </c>
      <c r="I113" s="82">
        <v>16.5</v>
      </c>
      <c r="J113" s="82">
        <v>8.6999999999999993</v>
      </c>
      <c r="K113" s="89" t="s">
        <v>193</v>
      </c>
    </row>
    <row r="114" spans="1:11" x14ac:dyDescent="0.2">
      <c r="A114" t="s">
        <v>21</v>
      </c>
      <c r="B114" s="89">
        <v>1674</v>
      </c>
      <c r="C114" s="82">
        <v>1</v>
      </c>
      <c r="D114" s="83">
        <v>30939</v>
      </c>
      <c r="E114" s="84">
        <f t="shared" si="1"/>
        <v>1984</v>
      </c>
      <c r="F114" s="82" t="s">
        <v>22</v>
      </c>
      <c r="G114" s="82">
        <v>3</v>
      </c>
      <c r="H114" s="82">
        <v>6</v>
      </c>
      <c r="I114" s="82">
        <v>16.5</v>
      </c>
      <c r="J114" s="82">
        <v>8.6999999999999993</v>
      </c>
      <c r="K114" s="89" t="s">
        <v>193</v>
      </c>
    </row>
    <row r="115" spans="1:11" x14ac:dyDescent="0.2">
      <c r="A115" t="s">
        <v>21</v>
      </c>
      <c r="B115" s="89">
        <v>1674</v>
      </c>
      <c r="C115" s="82">
        <v>1</v>
      </c>
      <c r="D115" s="83">
        <v>30939</v>
      </c>
      <c r="E115" s="84">
        <f t="shared" si="1"/>
        <v>1984</v>
      </c>
      <c r="F115" s="82" t="s">
        <v>22</v>
      </c>
      <c r="G115" s="82">
        <v>3</v>
      </c>
      <c r="H115" s="82">
        <v>7</v>
      </c>
      <c r="I115" s="82">
        <v>16.5</v>
      </c>
      <c r="J115" s="82">
        <v>8.6</v>
      </c>
      <c r="K115" s="89" t="s">
        <v>193</v>
      </c>
    </row>
    <row r="116" spans="1:11" x14ac:dyDescent="0.2">
      <c r="A116" t="s">
        <v>21</v>
      </c>
      <c r="B116" s="89">
        <v>1674</v>
      </c>
      <c r="C116" s="82">
        <v>1</v>
      </c>
      <c r="D116" s="83">
        <v>30939</v>
      </c>
      <c r="E116" s="84">
        <f t="shared" si="1"/>
        <v>1984</v>
      </c>
      <c r="F116" s="82" t="s">
        <v>22</v>
      </c>
      <c r="G116" s="82">
        <v>3</v>
      </c>
      <c r="H116" s="82">
        <v>8</v>
      </c>
      <c r="I116" s="82">
        <v>16.5</v>
      </c>
      <c r="J116" s="82">
        <v>8.6</v>
      </c>
      <c r="K116" s="89" t="s">
        <v>193</v>
      </c>
    </row>
    <row r="117" spans="1:11" x14ac:dyDescent="0.2">
      <c r="A117" t="s">
        <v>21</v>
      </c>
      <c r="B117" s="89">
        <v>1674</v>
      </c>
      <c r="C117" s="82">
        <v>1</v>
      </c>
      <c r="D117" s="83">
        <v>30939</v>
      </c>
      <c r="E117" s="84">
        <f t="shared" si="1"/>
        <v>1984</v>
      </c>
      <c r="F117" s="82" t="s">
        <v>22</v>
      </c>
      <c r="G117" s="82">
        <v>3</v>
      </c>
      <c r="H117" s="82">
        <v>9</v>
      </c>
      <c r="I117" s="82">
        <v>16.5</v>
      </c>
      <c r="J117" s="82">
        <v>8.6</v>
      </c>
      <c r="K117" s="89" t="s">
        <v>193</v>
      </c>
    </row>
    <row r="118" spans="1:11" x14ac:dyDescent="0.2">
      <c r="A118" t="s">
        <v>21</v>
      </c>
      <c r="B118" s="89">
        <v>1674</v>
      </c>
      <c r="C118" s="82">
        <v>1</v>
      </c>
      <c r="D118" s="83">
        <v>30939</v>
      </c>
      <c r="E118" s="84">
        <f t="shared" si="1"/>
        <v>1984</v>
      </c>
      <c r="F118" s="82" t="s">
        <v>22</v>
      </c>
      <c r="G118" s="82">
        <v>3</v>
      </c>
      <c r="H118" s="82">
        <v>10</v>
      </c>
      <c r="I118" s="82">
        <v>16.5</v>
      </c>
      <c r="J118" s="82">
        <v>8.3000000000000007</v>
      </c>
      <c r="K118" s="89" t="s">
        <v>193</v>
      </c>
    </row>
    <row r="119" spans="1:11" x14ac:dyDescent="0.2">
      <c r="A119" t="s">
        <v>21</v>
      </c>
      <c r="B119" s="89">
        <v>1674</v>
      </c>
      <c r="C119" s="82">
        <v>1</v>
      </c>
      <c r="D119" s="83">
        <v>30939</v>
      </c>
      <c r="E119" s="84">
        <f t="shared" si="1"/>
        <v>1984</v>
      </c>
      <c r="F119" s="82" t="s">
        <v>22</v>
      </c>
      <c r="G119" s="82">
        <v>3</v>
      </c>
      <c r="H119" s="82">
        <v>11</v>
      </c>
      <c r="I119" s="82">
        <v>16</v>
      </c>
      <c r="J119" s="82">
        <v>8.3000000000000007</v>
      </c>
      <c r="K119" s="89" t="s">
        <v>193</v>
      </c>
    </row>
    <row r="120" spans="1:11" x14ac:dyDescent="0.2">
      <c r="A120" t="s">
        <v>21</v>
      </c>
      <c r="B120" s="89">
        <v>1674</v>
      </c>
      <c r="C120" s="82">
        <v>1</v>
      </c>
      <c r="D120" s="83">
        <v>30939</v>
      </c>
      <c r="E120" s="84">
        <f t="shared" si="1"/>
        <v>1984</v>
      </c>
      <c r="F120" s="82" t="s">
        <v>22</v>
      </c>
      <c r="G120" s="82">
        <v>3</v>
      </c>
      <c r="H120" s="82">
        <v>12</v>
      </c>
      <c r="I120" s="82">
        <v>16</v>
      </c>
      <c r="J120" s="82">
        <v>8.1999999999999993</v>
      </c>
      <c r="K120" s="89" t="s">
        <v>193</v>
      </c>
    </row>
    <row r="121" spans="1:11" x14ac:dyDescent="0.2">
      <c r="A121" t="s">
        <v>21</v>
      </c>
      <c r="B121" s="89">
        <v>1674</v>
      </c>
      <c r="C121" s="82">
        <v>1</v>
      </c>
      <c r="D121" s="83">
        <v>31497</v>
      </c>
      <c r="E121" s="84">
        <f t="shared" si="1"/>
        <v>1986</v>
      </c>
      <c r="F121" s="82" t="s">
        <v>22</v>
      </c>
      <c r="G121" s="82">
        <v>2</v>
      </c>
      <c r="H121" s="82">
        <v>0</v>
      </c>
      <c r="I121" s="82">
        <v>0</v>
      </c>
      <c r="J121" s="82">
        <v>14</v>
      </c>
      <c r="K121" s="89" t="s">
        <v>193</v>
      </c>
    </row>
    <row r="122" spans="1:11" x14ac:dyDescent="0.2">
      <c r="A122" t="s">
        <v>21</v>
      </c>
      <c r="B122" s="89">
        <v>1674</v>
      </c>
      <c r="C122" s="82">
        <v>1</v>
      </c>
      <c r="D122" s="83">
        <v>31497</v>
      </c>
      <c r="E122" s="84">
        <f t="shared" si="1"/>
        <v>1986</v>
      </c>
      <c r="F122" s="82" t="s">
        <v>22</v>
      </c>
      <c r="G122" s="82">
        <v>2</v>
      </c>
      <c r="H122" s="82">
        <v>1</v>
      </c>
      <c r="I122" s="82">
        <v>0.5</v>
      </c>
      <c r="J122" s="82">
        <v>13.5</v>
      </c>
      <c r="K122" s="89" t="s">
        <v>193</v>
      </c>
    </row>
    <row r="123" spans="1:11" x14ac:dyDescent="0.2">
      <c r="A123" t="s">
        <v>21</v>
      </c>
      <c r="B123" s="89">
        <v>1674</v>
      </c>
      <c r="C123" s="82">
        <v>1</v>
      </c>
      <c r="D123" s="83">
        <v>31497</v>
      </c>
      <c r="E123" s="84">
        <f t="shared" si="1"/>
        <v>1986</v>
      </c>
      <c r="F123" s="82" t="s">
        <v>22</v>
      </c>
      <c r="G123" s="82">
        <v>2</v>
      </c>
      <c r="H123" s="82">
        <v>2</v>
      </c>
      <c r="I123" s="82">
        <v>1</v>
      </c>
      <c r="J123" s="82">
        <v>12.8</v>
      </c>
      <c r="K123" s="89" t="s">
        <v>193</v>
      </c>
    </row>
    <row r="124" spans="1:11" x14ac:dyDescent="0.2">
      <c r="A124" t="s">
        <v>21</v>
      </c>
      <c r="B124" s="89">
        <v>1674</v>
      </c>
      <c r="C124" s="82">
        <v>1</v>
      </c>
      <c r="D124" s="83">
        <v>31497</v>
      </c>
      <c r="E124" s="84">
        <f t="shared" si="1"/>
        <v>1986</v>
      </c>
      <c r="F124" s="82" t="s">
        <v>22</v>
      </c>
      <c r="G124" s="82">
        <v>2</v>
      </c>
      <c r="H124" s="82">
        <v>3</v>
      </c>
      <c r="I124" s="82">
        <v>1.8</v>
      </c>
      <c r="J124" s="82">
        <v>12.4</v>
      </c>
      <c r="K124" s="89" t="s">
        <v>193</v>
      </c>
    </row>
    <row r="125" spans="1:11" x14ac:dyDescent="0.2">
      <c r="A125" t="s">
        <v>21</v>
      </c>
      <c r="B125" s="89">
        <v>1674</v>
      </c>
      <c r="C125" s="82">
        <v>1</v>
      </c>
      <c r="D125" s="83">
        <v>31497</v>
      </c>
      <c r="E125" s="84">
        <f t="shared" si="1"/>
        <v>1986</v>
      </c>
      <c r="F125" s="82" t="s">
        <v>22</v>
      </c>
      <c r="G125" s="82">
        <v>2</v>
      </c>
      <c r="H125" s="82">
        <v>4</v>
      </c>
      <c r="I125" s="82">
        <v>2</v>
      </c>
      <c r="J125" s="82">
        <v>11.8</v>
      </c>
      <c r="K125" s="89" t="s">
        <v>193</v>
      </c>
    </row>
    <row r="126" spans="1:11" x14ac:dyDescent="0.2">
      <c r="A126" t="s">
        <v>21</v>
      </c>
      <c r="B126" s="89">
        <v>1674</v>
      </c>
      <c r="C126" s="82">
        <v>1</v>
      </c>
      <c r="D126" s="83">
        <v>31497</v>
      </c>
      <c r="E126" s="84">
        <f t="shared" si="1"/>
        <v>1986</v>
      </c>
      <c r="F126" s="82" t="s">
        <v>22</v>
      </c>
      <c r="G126" s="82">
        <v>2</v>
      </c>
      <c r="H126" s="82">
        <v>5</v>
      </c>
      <c r="I126" s="82">
        <v>2.2000000000000002</v>
      </c>
      <c r="J126" s="82">
        <v>11.2</v>
      </c>
      <c r="K126" s="89" t="s">
        <v>193</v>
      </c>
    </row>
    <row r="127" spans="1:11" x14ac:dyDescent="0.2">
      <c r="A127" t="s">
        <v>21</v>
      </c>
      <c r="B127" s="89">
        <v>1674</v>
      </c>
      <c r="C127" s="82">
        <v>1</v>
      </c>
      <c r="D127" s="83">
        <v>31497</v>
      </c>
      <c r="E127" s="84">
        <f t="shared" si="1"/>
        <v>1986</v>
      </c>
      <c r="F127" s="82" t="s">
        <v>22</v>
      </c>
      <c r="G127" s="82">
        <v>2</v>
      </c>
      <c r="H127" s="82">
        <v>6</v>
      </c>
      <c r="I127" s="82">
        <v>3</v>
      </c>
      <c r="J127" s="82">
        <v>9</v>
      </c>
      <c r="K127" s="89" t="s">
        <v>193</v>
      </c>
    </row>
    <row r="128" spans="1:11" x14ac:dyDescent="0.2">
      <c r="A128" t="s">
        <v>21</v>
      </c>
      <c r="B128" s="89">
        <v>1674</v>
      </c>
      <c r="C128" s="82">
        <v>1</v>
      </c>
      <c r="D128" s="83">
        <v>31497</v>
      </c>
      <c r="E128" s="84">
        <f t="shared" si="1"/>
        <v>1986</v>
      </c>
      <c r="F128" s="82" t="s">
        <v>22</v>
      </c>
      <c r="G128" s="82">
        <v>2</v>
      </c>
      <c r="H128" s="82">
        <v>7</v>
      </c>
      <c r="I128" s="82">
        <v>3.2</v>
      </c>
      <c r="J128" s="82">
        <v>8.6</v>
      </c>
      <c r="K128" s="89" t="s">
        <v>193</v>
      </c>
    </row>
    <row r="129" spans="1:11" x14ac:dyDescent="0.2">
      <c r="A129" t="s">
        <v>21</v>
      </c>
      <c r="B129" s="89">
        <v>1674</v>
      </c>
      <c r="C129" s="82">
        <v>1</v>
      </c>
      <c r="D129" s="83">
        <v>31497</v>
      </c>
      <c r="E129" s="84">
        <f t="shared" si="1"/>
        <v>1986</v>
      </c>
      <c r="F129" s="82" t="s">
        <v>22</v>
      </c>
      <c r="G129" s="82">
        <v>2</v>
      </c>
      <c r="H129" s="82">
        <v>8</v>
      </c>
      <c r="I129" s="82">
        <v>3.8</v>
      </c>
      <c r="J129" s="82">
        <v>5</v>
      </c>
      <c r="K129" s="89" t="s">
        <v>193</v>
      </c>
    </row>
    <row r="130" spans="1:11" x14ac:dyDescent="0.2">
      <c r="A130" t="s">
        <v>21</v>
      </c>
      <c r="B130" s="89">
        <v>1674</v>
      </c>
      <c r="C130" s="82">
        <v>1</v>
      </c>
      <c r="D130" s="83">
        <v>31497</v>
      </c>
      <c r="E130" s="84">
        <f t="shared" ref="E130:E193" si="2">YEAR(D130)</f>
        <v>1986</v>
      </c>
      <c r="F130" s="82" t="s">
        <v>22</v>
      </c>
      <c r="G130" s="82">
        <v>2</v>
      </c>
      <c r="H130" s="82">
        <v>9</v>
      </c>
      <c r="I130" s="82">
        <v>4</v>
      </c>
      <c r="J130" s="82">
        <v>4.8</v>
      </c>
      <c r="K130" s="89" t="s">
        <v>193</v>
      </c>
    </row>
    <row r="131" spans="1:11" x14ac:dyDescent="0.2">
      <c r="A131" t="s">
        <v>21</v>
      </c>
      <c r="B131" s="89">
        <v>1674</v>
      </c>
      <c r="C131" s="82">
        <v>1</v>
      </c>
      <c r="D131" s="83">
        <v>31497</v>
      </c>
      <c r="E131" s="84">
        <f t="shared" si="2"/>
        <v>1986</v>
      </c>
      <c r="F131" s="82" t="s">
        <v>22</v>
      </c>
      <c r="G131" s="82">
        <v>2</v>
      </c>
      <c r="H131" s="82">
        <v>10</v>
      </c>
      <c r="I131" s="82">
        <v>4.0999999999999996</v>
      </c>
      <c r="J131" s="82">
        <v>3.5</v>
      </c>
      <c r="K131" s="89" t="s">
        <v>193</v>
      </c>
    </row>
    <row r="132" spans="1:11" x14ac:dyDescent="0.2">
      <c r="A132" t="s">
        <v>21</v>
      </c>
      <c r="B132" s="89">
        <v>1674</v>
      </c>
      <c r="C132" s="82">
        <v>1</v>
      </c>
      <c r="D132" s="83">
        <v>31497</v>
      </c>
      <c r="E132" s="84">
        <f t="shared" si="2"/>
        <v>1986</v>
      </c>
      <c r="F132" s="82" t="s">
        <v>22</v>
      </c>
      <c r="G132" s="82">
        <v>2</v>
      </c>
      <c r="H132" s="82">
        <v>11</v>
      </c>
      <c r="I132" s="82">
        <v>5</v>
      </c>
      <c r="J132" s="82">
        <v>1.8</v>
      </c>
      <c r="K132" s="89" t="s">
        <v>193</v>
      </c>
    </row>
    <row r="133" spans="1:11" x14ac:dyDescent="0.2">
      <c r="A133" t="s">
        <v>21</v>
      </c>
      <c r="B133" s="89">
        <v>1674</v>
      </c>
      <c r="C133" s="82">
        <v>1</v>
      </c>
      <c r="D133" s="83">
        <v>31541</v>
      </c>
      <c r="E133" s="84">
        <f t="shared" si="2"/>
        <v>1986</v>
      </c>
      <c r="F133" s="82" t="s">
        <v>22</v>
      </c>
      <c r="G133" s="82">
        <v>2</v>
      </c>
      <c r="H133" s="82">
        <v>0</v>
      </c>
      <c r="I133" s="82">
        <v>8.6999999999999993</v>
      </c>
      <c r="J133" s="82">
        <v>11.8</v>
      </c>
      <c r="K133" s="89" t="s">
        <v>193</v>
      </c>
    </row>
    <row r="134" spans="1:11" x14ac:dyDescent="0.2">
      <c r="A134" t="s">
        <v>21</v>
      </c>
      <c r="B134" s="89">
        <v>1674</v>
      </c>
      <c r="C134" s="82">
        <v>1</v>
      </c>
      <c r="D134" s="83">
        <v>31541</v>
      </c>
      <c r="E134" s="84">
        <f t="shared" si="2"/>
        <v>1986</v>
      </c>
      <c r="F134" s="82" t="s">
        <v>22</v>
      </c>
      <c r="G134" s="82">
        <v>2</v>
      </c>
      <c r="H134" s="82">
        <v>1</v>
      </c>
      <c r="I134" s="82">
        <v>8.5</v>
      </c>
      <c r="J134" s="82">
        <v>11.7</v>
      </c>
      <c r="K134" s="89" t="s">
        <v>193</v>
      </c>
    </row>
    <row r="135" spans="1:11" x14ac:dyDescent="0.2">
      <c r="A135" t="s">
        <v>21</v>
      </c>
      <c r="B135" s="89">
        <v>1674</v>
      </c>
      <c r="C135" s="82">
        <v>1</v>
      </c>
      <c r="D135" s="83">
        <v>31541</v>
      </c>
      <c r="E135" s="84">
        <f t="shared" si="2"/>
        <v>1986</v>
      </c>
      <c r="F135" s="82" t="s">
        <v>22</v>
      </c>
      <c r="G135" s="82">
        <v>2</v>
      </c>
      <c r="H135" s="82">
        <v>2</v>
      </c>
      <c r="I135" s="82">
        <v>8.4</v>
      </c>
      <c r="J135" s="82">
        <v>11.8</v>
      </c>
      <c r="K135" s="89" t="s">
        <v>193</v>
      </c>
    </row>
    <row r="136" spans="1:11" x14ac:dyDescent="0.2">
      <c r="A136" t="s">
        <v>21</v>
      </c>
      <c r="B136" s="89">
        <v>1674</v>
      </c>
      <c r="C136" s="82">
        <v>1</v>
      </c>
      <c r="D136" s="83">
        <v>31541</v>
      </c>
      <c r="E136" s="84">
        <f t="shared" si="2"/>
        <v>1986</v>
      </c>
      <c r="F136" s="82" t="s">
        <v>22</v>
      </c>
      <c r="G136" s="82">
        <v>2</v>
      </c>
      <c r="H136" s="82">
        <v>3</v>
      </c>
      <c r="I136" s="82">
        <v>7.9</v>
      </c>
      <c r="J136" s="82">
        <v>11.6</v>
      </c>
      <c r="K136" s="89" t="s">
        <v>193</v>
      </c>
    </row>
    <row r="137" spans="1:11" x14ac:dyDescent="0.2">
      <c r="A137" t="s">
        <v>21</v>
      </c>
      <c r="B137" s="89">
        <v>1674</v>
      </c>
      <c r="C137" s="82">
        <v>1</v>
      </c>
      <c r="D137" s="83">
        <v>31541</v>
      </c>
      <c r="E137" s="84">
        <f t="shared" si="2"/>
        <v>1986</v>
      </c>
      <c r="F137" s="82" t="s">
        <v>22</v>
      </c>
      <c r="G137" s="82">
        <v>2</v>
      </c>
      <c r="H137" s="82">
        <v>4</v>
      </c>
      <c r="I137" s="82">
        <v>7.9</v>
      </c>
      <c r="J137" s="82">
        <v>11.6</v>
      </c>
      <c r="K137" s="89" t="s">
        <v>193</v>
      </c>
    </row>
    <row r="138" spans="1:11" x14ac:dyDescent="0.2">
      <c r="A138" t="s">
        <v>21</v>
      </c>
      <c r="B138" s="89">
        <v>1674</v>
      </c>
      <c r="C138" s="82">
        <v>1</v>
      </c>
      <c r="D138" s="83">
        <v>31541</v>
      </c>
      <c r="E138" s="84">
        <f t="shared" si="2"/>
        <v>1986</v>
      </c>
      <c r="F138" s="82" t="s">
        <v>22</v>
      </c>
      <c r="G138" s="82">
        <v>2</v>
      </c>
      <c r="H138" s="82">
        <v>5</v>
      </c>
      <c r="I138" s="82">
        <v>7.8</v>
      </c>
      <c r="J138" s="82">
        <v>11.5</v>
      </c>
      <c r="K138" s="89" t="s">
        <v>193</v>
      </c>
    </row>
    <row r="139" spans="1:11" x14ac:dyDescent="0.2">
      <c r="A139" t="s">
        <v>21</v>
      </c>
      <c r="B139" s="89">
        <v>1674</v>
      </c>
      <c r="C139" s="82">
        <v>1</v>
      </c>
      <c r="D139" s="83">
        <v>31541</v>
      </c>
      <c r="E139" s="84">
        <f t="shared" si="2"/>
        <v>1986</v>
      </c>
      <c r="F139" s="82" t="s">
        <v>22</v>
      </c>
      <c r="G139" s="82">
        <v>2</v>
      </c>
      <c r="H139" s="82">
        <v>6</v>
      </c>
      <c r="I139" s="82">
        <v>7.7</v>
      </c>
      <c r="J139" s="82">
        <v>11.4</v>
      </c>
      <c r="K139" s="89" t="s">
        <v>193</v>
      </c>
    </row>
    <row r="140" spans="1:11" x14ac:dyDescent="0.2">
      <c r="A140" t="s">
        <v>21</v>
      </c>
      <c r="B140" s="89">
        <v>1674</v>
      </c>
      <c r="C140" s="82">
        <v>1</v>
      </c>
      <c r="D140" s="83">
        <v>31541</v>
      </c>
      <c r="E140" s="84">
        <f t="shared" si="2"/>
        <v>1986</v>
      </c>
      <c r="F140" s="82" t="s">
        <v>22</v>
      </c>
      <c r="G140" s="82">
        <v>2</v>
      </c>
      <c r="H140" s="82">
        <v>7</v>
      </c>
      <c r="I140" s="82">
        <v>7.5</v>
      </c>
      <c r="J140" s="82">
        <v>11.4</v>
      </c>
      <c r="K140" s="89" t="s">
        <v>193</v>
      </c>
    </row>
    <row r="141" spans="1:11" x14ac:dyDescent="0.2">
      <c r="A141" t="s">
        <v>21</v>
      </c>
      <c r="B141" s="89">
        <v>1674</v>
      </c>
      <c r="C141" s="82">
        <v>1</v>
      </c>
      <c r="D141" s="83">
        <v>31541</v>
      </c>
      <c r="E141" s="84">
        <f t="shared" si="2"/>
        <v>1986</v>
      </c>
      <c r="F141" s="82" t="s">
        <v>22</v>
      </c>
      <c r="G141" s="82">
        <v>2</v>
      </c>
      <c r="H141" s="82">
        <v>8</v>
      </c>
      <c r="I141" s="82">
        <v>7.3</v>
      </c>
      <c r="J141" s="82">
        <v>11.2</v>
      </c>
      <c r="K141" s="89" t="s">
        <v>193</v>
      </c>
    </row>
    <row r="142" spans="1:11" x14ac:dyDescent="0.2">
      <c r="A142" t="s">
        <v>21</v>
      </c>
      <c r="B142" s="89">
        <v>1674</v>
      </c>
      <c r="C142" s="82">
        <v>1</v>
      </c>
      <c r="D142" s="83">
        <v>31541</v>
      </c>
      <c r="E142" s="84">
        <f t="shared" si="2"/>
        <v>1986</v>
      </c>
      <c r="F142" s="82" t="s">
        <v>22</v>
      </c>
      <c r="G142" s="82">
        <v>2</v>
      </c>
      <c r="H142" s="82">
        <v>9</v>
      </c>
      <c r="I142" s="82">
        <v>7.2</v>
      </c>
      <c r="J142" s="82">
        <v>11.2</v>
      </c>
      <c r="K142" s="89" t="s">
        <v>193</v>
      </c>
    </row>
    <row r="143" spans="1:11" x14ac:dyDescent="0.2">
      <c r="A143" t="s">
        <v>21</v>
      </c>
      <c r="B143" s="89">
        <v>1674</v>
      </c>
      <c r="C143" s="82">
        <v>1</v>
      </c>
      <c r="D143" s="83">
        <v>31541</v>
      </c>
      <c r="E143" s="84">
        <f t="shared" si="2"/>
        <v>1986</v>
      </c>
      <c r="F143" s="82" t="s">
        <v>22</v>
      </c>
      <c r="G143" s="82">
        <v>2</v>
      </c>
      <c r="H143" s="82">
        <v>10</v>
      </c>
      <c r="I143" s="82">
        <v>7.2</v>
      </c>
      <c r="J143" s="82">
        <v>11.2</v>
      </c>
      <c r="K143" s="89" t="s">
        <v>193</v>
      </c>
    </row>
    <row r="144" spans="1:11" x14ac:dyDescent="0.2">
      <c r="A144" t="s">
        <v>21</v>
      </c>
      <c r="B144" s="89">
        <v>1674</v>
      </c>
      <c r="C144" s="82">
        <v>1</v>
      </c>
      <c r="D144" s="83">
        <v>31541</v>
      </c>
      <c r="E144" s="84">
        <f t="shared" si="2"/>
        <v>1986</v>
      </c>
      <c r="F144" s="82" t="s">
        <v>22</v>
      </c>
      <c r="G144" s="82">
        <v>2</v>
      </c>
      <c r="H144" s="82">
        <v>11</v>
      </c>
      <c r="I144" s="82">
        <v>7.1</v>
      </c>
      <c r="J144" s="82">
        <v>11.2</v>
      </c>
      <c r="K144" s="89" t="s">
        <v>193</v>
      </c>
    </row>
    <row r="145" spans="1:11" x14ac:dyDescent="0.2">
      <c r="A145" t="s">
        <v>21</v>
      </c>
      <c r="B145" s="89">
        <v>1674</v>
      </c>
      <c r="C145" s="82">
        <v>1</v>
      </c>
      <c r="D145" s="83">
        <v>31541</v>
      </c>
      <c r="E145" s="84">
        <f t="shared" si="2"/>
        <v>1986</v>
      </c>
      <c r="F145" s="82" t="s">
        <v>22</v>
      </c>
      <c r="G145" s="82">
        <v>2</v>
      </c>
      <c r="H145" s="82">
        <v>12</v>
      </c>
      <c r="I145" s="82">
        <v>7.1</v>
      </c>
      <c r="J145" s="82">
        <v>11</v>
      </c>
      <c r="K145" s="89" t="s">
        <v>193</v>
      </c>
    </row>
    <row r="146" spans="1:11" x14ac:dyDescent="0.2">
      <c r="A146" t="s">
        <v>21</v>
      </c>
      <c r="B146" s="89">
        <v>1674</v>
      </c>
      <c r="C146" s="82">
        <v>1</v>
      </c>
      <c r="D146" s="83">
        <v>31541</v>
      </c>
      <c r="E146" s="84">
        <f t="shared" si="2"/>
        <v>1986</v>
      </c>
      <c r="F146" s="82" t="s">
        <v>22</v>
      </c>
      <c r="G146" s="82">
        <v>2</v>
      </c>
      <c r="H146" s="82">
        <v>13</v>
      </c>
      <c r="I146" s="82">
        <v>7</v>
      </c>
      <c r="J146" s="82">
        <v>10.8</v>
      </c>
      <c r="K146" s="89" t="s">
        <v>193</v>
      </c>
    </row>
    <row r="147" spans="1:11" x14ac:dyDescent="0.2">
      <c r="A147" t="s">
        <v>21</v>
      </c>
      <c r="B147" s="89">
        <v>1674</v>
      </c>
      <c r="C147" s="82">
        <v>1</v>
      </c>
      <c r="D147" s="83">
        <v>31559</v>
      </c>
      <c r="E147" s="84">
        <f t="shared" si="2"/>
        <v>1986</v>
      </c>
      <c r="F147" s="82" t="s">
        <v>22</v>
      </c>
      <c r="G147" s="82">
        <v>2</v>
      </c>
      <c r="H147" s="82">
        <v>0</v>
      </c>
      <c r="I147" s="82">
        <v>16</v>
      </c>
      <c r="J147" s="82">
        <v>11</v>
      </c>
      <c r="K147" s="89" t="s">
        <v>193</v>
      </c>
    </row>
    <row r="148" spans="1:11" x14ac:dyDescent="0.2">
      <c r="A148" t="s">
        <v>21</v>
      </c>
      <c r="B148" s="89">
        <v>1674</v>
      </c>
      <c r="C148" s="82">
        <v>1</v>
      </c>
      <c r="D148" s="83">
        <v>31559</v>
      </c>
      <c r="E148" s="84">
        <f t="shared" si="2"/>
        <v>1986</v>
      </c>
      <c r="F148" s="82" t="s">
        <v>22</v>
      </c>
      <c r="G148" s="82">
        <v>2</v>
      </c>
      <c r="H148" s="82">
        <v>1</v>
      </c>
      <c r="I148" s="82">
        <v>16</v>
      </c>
      <c r="J148" s="82">
        <v>11</v>
      </c>
      <c r="K148" s="89" t="s">
        <v>193</v>
      </c>
    </row>
    <row r="149" spans="1:11" x14ac:dyDescent="0.2">
      <c r="A149" t="s">
        <v>21</v>
      </c>
      <c r="B149" s="89">
        <v>1674</v>
      </c>
      <c r="C149" s="82">
        <v>1</v>
      </c>
      <c r="D149" s="83">
        <v>31559</v>
      </c>
      <c r="E149" s="84">
        <f t="shared" si="2"/>
        <v>1986</v>
      </c>
      <c r="F149" s="82" t="s">
        <v>22</v>
      </c>
      <c r="G149" s="82">
        <v>2</v>
      </c>
      <c r="H149" s="82">
        <v>2</v>
      </c>
      <c r="I149" s="82">
        <v>15.8</v>
      </c>
      <c r="J149" s="82">
        <v>11</v>
      </c>
      <c r="K149" s="89" t="s">
        <v>193</v>
      </c>
    </row>
    <row r="150" spans="1:11" x14ac:dyDescent="0.2">
      <c r="A150" t="s">
        <v>21</v>
      </c>
      <c r="B150" s="89">
        <v>1674</v>
      </c>
      <c r="C150" s="82">
        <v>1</v>
      </c>
      <c r="D150" s="83">
        <v>31559</v>
      </c>
      <c r="E150" s="84">
        <f t="shared" si="2"/>
        <v>1986</v>
      </c>
      <c r="F150" s="82" t="s">
        <v>22</v>
      </c>
      <c r="G150" s="82">
        <v>2</v>
      </c>
      <c r="H150" s="82">
        <v>3</v>
      </c>
      <c r="I150" s="82">
        <v>15.2</v>
      </c>
      <c r="J150" s="82">
        <v>11</v>
      </c>
      <c r="K150" s="89" t="s">
        <v>193</v>
      </c>
    </row>
    <row r="151" spans="1:11" x14ac:dyDescent="0.2">
      <c r="A151" t="s">
        <v>21</v>
      </c>
      <c r="B151" s="89">
        <v>1674</v>
      </c>
      <c r="C151" s="82">
        <v>1</v>
      </c>
      <c r="D151" s="83">
        <v>31559</v>
      </c>
      <c r="E151" s="84">
        <f t="shared" si="2"/>
        <v>1986</v>
      </c>
      <c r="F151" s="82" t="s">
        <v>22</v>
      </c>
      <c r="G151" s="82">
        <v>2</v>
      </c>
      <c r="H151" s="82">
        <v>4</v>
      </c>
      <c r="I151" s="82">
        <v>13</v>
      </c>
      <c r="J151" s="82">
        <v>10.8</v>
      </c>
      <c r="K151" s="89" t="s">
        <v>193</v>
      </c>
    </row>
    <row r="152" spans="1:11" x14ac:dyDescent="0.2">
      <c r="A152" t="s">
        <v>21</v>
      </c>
      <c r="B152" s="89">
        <v>1674</v>
      </c>
      <c r="C152" s="82">
        <v>1</v>
      </c>
      <c r="D152" s="83">
        <v>31559</v>
      </c>
      <c r="E152" s="84">
        <f t="shared" si="2"/>
        <v>1986</v>
      </c>
      <c r="F152" s="82" t="s">
        <v>22</v>
      </c>
      <c r="G152" s="82">
        <v>2</v>
      </c>
      <c r="H152" s="82">
        <v>5</v>
      </c>
      <c r="I152" s="82">
        <v>12</v>
      </c>
      <c r="J152" s="82">
        <v>10.4</v>
      </c>
      <c r="K152" s="89" t="s">
        <v>193</v>
      </c>
    </row>
    <row r="153" spans="1:11" x14ac:dyDescent="0.2">
      <c r="A153" t="s">
        <v>21</v>
      </c>
      <c r="B153" s="89">
        <v>1674</v>
      </c>
      <c r="C153" s="82">
        <v>1</v>
      </c>
      <c r="D153" s="83">
        <v>31559</v>
      </c>
      <c r="E153" s="84">
        <f t="shared" si="2"/>
        <v>1986</v>
      </c>
      <c r="F153" s="82" t="s">
        <v>22</v>
      </c>
      <c r="G153" s="82">
        <v>2</v>
      </c>
      <c r="H153" s="82">
        <v>6</v>
      </c>
      <c r="I153" s="82">
        <v>11.5</v>
      </c>
      <c r="J153" s="82">
        <v>9.5</v>
      </c>
      <c r="K153" s="89" t="s">
        <v>193</v>
      </c>
    </row>
    <row r="154" spans="1:11" x14ac:dyDescent="0.2">
      <c r="A154" t="s">
        <v>21</v>
      </c>
      <c r="B154" s="89">
        <v>1674</v>
      </c>
      <c r="C154" s="82">
        <v>1</v>
      </c>
      <c r="D154" s="83">
        <v>31559</v>
      </c>
      <c r="E154" s="84">
        <f t="shared" si="2"/>
        <v>1986</v>
      </c>
      <c r="F154" s="82" t="s">
        <v>22</v>
      </c>
      <c r="G154" s="82">
        <v>2</v>
      </c>
      <c r="H154" s="82">
        <v>7</v>
      </c>
      <c r="I154" s="82">
        <v>11</v>
      </c>
      <c r="J154" s="82">
        <v>9.5</v>
      </c>
      <c r="K154" s="89" t="s">
        <v>193</v>
      </c>
    </row>
    <row r="155" spans="1:11" x14ac:dyDescent="0.2">
      <c r="A155" t="s">
        <v>21</v>
      </c>
      <c r="B155" s="89">
        <v>1674</v>
      </c>
      <c r="C155" s="82">
        <v>1</v>
      </c>
      <c r="D155" s="83">
        <v>31559</v>
      </c>
      <c r="E155" s="84">
        <f t="shared" si="2"/>
        <v>1986</v>
      </c>
      <c r="F155" s="82" t="s">
        <v>22</v>
      </c>
      <c r="G155" s="82">
        <v>2</v>
      </c>
      <c r="H155" s="82">
        <v>8</v>
      </c>
      <c r="I155" s="82">
        <v>10.5</v>
      </c>
      <c r="J155" s="82">
        <v>8.9</v>
      </c>
      <c r="K155" s="89" t="s">
        <v>193</v>
      </c>
    </row>
    <row r="156" spans="1:11" x14ac:dyDescent="0.2">
      <c r="A156" t="s">
        <v>21</v>
      </c>
      <c r="B156" s="89">
        <v>1674</v>
      </c>
      <c r="C156" s="82">
        <v>1</v>
      </c>
      <c r="D156" s="83">
        <v>31559</v>
      </c>
      <c r="E156" s="84">
        <f t="shared" si="2"/>
        <v>1986</v>
      </c>
      <c r="F156" s="82" t="s">
        <v>22</v>
      </c>
      <c r="G156" s="82">
        <v>2</v>
      </c>
      <c r="H156" s="82">
        <v>9</v>
      </c>
      <c r="I156" s="82">
        <v>9.5</v>
      </c>
      <c r="J156" s="82">
        <v>8.6</v>
      </c>
      <c r="K156" s="89" t="s">
        <v>193</v>
      </c>
    </row>
    <row r="157" spans="1:11" x14ac:dyDescent="0.2">
      <c r="A157" t="s">
        <v>21</v>
      </c>
      <c r="B157" s="89">
        <v>1674</v>
      </c>
      <c r="C157" s="82">
        <v>1</v>
      </c>
      <c r="D157" s="83">
        <v>31559</v>
      </c>
      <c r="E157" s="84">
        <f t="shared" si="2"/>
        <v>1986</v>
      </c>
      <c r="F157" s="82" t="s">
        <v>22</v>
      </c>
      <c r="G157" s="82">
        <v>2</v>
      </c>
      <c r="H157" s="82">
        <v>10</v>
      </c>
      <c r="I157" s="82">
        <v>9</v>
      </c>
      <c r="J157" s="82">
        <v>7</v>
      </c>
      <c r="K157" s="89" t="s">
        <v>193</v>
      </c>
    </row>
    <row r="158" spans="1:11" x14ac:dyDescent="0.2">
      <c r="A158" t="s">
        <v>21</v>
      </c>
      <c r="B158" s="89">
        <v>1674</v>
      </c>
      <c r="C158" s="82">
        <v>1</v>
      </c>
      <c r="D158" s="83">
        <v>31559</v>
      </c>
      <c r="E158" s="84">
        <f t="shared" si="2"/>
        <v>1986</v>
      </c>
      <c r="F158" s="82" t="s">
        <v>22</v>
      </c>
      <c r="G158" s="82">
        <v>2</v>
      </c>
      <c r="H158" s="82">
        <v>11</v>
      </c>
      <c r="I158" s="82">
        <v>9</v>
      </c>
      <c r="J158" s="82">
        <v>6.4</v>
      </c>
      <c r="K158" s="89" t="s">
        <v>193</v>
      </c>
    </row>
    <row r="159" spans="1:11" x14ac:dyDescent="0.2">
      <c r="A159" t="s">
        <v>21</v>
      </c>
      <c r="B159" s="89">
        <v>1674</v>
      </c>
      <c r="C159" s="82">
        <v>1</v>
      </c>
      <c r="D159" s="83">
        <v>31559</v>
      </c>
      <c r="E159" s="84">
        <f t="shared" si="2"/>
        <v>1986</v>
      </c>
      <c r="F159" s="82" t="s">
        <v>22</v>
      </c>
      <c r="G159" s="82">
        <v>2</v>
      </c>
      <c r="H159" s="82">
        <v>12</v>
      </c>
      <c r="I159" s="82">
        <v>9</v>
      </c>
      <c r="J159" s="82">
        <v>6</v>
      </c>
      <c r="K159" s="89" t="s">
        <v>193</v>
      </c>
    </row>
    <row r="160" spans="1:11" x14ac:dyDescent="0.2">
      <c r="A160" t="s">
        <v>21</v>
      </c>
      <c r="B160" s="89">
        <v>1674</v>
      </c>
      <c r="C160" s="82">
        <v>1</v>
      </c>
      <c r="D160" s="83">
        <v>31559</v>
      </c>
      <c r="E160" s="84">
        <f t="shared" si="2"/>
        <v>1986</v>
      </c>
      <c r="F160" s="82" t="s">
        <v>22</v>
      </c>
      <c r="G160" s="82">
        <v>2</v>
      </c>
      <c r="H160" s="82">
        <v>13</v>
      </c>
      <c r="I160" s="82">
        <v>8.5</v>
      </c>
      <c r="J160" s="82">
        <v>5.9</v>
      </c>
      <c r="K160" s="89" t="s">
        <v>193</v>
      </c>
    </row>
    <row r="161" spans="1:11" x14ac:dyDescent="0.2">
      <c r="A161" t="s">
        <v>21</v>
      </c>
      <c r="B161" s="89">
        <v>1674</v>
      </c>
      <c r="C161" s="82">
        <v>1</v>
      </c>
      <c r="D161" s="83">
        <v>31559</v>
      </c>
      <c r="E161" s="84">
        <f t="shared" si="2"/>
        <v>1986</v>
      </c>
      <c r="F161" s="82" t="s">
        <v>22</v>
      </c>
      <c r="G161" s="82">
        <v>2</v>
      </c>
      <c r="H161" s="82">
        <v>13.5</v>
      </c>
      <c r="I161" s="82">
        <v>8</v>
      </c>
      <c r="J161" s="82">
        <v>4.5</v>
      </c>
      <c r="K161" s="89" t="s">
        <v>193</v>
      </c>
    </row>
    <row r="162" spans="1:11" x14ac:dyDescent="0.2">
      <c r="A162" t="s">
        <v>21</v>
      </c>
      <c r="B162" s="89">
        <v>1674</v>
      </c>
      <c r="C162" s="82">
        <v>1</v>
      </c>
      <c r="D162" s="83">
        <v>31573</v>
      </c>
      <c r="E162" s="84">
        <f t="shared" si="2"/>
        <v>1986</v>
      </c>
      <c r="F162" s="82" t="s">
        <v>22</v>
      </c>
      <c r="G162" s="82">
        <v>2</v>
      </c>
      <c r="H162" s="82">
        <v>0</v>
      </c>
      <c r="I162" s="82">
        <v>14.9</v>
      </c>
      <c r="J162" s="82">
        <v>10.3</v>
      </c>
      <c r="K162" s="89" t="s">
        <v>193</v>
      </c>
    </row>
    <row r="163" spans="1:11" x14ac:dyDescent="0.2">
      <c r="A163" t="s">
        <v>21</v>
      </c>
      <c r="B163" s="89">
        <v>1674</v>
      </c>
      <c r="C163" s="82">
        <v>1</v>
      </c>
      <c r="D163" s="83">
        <v>31573</v>
      </c>
      <c r="E163" s="84">
        <f t="shared" si="2"/>
        <v>1986</v>
      </c>
      <c r="F163" s="82" t="s">
        <v>22</v>
      </c>
      <c r="G163" s="82">
        <v>2</v>
      </c>
      <c r="H163" s="82">
        <v>1</v>
      </c>
      <c r="I163" s="82">
        <v>14.9</v>
      </c>
      <c r="J163" s="82">
        <v>10.199999999999999</v>
      </c>
      <c r="K163" s="89" t="s">
        <v>193</v>
      </c>
    </row>
    <row r="164" spans="1:11" x14ac:dyDescent="0.2">
      <c r="A164" t="s">
        <v>21</v>
      </c>
      <c r="B164" s="89">
        <v>1674</v>
      </c>
      <c r="C164" s="82">
        <v>1</v>
      </c>
      <c r="D164" s="83">
        <v>31573</v>
      </c>
      <c r="E164" s="84">
        <f t="shared" si="2"/>
        <v>1986</v>
      </c>
      <c r="F164" s="82" t="s">
        <v>22</v>
      </c>
      <c r="G164" s="82">
        <v>2</v>
      </c>
      <c r="H164" s="82">
        <v>2</v>
      </c>
      <c r="I164" s="82">
        <v>14.9</v>
      </c>
      <c r="J164" s="82">
        <v>10.199999999999999</v>
      </c>
      <c r="K164" s="89" t="s">
        <v>193</v>
      </c>
    </row>
    <row r="165" spans="1:11" x14ac:dyDescent="0.2">
      <c r="A165" t="s">
        <v>21</v>
      </c>
      <c r="B165" s="89">
        <v>1674</v>
      </c>
      <c r="C165" s="82">
        <v>1</v>
      </c>
      <c r="D165" s="83">
        <v>31573</v>
      </c>
      <c r="E165" s="84">
        <f t="shared" si="2"/>
        <v>1986</v>
      </c>
      <c r="F165" s="82" t="s">
        <v>22</v>
      </c>
      <c r="G165" s="82">
        <v>2</v>
      </c>
      <c r="H165" s="82">
        <v>3</v>
      </c>
      <c r="I165" s="82">
        <v>14.8</v>
      </c>
      <c r="J165" s="82">
        <v>10.199999999999999</v>
      </c>
      <c r="K165" s="89" t="s">
        <v>193</v>
      </c>
    </row>
    <row r="166" spans="1:11" x14ac:dyDescent="0.2">
      <c r="A166" t="s">
        <v>21</v>
      </c>
      <c r="B166" s="89">
        <v>1674</v>
      </c>
      <c r="C166" s="82">
        <v>1</v>
      </c>
      <c r="D166" s="83">
        <v>31573</v>
      </c>
      <c r="E166" s="84">
        <f t="shared" si="2"/>
        <v>1986</v>
      </c>
      <c r="F166" s="82" t="s">
        <v>22</v>
      </c>
      <c r="G166" s="82">
        <v>2</v>
      </c>
      <c r="H166" s="82">
        <v>4</v>
      </c>
      <c r="I166" s="82">
        <v>14.8</v>
      </c>
      <c r="J166" s="82">
        <v>10.199999999999999</v>
      </c>
      <c r="K166" s="89" t="s">
        <v>193</v>
      </c>
    </row>
    <row r="167" spans="1:11" x14ac:dyDescent="0.2">
      <c r="A167" t="s">
        <v>21</v>
      </c>
      <c r="B167" s="89">
        <v>1674</v>
      </c>
      <c r="C167" s="82">
        <v>1</v>
      </c>
      <c r="D167" s="83">
        <v>31573</v>
      </c>
      <c r="E167" s="84">
        <f t="shared" si="2"/>
        <v>1986</v>
      </c>
      <c r="F167" s="82" t="s">
        <v>22</v>
      </c>
      <c r="G167" s="82">
        <v>2</v>
      </c>
      <c r="H167" s="82">
        <v>5</v>
      </c>
      <c r="I167" s="82">
        <v>14.7</v>
      </c>
      <c r="J167" s="82">
        <v>10.1</v>
      </c>
      <c r="K167" s="89" t="s">
        <v>193</v>
      </c>
    </row>
    <row r="168" spans="1:11" x14ac:dyDescent="0.2">
      <c r="A168" t="s">
        <v>21</v>
      </c>
      <c r="B168" s="89">
        <v>1674</v>
      </c>
      <c r="C168" s="82">
        <v>1</v>
      </c>
      <c r="D168" s="83">
        <v>31573</v>
      </c>
      <c r="E168" s="84">
        <f t="shared" si="2"/>
        <v>1986</v>
      </c>
      <c r="F168" s="82" t="s">
        <v>22</v>
      </c>
      <c r="G168" s="82">
        <v>2</v>
      </c>
      <c r="H168" s="82">
        <v>6</v>
      </c>
      <c r="I168" s="82">
        <v>14.7</v>
      </c>
      <c r="J168" s="82">
        <v>10.199999999999999</v>
      </c>
      <c r="K168" s="89" t="s">
        <v>193</v>
      </c>
    </row>
    <row r="169" spans="1:11" x14ac:dyDescent="0.2">
      <c r="A169" t="s">
        <v>21</v>
      </c>
      <c r="B169" s="89">
        <v>1674</v>
      </c>
      <c r="C169" s="82">
        <v>1</v>
      </c>
      <c r="D169" s="83">
        <v>31573</v>
      </c>
      <c r="E169" s="84">
        <f t="shared" si="2"/>
        <v>1986</v>
      </c>
      <c r="F169" s="82" t="s">
        <v>22</v>
      </c>
      <c r="G169" s="82">
        <v>2</v>
      </c>
      <c r="H169" s="82">
        <v>7</v>
      </c>
      <c r="I169" s="82">
        <v>14.8</v>
      </c>
      <c r="J169" s="82">
        <v>10.199999999999999</v>
      </c>
      <c r="K169" s="89" t="s">
        <v>193</v>
      </c>
    </row>
    <row r="170" spans="1:11" x14ac:dyDescent="0.2">
      <c r="A170" t="s">
        <v>21</v>
      </c>
      <c r="B170" s="89">
        <v>1674</v>
      </c>
      <c r="C170" s="82">
        <v>1</v>
      </c>
      <c r="D170" s="83">
        <v>31573</v>
      </c>
      <c r="E170" s="84">
        <f t="shared" si="2"/>
        <v>1986</v>
      </c>
      <c r="F170" s="82" t="s">
        <v>22</v>
      </c>
      <c r="G170" s="82">
        <v>2</v>
      </c>
      <c r="H170" s="82">
        <v>8</v>
      </c>
      <c r="I170" s="82">
        <v>14.8</v>
      </c>
      <c r="J170" s="82">
        <v>10.199999999999999</v>
      </c>
      <c r="K170" s="89" t="s">
        <v>193</v>
      </c>
    </row>
    <row r="171" spans="1:11" x14ac:dyDescent="0.2">
      <c r="A171" t="s">
        <v>21</v>
      </c>
      <c r="B171" s="89">
        <v>1674</v>
      </c>
      <c r="C171" s="82">
        <v>1</v>
      </c>
      <c r="D171" s="83">
        <v>31573</v>
      </c>
      <c r="E171" s="84">
        <f t="shared" si="2"/>
        <v>1986</v>
      </c>
      <c r="F171" s="82" t="s">
        <v>22</v>
      </c>
      <c r="G171" s="82">
        <v>2</v>
      </c>
      <c r="H171" s="82">
        <v>9</v>
      </c>
      <c r="I171" s="82">
        <v>14.7</v>
      </c>
      <c r="J171" s="82">
        <v>10</v>
      </c>
      <c r="K171" s="89" t="s">
        <v>193</v>
      </c>
    </row>
    <row r="172" spans="1:11" x14ac:dyDescent="0.2">
      <c r="A172" t="s">
        <v>21</v>
      </c>
      <c r="B172" s="89">
        <v>1674</v>
      </c>
      <c r="C172" s="82">
        <v>1</v>
      </c>
      <c r="D172" s="83">
        <v>31573</v>
      </c>
      <c r="E172" s="84">
        <f t="shared" si="2"/>
        <v>1986</v>
      </c>
      <c r="F172" s="82" t="s">
        <v>22</v>
      </c>
      <c r="G172" s="82">
        <v>2</v>
      </c>
      <c r="H172" s="82">
        <v>10</v>
      </c>
      <c r="I172" s="82">
        <v>14.2</v>
      </c>
      <c r="J172" s="82">
        <v>9.9</v>
      </c>
      <c r="K172" s="89" t="s">
        <v>193</v>
      </c>
    </row>
    <row r="173" spans="1:11" x14ac:dyDescent="0.2">
      <c r="A173" t="s">
        <v>21</v>
      </c>
      <c r="B173" s="89">
        <v>1674</v>
      </c>
      <c r="C173" s="82">
        <v>1</v>
      </c>
      <c r="D173" s="83">
        <v>31573</v>
      </c>
      <c r="E173" s="84">
        <f t="shared" si="2"/>
        <v>1986</v>
      </c>
      <c r="F173" s="82" t="s">
        <v>22</v>
      </c>
      <c r="G173" s="82">
        <v>2</v>
      </c>
      <c r="H173" s="82">
        <v>11</v>
      </c>
      <c r="I173" s="82">
        <v>14.2</v>
      </c>
      <c r="J173" s="82">
        <v>9.8000000000000007</v>
      </c>
      <c r="K173" s="89" t="s">
        <v>193</v>
      </c>
    </row>
    <row r="174" spans="1:11" x14ac:dyDescent="0.2">
      <c r="A174" t="s">
        <v>21</v>
      </c>
      <c r="B174" s="89">
        <v>1674</v>
      </c>
      <c r="C174" s="82">
        <v>1</v>
      </c>
      <c r="D174" s="83">
        <v>31573</v>
      </c>
      <c r="E174" s="84">
        <f t="shared" si="2"/>
        <v>1986</v>
      </c>
      <c r="F174" s="82" t="s">
        <v>22</v>
      </c>
      <c r="G174" s="82">
        <v>2</v>
      </c>
      <c r="H174" s="82">
        <v>12</v>
      </c>
      <c r="I174" s="82">
        <v>14.1</v>
      </c>
      <c r="J174" s="82">
        <v>9.6999999999999993</v>
      </c>
      <c r="K174" s="89" t="s">
        <v>193</v>
      </c>
    </row>
    <row r="175" spans="1:11" x14ac:dyDescent="0.2">
      <c r="A175" t="s">
        <v>21</v>
      </c>
      <c r="B175" s="89">
        <v>1674</v>
      </c>
      <c r="C175" s="82">
        <v>1</v>
      </c>
      <c r="D175" s="83">
        <v>31573</v>
      </c>
      <c r="E175" s="84">
        <f t="shared" si="2"/>
        <v>1986</v>
      </c>
      <c r="F175" s="82" t="s">
        <v>22</v>
      </c>
      <c r="G175" s="82">
        <v>2</v>
      </c>
      <c r="H175" s="82">
        <v>13</v>
      </c>
      <c r="I175" s="82">
        <v>14</v>
      </c>
      <c r="J175" s="82">
        <v>9.6</v>
      </c>
      <c r="K175" s="89" t="s">
        <v>193</v>
      </c>
    </row>
    <row r="176" spans="1:11" x14ac:dyDescent="0.2">
      <c r="A176" t="s">
        <v>21</v>
      </c>
      <c r="B176" s="89">
        <v>1674</v>
      </c>
      <c r="C176" s="82">
        <v>1</v>
      </c>
      <c r="D176" s="83">
        <v>31573</v>
      </c>
      <c r="E176" s="84">
        <f t="shared" si="2"/>
        <v>1986</v>
      </c>
      <c r="F176" s="82" t="s">
        <v>22</v>
      </c>
      <c r="G176" s="82">
        <v>2</v>
      </c>
      <c r="H176" s="82">
        <v>13.5</v>
      </c>
      <c r="I176" s="82">
        <v>13</v>
      </c>
      <c r="J176" s="82">
        <v>7.2</v>
      </c>
      <c r="K176" s="89" t="s">
        <v>193</v>
      </c>
    </row>
    <row r="177" spans="1:11" x14ac:dyDescent="0.2">
      <c r="A177" t="s">
        <v>21</v>
      </c>
      <c r="B177" s="89">
        <v>1674</v>
      </c>
      <c r="C177" s="82">
        <v>1</v>
      </c>
      <c r="D177" s="83">
        <v>31590</v>
      </c>
      <c r="E177" s="84">
        <f t="shared" si="2"/>
        <v>1986</v>
      </c>
      <c r="F177" s="82" t="s">
        <v>22</v>
      </c>
      <c r="G177" s="82">
        <v>2</v>
      </c>
      <c r="H177" s="82">
        <v>0</v>
      </c>
      <c r="I177" s="82">
        <v>17.8</v>
      </c>
      <c r="J177" s="82">
        <v>10</v>
      </c>
      <c r="K177" s="89" t="s">
        <v>193</v>
      </c>
    </row>
    <row r="178" spans="1:11" x14ac:dyDescent="0.2">
      <c r="A178" t="s">
        <v>21</v>
      </c>
      <c r="B178" s="89">
        <v>1674</v>
      </c>
      <c r="C178" s="82">
        <v>1</v>
      </c>
      <c r="D178" s="83">
        <v>31590</v>
      </c>
      <c r="E178" s="84">
        <f t="shared" si="2"/>
        <v>1986</v>
      </c>
      <c r="F178" s="82" t="s">
        <v>22</v>
      </c>
      <c r="G178" s="82">
        <v>2</v>
      </c>
      <c r="H178" s="82">
        <v>1</v>
      </c>
      <c r="I178" s="82">
        <v>17.8</v>
      </c>
      <c r="J178" s="82">
        <v>10</v>
      </c>
      <c r="K178" s="89" t="s">
        <v>193</v>
      </c>
    </row>
    <row r="179" spans="1:11" x14ac:dyDescent="0.2">
      <c r="A179" t="s">
        <v>21</v>
      </c>
      <c r="B179" s="89">
        <v>1674</v>
      </c>
      <c r="C179" s="82">
        <v>1</v>
      </c>
      <c r="D179" s="83">
        <v>31590</v>
      </c>
      <c r="E179" s="84">
        <f t="shared" si="2"/>
        <v>1986</v>
      </c>
      <c r="F179" s="82" t="s">
        <v>22</v>
      </c>
      <c r="G179" s="82">
        <v>2</v>
      </c>
      <c r="H179" s="82">
        <v>2</v>
      </c>
      <c r="I179" s="82">
        <v>17.2</v>
      </c>
      <c r="J179" s="82">
        <v>9.8000000000000007</v>
      </c>
      <c r="K179" s="89" t="s">
        <v>193</v>
      </c>
    </row>
    <row r="180" spans="1:11" x14ac:dyDescent="0.2">
      <c r="A180" t="s">
        <v>21</v>
      </c>
      <c r="B180" s="89">
        <v>1674</v>
      </c>
      <c r="C180" s="82">
        <v>1</v>
      </c>
      <c r="D180" s="83">
        <v>31590</v>
      </c>
      <c r="E180" s="84">
        <f t="shared" si="2"/>
        <v>1986</v>
      </c>
      <c r="F180" s="82" t="s">
        <v>22</v>
      </c>
      <c r="G180" s="82">
        <v>2</v>
      </c>
      <c r="H180" s="82">
        <v>3</v>
      </c>
      <c r="I180" s="82">
        <v>17.3</v>
      </c>
      <c r="J180" s="82">
        <v>9.6999999999999993</v>
      </c>
      <c r="K180" s="89" t="s">
        <v>193</v>
      </c>
    </row>
    <row r="181" spans="1:11" x14ac:dyDescent="0.2">
      <c r="A181" t="s">
        <v>21</v>
      </c>
      <c r="B181" s="89">
        <v>1674</v>
      </c>
      <c r="C181" s="82">
        <v>1</v>
      </c>
      <c r="D181" s="83">
        <v>31590</v>
      </c>
      <c r="E181" s="84">
        <f t="shared" si="2"/>
        <v>1986</v>
      </c>
      <c r="F181" s="82" t="s">
        <v>22</v>
      </c>
      <c r="G181" s="82">
        <v>2</v>
      </c>
      <c r="H181" s="82">
        <v>4</v>
      </c>
      <c r="I181" s="82">
        <v>17.2</v>
      </c>
      <c r="J181" s="82">
        <v>9.6999999999999993</v>
      </c>
      <c r="K181" s="89" t="s">
        <v>193</v>
      </c>
    </row>
    <row r="182" spans="1:11" x14ac:dyDescent="0.2">
      <c r="A182" t="s">
        <v>21</v>
      </c>
      <c r="B182" s="89">
        <v>1674</v>
      </c>
      <c r="C182" s="82">
        <v>1</v>
      </c>
      <c r="D182" s="83">
        <v>31590</v>
      </c>
      <c r="E182" s="84">
        <f t="shared" si="2"/>
        <v>1986</v>
      </c>
      <c r="F182" s="82" t="s">
        <v>22</v>
      </c>
      <c r="G182" s="82">
        <v>2</v>
      </c>
      <c r="H182" s="82">
        <v>5</v>
      </c>
      <c r="I182" s="82">
        <v>17.100000000000001</v>
      </c>
      <c r="J182" s="82">
        <v>9.6999999999999993</v>
      </c>
      <c r="K182" s="89" t="s">
        <v>193</v>
      </c>
    </row>
    <row r="183" spans="1:11" x14ac:dyDescent="0.2">
      <c r="A183" t="s">
        <v>21</v>
      </c>
      <c r="B183" s="89">
        <v>1674</v>
      </c>
      <c r="C183" s="82">
        <v>1</v>
      </c>
      <c r="D183" s="83">
        <v>31590</v>
      </c>
      <c r="E183" s="84">
        <f t="shared" si="2"/>
        <v>1986</v>
      </c>
      <c r="F183" s="82" t="s">
        <v>22</v>
      </c>
      <c r="G183" s="82">
        <v>2</v>
      </c>
      <c r="H183" s="82">
        <v>6</v>
      </c>
      <c r="I183" s="82">
        <v>17.100000000000001</v>
      </c>
      <c r="J183" s="82">
        <v>9.6999999999999993</v>
      </c>
      <c r="K183" s="89" t="s">
        <v>193</v>
      </c>
    </row>
    <row r="184" spans="1:11" x14ac:dyDescent="0.2">
      <c r="A184" t="s">
        <v>21</v>
      </c>
      <c r="B184" s="89">
        <v>1674</v>
      </c>
      <c r="C184" s="82">
        <v>1</v>
      </c>
      <c r="D184" s="83">
        <v>31590</v>
      </c>
      <c r="E184" s="84">
        <f t="shared" si="2"/>
        <v>1986</v>
      </c>
      <c r="F184" s="82" t="s">
        <v>22</v>
      </c>
      <c r="G184" s="82">
        <v>2</v>
      </c>
      <c r="H184" s="82">
        <v>7</v>
      </c>
      <c r="I184" s="82">
        <v>17.100000000000001</v>
      </c>
      <c r="J184" s="82">
        <v>9.6999999999999993</v>
      </c>
      <c r="K184" s="89" t="s">
        <v>193</v>
      </c>
    </row>
    <row r="185" spans="1:11" x14ac:dyDescent="0.2">
      <c r="A185" t="s">
        <v>21</v>
      </c>
      <c r="B185" s="89">
        <v>1674</v>
      </c>
      <c r="C185" s="82">
        <v>1</v>
      </c>
      <c r="D185" s="83">
        <v>31590</v>
      </c>
      <c r="E185" s="84">
        <f t="shared" si="2"/>
        <v>1986</v>
      </c>
      <c r="F185" s="82" t="s">
        <v>22</v>
      </c>
      <c r="G185" s="82">
        <v>2</v>
      </c>
      <c r="H185" s="82">
        <v>8</v>
      </c>
      <c r="I185" s="82">
        <v>17.100000000000001</v>
      </c>
      <c r="J185" s="82">
        <v>9.6</v>
      </c>
      <c r="K185" s="89" t="s">
        <v>193</v>
      </c>
    </row>
    <row r="186" spans="1:11" x14ac:dyDescent="0.2">
      <c r="A186" t="s">
        <v>21</v>
      </c>
      <c r="B186" s="89">
        <v>1674</v>
      </c>
      <c r="C186" s="82">
        <v>1</v>
      </c>
      <c r="D186" s="83">
        <v>31590</v>
      </c>
      <c r="E186" s="84">
        <f t="shared" si="2"/>
        <v>1986</v>
      </c>
      <c r="F186" s="82" t="s">
        <v>22</v>
      </c>
      <c r="G186" s="82">
        <v>2</v>
      </c>
      <c r="H186" s="82">
        <v>9</v>
      </c>
      <c r="I186" s="82">
        <v>17</v>
      </c>
      <c r="J186" s="82">
        <v>9.6</v>
      </c>
      <c r="K186" s="89" t="s">
        <v>193</v>
      </c>
    </row>
    <row r="187" spans="1:11" x14ac:dyDescent="0.2">
      <c r="A187" t="s">
        <v>21</v>
      </c>
      <c r="B187" s="89">
        <v>1674</v>
      </c>
      <c r="C187" s="82">
        <v>1</v>
      </c>
      <c r="D187" s="83">
        <v>31590</v>
      </c>
      <c r="E187" s="84">
        <f t="shared" si="2"/>
        <v>1986</v>
      </c>
      <c r="F187" s="82" t="s">
        <v>22</v>
      </c>
      <c r="G187" s="82">
        <v>2</v>
      </c>
      <c r="H187" s="82">
        <v>10</v>
      </c>
      <c r="I187" s="82">
        <v>17</v>
      </c>
      <c r="J187" s="82">
        <v>9.6</v>
      </c>
      <c r="K187" s="89" t="s">
        <v>193</v>
      </c>
    </row>
    <row r="188" spans="1:11" x14ac:dyDescent="0.2">
      <c r="A188" t="s">
        <v>21</v>
      </c>
      <c r="B188" s="89">
        <v>1674</v>
      </c>
      <c r="C188" s="82">
        <v>1</v>
      </c>
      <c r="D188" s="83">
        <v>31590</v>
      </c>
      <c r="E188" s="84">
        <f t="shared" si="2"/>
        <v>1986</v>
      </c>
      <c r="F188" s="82" t="s">
        <v>22</v>
      </c>
      <c r="G188" s="82">
        <v>2</v>
      </c>
      <c r="H188" s="82">
        <v>11</v>
      </c>
      <c r="I188" s="82">
        <v>16.899999999999999</v>
      </c>
      <c r="J188" s="82">
        <v>9.1</v>
      </c>
      <c r="K188" s="89" t="s">
        <v>193</v>
      </c>
    </row>
    <row r="189" spans="1:11" x14ac:dyDescent="0.2">
      <c r="A189" t="s">
        <v>21</v>
      </c>
      <c r="B189" s="89">
        <v>1674</v>
      </c>
      <c r="C189" s="82">
        <v>1</v>
      </c>
      <c r="D189" s="83">
        <v>31590</v>
      </c>
      <c r="E189" s="84">
        <f t="shared" si="2"/>
        <v>1986</v>
      </c>
      <c r="F189" s="82" t="s">
        <v>22</v>
      </c>
      <c r="G189" s="82">
        <v>2</v>
      </c>
      <c r="H189" s="82">
        <v>12</v>
      </c>
      <c r="I189" s="82">
        <v>16.899999999999999</v>
      </c>
      <c r="J189" s="82">
        <v>8.8000000000000007</v>
      </c>
      <c r="K189" s="89" t="s">
        <v>193</v>
      </c>
    </row>
    <row r="190" spans="1:11" x14ac:dyDescent="0.2">
      <c r="A190" t="s">
        <v>21</v>
      </c>
      <c r="B190" s="89">
        <v>1674</v>
      </c>
      <c r="C190" s="82">
        <v>1</v>
      </c>
      <c r="D190" s="83">
        <v>31590</v>
      </c>
      <c r="E190" s="84">
        <f t="shared" si="2"/>
        <v>1986</v>
      </c>
      <c r="F190" s="82" t="s">
        <v>22</v>
      </c>
      <c r="G190" s="82">
        <v>2</v>
      </c>
      <c r="H190" s="82">
        <v>12.8</v>
      </c>
      <c r="I190" s="82">
        <v>16.7</v>
      </c>
      <c r="J190" s="82">
        <v>7.8</v>
      </c>
      <c r="K190" s="89" t="s">
        <v>193</v>
      </c>
    </row>
    <row r="191" spans="1:11" x14ac:dyDescent="0.2">
      <c r="A191" t="s">
        <v>21</v>
      </c>
      <c r="B191" s="89">
        <v>1674</v>
      </c>
      <c r="C191" s="82">
        <v>1</v>
      </c>
      <c r="D191" s="83">
        <v>31609</v>
      </c>
      <c r="E191" s="84">
        <f t="shared" si="2"/>
        <v>1986</v>
      </c>
      <c r="F191" s="82" t="s">
        <v>22</v>
      </c>
      <c r="G191" s="82">
        <v>2</v>
      </c>
      <c r="H191" s="82">
        <v>0</v>
      </c>
      <c r="I191" s="82">
        <v>18.3</v>
      </c>
      <c r="J191" s="82">
        <v>9.5</v>
      </c>
      <c r="K191" s="89" t="s">
        <v>193</v>
      </c>
    </row>
    <row r="192" spans="1:11" x14ac:dyDescent="0.2">
      <c r="A192" t="s">
        <v>21</v>
      </c>
      <c r="B192" s="89">
        <v>1674</v>
      </c>
      <c r="C192" s="82">
        <v>1</v>
      </c>
      <c r="D192" s="83">
        <v>31609</v>
      </c>
      <c r="E192" s="84">
        <f t="shared" si="2"/>
        <v>1986</v>
      </c>
      <c r="F192" s="82" t="s">
        <v>22</v>
      </c>
      <c r="G192" s="82">
        <v>2</v>
      </c>
      <c r="H192" s="82">
        <v>1</v>
      </c>
      <c r="I192" s="82">
        <v>18.2</v>
      </c>
      <c r="J192" s="82">
        <v>9.4</v>
      </c>
      <c r="K192" s="89" t="s">
        <v>193</v>
      </c>
    </row>
    <row r="193" spans="1:11" x14ac:dyDescent="0.2">
      <c r="A193" t="s">
        <v>21</v>
      </c>
      <c r="B193" s="89">
        <v>1674</v>
      </c>
      <c r="C193" s="82">
        <v>1</v>
      </c>
      <c r="D193" s="83">
        <v>31609</v>
      </c>
      <c r="E193" s="84">
        <f t="shared" si="2"/>
        <v>1986</v>
      </c>
      <c r="F193" s="82" t="s">
        <v>22</v>
      </c>
      <c r="G193" s="82">
        <v>2</v>
      </c>
      <c r="H193" s="82">
        <v>2</v>
      </c>
      <c r="I193" s="82">
        <v>17.3</v>
      </c>
      <c r="J193" s="82">
        <v>9.6</v>
      </c>
      <c r="K193" s="89" t="s">
        <v>193</v>
      </c>
    </row>
    <row r="194" spans="1:11" x14ac:dyDescent="0.2">
      <c r="A194" t="s">
        <v>21</v>
      </c>
      <c r="B194" s="89">
        <v>1674</v>
      </c>
      <c r="C194" s="82">
        <v>1</v>
      </c>
      <c r="D194" s="83">
        <v>31609</v>
      </c>
      <c r="E194" s="84">
        <f t="shared" ref="E194:E257" si="3">YEAR(D194)</f>
        <v>1986</v>
      </c>
      <c r="F194" s="82" t="s">
        <v>22</v>
      </c>
      <c r="G194" s="82">
        <v>2</v>
      </c>
      <c r="H194" s="82">
        <v>3</v>
      </c>
      <c r="I194" s="82">
        <v>17.3</v>
      </c>
      <c r="J194" s="82">
        <v>9.3000000000000007</v>
      </c>
      <c r="K194" s="89" t="s">
        <v>193</v>
      </c>
    </row>
    <row r="195" spans="1:11" x14ac:dyDescent="0.2">
      <c r="A195" t="s">
        <v>21</v>
      </c>
      <c r="B195" s="89">
        <v>1674</v>
      </c>
      <c r="C195" s="82">
        <v>1</v>
      </c>
      <c r="D195" s="83">
        <v>31609</v>
      </c>
      <c r="E195" s="84">
        <f t="shared" si="3"/>
        <v>1986</v>
      </c>
      <c r="F195" s="82" t="s">
        <v>22</v>
      </c>
      <c r="G195" s="82">
        <v>2</v>
      </c>
      <c r="H195" s="82">
        <v>4</v>
      </c>
      <c r="I195" s="82">
        <v>17.2</v>
      </c>
      <c r="J195" s="82">
        <v>9</v>
      </c>
      <c r="K195" s="89" t="s">
        <v>193</v>
      </c>
    </row>
    <row r="196" spans="1:11" x14ac:dyDescent="0.2">
      <c r="A196" t="s">
        <v>21</v>
      </c>
      <c r="B196" s="89">
        <v>1674</v>
      </c>
      <c r="C196" s="82">
        <v>1</v>
      </c>
      <c r="D196" s="83">
        <v>31609</v>
      </c>
      <c r="E196" s="84">
        <f t="shared" si="3"/>
        <v>1986</v>
      </c>
      <c r="F196" s="82" t="s">
        <v>22</v>
      </c>
      <c r="G196" s="82">
        <v>2</v>
      </c>
      <c r="H196" s="82">
        <v>5</v>
      </c>
      <c r="I196" s="82">
        <v>17.2</v>
      </c>
      <c r="J196" s="82">
        <v>8.9</v>
      </c>
      <c r="K196" s="89" t="s">
        <v>193</v>
      </c>
    </row>
    <row r="197" spans="1:11" x14ac:dyDescent="0.2">
      <c r="A197" t="s">
        <v>21</v>
      </c>
      <c r="B197" s="89">
        <v>1674</v>
      </c>
      <c r="C197" s="82">
        <v>1</v>
      </c>
      <c r="D197" s="83">
        <v>31609</v>
      </c>
      <c r="E197" s="84">
        <f t="shared" si="3"/>
        <v>1986</v>
      </c>
      <c r="F197" s="82" t="s">
        <v>22</v>
      </c>
      <c r="G197" s="82">
        <v>2</v>
      </c>
      <c r="H197" s="82">
        <v>6</v>
      </c>
      <c r="I197" s="82">
        <v>17.100000000000001</v>
      </c>
      <c r="J197" s="82">
        <v>8.9</v>
      </c>
      <c r="K197" s="89" t="s">
        <v>193</v>
      </c>
    </row>
    <row r="198" spans="1:11" x14ac:dyDescent="0.2">
      <c r="A198" t="s">
        <v>21</v>
      </c>
      <c r="B198" s="89">
        <v>1674</v>
      </c>
      <c r="C198" s="82">
        <v>1</v>
      </c>
      <c r="D198" s="83">
        <v>31609</v>
      </c>
      <c r="E198" s="84">
        <f t="shared" si="3"/>
        <v>1986</v>
      </c>
      <c r="F198" s="82" t="s">
        <v>22</v>
      </c>
      <c r="G198" s="82">
        <v>2</v>
      </c>
      <c r="H198" s="82">
        <v>7</v>
      </c>
      <c r="I198" s="82">
        <v>17.100000000000001</v>
      </c>
      <c r="J198" s="82">
        <v>8.8000000000000007</v>
      </c>
      <c r="K198" s="89" t="s">
        <v>193</v>
      </c>
    </row>
    <row r="199" spans="1:11" x14ac:dyDescent="0.2">
      <c r="A199" t="s">
        <v>21</v>
      </c>
      <c r="B199" s="89">
        <v>1674</v>
      </c>
      <c r="C199" s="82">
        <v>1</v>
      </c>
      <c r="D199" s="83">
        <v>31609</v>
      </c>
      <c r="E199" s="84">
        <f t="shared" si="3"/>
        <v>1986</v>
      </c>
      <c r="F199" s="82" t="s">
        <v>22</v>
      </c>
      <c r="G199" s="82">
        <v>2</v>
      </c>
      <c r="H199" s="82">
        <v>8</v>
      </c>
      <c r="I199" s="82">
        <v>17</v>
      </c>
      <c r="J199" s="82">
        <v>8.8000000000000007</v>
      </c>
      <c r="K199" s="89" t="s">
        <v>193</v>
      </c>
    </row>
    <row r="200" spans="1:11" x14ac:dyDescent="0.2">
      <c r="A200" t="s">
        <v>21</v>
      </c>
      <c r="B200" s="89">
        <v>1674</v>
      </c>
      <c r="C200" s="82">
        <v>1</v>
      </c>
      <c r="D200" s="83">
        <v>31609</v>
      </c>
      <c r="E200" s="84">
        <f t="shared" si="3"/>
        <v>1986</v>
      </c>
      <c r="F200" s="82" t="s">
        <v>22</v>
      </c>
      <c r="G200" s="82">
        <v>2</v>
      </c>
      <c r="H200" s="82">
        <v>9</v>
      </c>
      <c r="I200" s="82">
        <v>17</v>
      </c>
      <c r="J200" s="82">
        <v>8.1999999999999993</v>
      </c>
      <c r="K200" s="89" t="s">
        <v>193</v>
      </c>
    </row>
    <row r="201" spans="1:11" x14ac:dyDescent="0.2">
      <c r="A201" t="s">
        <v>21</v>
      </c>
      <c r="B201" s="89">
        <v>1674</v>
      </c>
      <c r="C201" s="82">
        <v>1</v>
      </c>
      <c r="D201" s="83">
        <v>31609</v>
      </c>
      <c r="E201" s="84">
        <f t="shared" si="3"/>
        <v>1986</v>
      </c>
      <c r="F201" s="82" t="s">
        <v>22</v>
      </c>
      <c r="G201" s="82">
        <v>2</v>
      </c>
      <c r="H201" s="82">
        <v>10</v>
      </c>
      <c r="I201" s="82">
        <v>17</v>
      </c>
      <c r="J201" s="82">
        <v>7.9</v>
      </c>
      <c r="K201" s="89" t="s">
        <v>193</v>
      </c>
    </row>
    <row r="202" spans="1:11" x14ac:dyDescent="0.2">
      <c r="A202" t="s">
        <v>21</v>
      </c>
      <c r="B202" s="89">
        <v>1674</v>
      </c>
      <c r="C202" s="82">
        <v>1</v>
      </c>
      <c r="D202" s="83">
        <v>31609</v>
      </c>
      <c r="E202" s="84">
        <f t="shared" si="3"/>
        <v>1986</v>
      </c>
      <c r="F202" s="82" t="s">
        <v>22</v>
      </c>
      <c r="G202" s="82">
        <v>2</v>
      </c>
      <c r="H202" s="82">
        <v>11</v>
      </c>
      <c r="I202" s="82">
        <v>17</v>
      </c>
      <c r="J202" s="82">
        <v>7.8</v>
      </c>
      <c r="K202" s="89" t="s">
        <v>193</v>
      </c>
    </row>
    <row r="203" spans="1:11" x14ac:dyDescent="0.2">
      <c r="A203" t="s">
        <v>21</v>
      </c>
      <c r="B203" s="89">
        <v>1674</v>
      </c>
      <c r="C203" s="82">
        <v>1</v>
      </c>
      <c r="D203" s="83">
        <v>31609</v>
      </c>
      <c r="E203" s="84">
        <f t="shared" si="3"/>
        <v>1986</v>
      </c>
      <c r="F203" s="82" t="s">
        <v>22</v>
      </c>
      <c r="G203" s="82">
        <v>2</v>
      </c>
      <c r="H203" s="82">
        <v>12</v>
      </c>
      <c r="I203" s="82">
        <v>16.899999999999999</v>
      </c>
      <c r="J203" s="82">
        <v>6.6</v>
      </c>
      <c r="K203" s="89" t="s">
        <v>193</v>
      </c>
    </row>
    <row r="204" spans="1:11" x14ac:dyDescent="0.2">
      <c r="A204" t="s">
        <v>21</v>
      </c>
      <c r="B204" s="89">
        <v>1674</v>
      </c>
      <c r="C204" s="82">
        <v>1</v>
      </c>
      <c r="D204" s="83">
        <v>31609</v>
      </c>
      <c r="E204" s="84">
        <f t="shared" si="3"/>
        <v>1986</v>
      </c>
      <c r="F204" s="82" t="s">
        <v>22</v>
      </c>
      <c r="G204" s="82">
        <v>2</v>
      </c>
      <c r="H204" s="82">
        <v>13</v>
      </c>
      <c r="I204" s="82">
        <v>16.899999999999999</v>
      </c>
      <c r="J204" s="82">
        <v>3.9</v>
      </c>
      <c r="K204" s="89" t="s">
        <v>193</v>
      </c>
    </row>
    <row r="205" spans="1:11" x14ac:dyDescent="0.2">
      <c r="A205" t="s">
        <v>21</v>
      </c>
      <c r="B205" s="89">
        <v>1674</v>
      </c>
      <c r="C205" s="82">
        <v>1</v>
      </c>
      <c r="D205" s="83">
        <v>31623</v>
      </c>
      <c r="E205" s="84">
        <f t="shared" si="3"/>
        <v>1986</v>
      </c>
      <c r="F205" s="82" t="s">
        <v>22</v>
      </c>
      <c r="G205" s="82">
        <v>2</v>
      </c>
      <c r="H205" s="82">
        <v>0</v>
      </c>
      <c r="I205" s="82">
        <v>20.9</v>
      </c>
      <c r="J205" s="82">
        <v>9.4</v>
      </c>
      <c r="K205" s="89" t="s">
        <v>193</v>
      </c>
    </row>
    <row r="206" spans="1:11" x14ac:dyDescent="0.2">
      <c r="A206" t="s">
        <v>21</v>
      </c>
      <c r="B206" s="89">
        <v>1674</v>
      </c>
      <c r="C206" s="82">
        <v>1</v>
      </c>
      <c r="D206" s="83">
        <v>31623</v>
      </c>
      <c r="E206" s="84">
        <f t="shared" si="3"/>
        <v>1986</v>
      </c>
      <c r="F206" s="82" t="s">
        <v>22</v>
      </c>
      <c r="G206" s="82">
        <v>2</v>
      </c>
      <c r="H206" s="82">
        <v>1</v>
      </c>
      <c r="I206" s="82">
        <v>20.9</v>
      </c>
      <c r="J206" s="82">
        <v>9.5</v>
      </c>
      <c r="K206" s="89" t="s">
        <v>193</v>
      </c>
    </row>
    <row r="207" spans="1:11" x14ac:dyDescent="0.2">
      <c r="A207" t="s">
        <v>21</v>
      </c>
      <c r="B207" s="89">
        <v>1674</v>
      </c>
      <c r="C207" s="82">
        <v>1</v>
      </c>
      <c r="D207" s="83">
        <v>31623</v>
      </c>
      <c r="E207" s="84">
        <f t="shared" si="3"/>
        <v>1986</v>
      </c>
      <c r="F207" s="82" t="s">
        <v>22</v>
      </c>
      <c r="G207" s="82">
        <v>2</v>
      </c>
      <c r="H207" s="82">
        <v>2</v>
      </c>
      <c r="I207" s="82">
        <v>20.9</v>
      </c>
      <c r="J207" s="82">
        <v>9.5</v>
      </c>
      <c r="K207" s="89" t="s">
        <v>193</v>
      </c>
    </row>
    <row r="208" spans="1:11" x14ac:dyDescent="0.2">
      <c r="A208" t="s">
        <v>21</v>
      </c>
      <c r="B208" s="89">
        <v>1674</v>
      </c>
      <c r="C208" s="82">
        <v>1</v>
      </c>
      <c r="D208" s="83">
        <v>31623</v>
      </c>
      <c r="E208" s="84">
        <f t="shared" si="3"/>
        <v>1986</v>
      </c>
      <c r="F208" s="82" t="s">
        <v>22</v>
      </c>
      <c r="G208" s="82">
        <v>2</v>
      </c>
      <c r="H208" s="82">
        <v>3</v>
      </c>
      <c r="I208" s="82">
        <v>20.9</v>
      </c>
      <c r="J208" s="82">
        <v>9.5</v>
      </c>
      <c r="K208" s="89" t="s">
        <v>193</v>
      </c>
    </row>
    <row r="209" spans="1:11" x14ac:dyDescent="0.2">
      <c r="A209" t="s">
        <v>21</v>
      </c>
      <c r="B209" s="89">
        <v>1674</v>
      </c>
      <c r="C209" s="82">
        <v>1</v>
      </c>
      <c r="D209" s="83">
        <v>31623</v>
      </c>
      <c r="E209" s="84">
        <f t="shared" si="3"/>
        <v>1986</v>
      </c>
      <c r="F209" s="82" t="s">
        <v>22</v>
      </c>
      <c r="G209" s="82">
        <v>2</v>
      </c>
      <c r="H209" s="82">
        <v>4</v>
      </c>
      <c r="I209" s="82">
        <v>20.8</v>
      </c>
      <c r="J209" s="82">
        <v>9.3000000000000007</v>
      </c>
      <c r="K209" s="89" t="s">
        <v>193</v>
      </c>
    </row>
    <row r="210" spans="1:11" x14ac:dyDescent="0.2">
      <c r="A210" t="s">
        <v>21</v>
      </c>
      <c r="B210" s="89">
        <v>1674</v>
      </c>
      <c r="C210" s="82">
        <v>1</v>
      </c>
      <c r="D210" s="83">
        <v>31623</v>
      </c>
      <c r="E210" s="84">
        <f t="shared" si="3"/>
        <v>1986</v>
      </c>
      <c r="F210" s="82" t="s">
        <v>22</v>
      </c>
      <c r="G210" s="82">
        <v>2</v>
      </c>
      <c r="H210" s="82">
        <v>5</v>
      </c>
      <c r="I210" s="82">
        <v>20.8</v>
      </c>
      <c r="J210" s="82">
        <v>9</v>
      </c>
      <c r="K210" s="89" t="s">
        <v>193</v>
      </c>
    </row>
    <row r="211" spans="1:11" x14ac:dyDescent="0.2">
      <c r="A211" t="s">
        <v>21</v>
      </c>
      <c r="B211" s="89">
        <v>1674</v>
      </c>
      <c r="C211" s="82">
        <v>1</v>
      </c>
      <c r="D211" s="83">
        <v>31623</v>
      </c>
      <c r="E211" s="84">
        <f t="shared" si="3"/>
        <v>1986</v>
      </c>
      <c r="F211" s="82" t="s">
        <v>22</v>
      </c>
      <c r="G211" s="82">
        <v>2</v>
      </c>
      <c r="H211" s="82">
        <v>6</v>
      </c>
      <c r="I211" s="82">
        <v>20.5</v>
      </c>
      <c r="J211" s="82">
        <v>7.5</v>
      </c>
      <c r="K211" s="89" t="s">
        <v>193</v>
      </c>
    </row>
    <row r="212" spans="1:11" x14ac:dyDescent="0.2">
      <c r="A212" t="s">
        <v>21</v>
      </c>
      <c r="B212" s="89">
        <v>1674</v>
      </c>
      <c r="C212" s="82">
        <v>1</v>
      </c>
      <c r="D212" s="83">
        <v>31623</v>
      </c>
      <c r="E212" s="84">
        <f t="shared" si="3"/>
        <v>1986</v>
      </c>
      <c r="F212" s="82" t="s">
        <v>22</v>
      </c>
      <c r="G212" s="82">
        <v>2</v>
      </c>
      <c r="H212" s="82">
        <v>7</v>
      </c>
      <c r="I212" s="82">
        <v>20.100000000000001</v>
      </c>
      <c r="J212" s="82">
        <v>6.7</v>
      </c>
      <c r="K212" s="89" t="s">
        <v>193</v>
      </c>
    </row>
    <row r="213" spans="1:11" x14ac:dyDescent="0.2">
      <c r="A213" t="s">
        <v>21</v>
      </c>
      <c r="B213" s="89">
        <v>1674</v>
      </c>
      <c r="C213" s="82">
        <v>1</v>
      </c>
      <c r="D213" s="83">
        <v>31623</v>
      </c>
      <c r="E213" s="84">
        <f t="shared" si="3"/>
        <v>1986</v>
      </c>
      <c r="F213" s="82" t="s">
        <v>22</v>
      </c>
      <c r="G213" s="82">
        <v>2</v>
      </c>
      <c r="H213" s="82">
        <v>8</v>
      </c>
      <c r="I213" s="82">
        <v>19.2</v>
      </c>
      <c r="J213" s="82">
        <v>5.0999999999999996</v>
      </c>
      <c r="K213" s="89" t="s">
        <v>193</v>
      </c>
    </row>
    <row r="214" spans="1:11" x14ac:dyDescent="0.2">
      <c r="A214" t="s">
        <v>21</v>
      </c>
      <c r="B214" s="89">
        <v>1674</v>
      </c>
      <c r="C214" s="82">
        <v>1</v>
      </c>
      <c r="D214" s="83">
        <v>31623</v>
      </c>
      <c r="E214" s="84">
        <f t="shared" si="3"/>
        <v>1986</v>
      </c>
      <c r="F214" s="82" t="s">
        <v>22</v>
      </c>
      <c r="G214" s="82">
        <v>2</v>
      </c>
      <c r="H214" s="82">
        <v>9</v>
      </c>
      <c r="I214" s="82">
        <v>18.100000000000001</v>
      </c>
      <c r="J214" s="82">
        <v>3.4</v>
      </c>
      <c r="K214" s="89" t="s">
        <v>193</v>
      </c>
    </row>
    <row r="215" spans="1:11" x14ac:dyDescent="0.2">
      <c r="A215" t="s">
        <v>21</v>
      </c>
      <c r="B215" s="89">
        <v>1674</v>
      </c>
      <c r="C215" s="82">
        <v>1</v>
      </c>
      <c r="D215" s="83">
        <v>31623</v>
      </c>
      <c r="E215" s="84">
        <f t="shared" si="3"/>
        <v>1986</v>
      </c>
      <c r="F215" s="82" t="s">
        <v>22</v>
      </c>
      <c r="G215" s="82">
        <v>2</v>
      </c>
      <c r="H215" s="82">
        <v>10</v>
      </c>
      <c r="I215" s="82">
        <v>18</v>
      </c>
      <c r="J215" s="82">
        <v>2.9</v>
      </c>
      <c r="K215" s="89" t="s">
        <v>193</v>
      </c>
    </row>
    <row r="216" spans="1:11" x14ac:dyDescent="0.2">
      <c r="A216" t="s">
        <v>21</v>
      </c>
      <c r="B216" s="89">
        <v>1674</v>
      </c>
      <c r="C216" s="82">
        <v>1</v>
      </c>
      <c r="D216" s="83">
        <v>31623</v>
      </c>
      <c r="E216" s="84">
        <f t="shared" si="3"/>
        <v>1986</v>
      </c>
      <c r="F216" s="82" t="s">
        <v>22</v>
      </c>
      <c r="G216" s="82">
        <v>2</v>
      </c>
      <c r="H216" s="82">
        <v>11</v>
      </c>
      <c r="I216" s="82">
        <v>17.899999999999999</v>
      </c>
      <c r="J216" s="82">
        <v>2.8</v>
      </c>
      <c r="K216" s="89" t="s">
        <v>193</v>
      </c>
    </row>
    <row r="217" spans="1:11" x14ac:dyDescent="0.2">
      <c r="A217" t="s">
        <v>21</v>
      </c>
      <c r="B217" s="89">
        <v>1674</v>
      </c>
      <c r="C217" s="82">
        <v>1</v>
      </c>
      <c r="D217" s="83">
        <v>31623</v>
      </c>
      <c r="E217" s="84">
        <f t="shared" si="3"/>
        <v>1986</v>
      </c>
      <c r="F217" s="82" t="s">
        <v>22</v>
      </c>
      <c r="G217" s="82">
        <v>2</v>
      </c>
      <c r="H217" s="82">
        <v>12</v>
      </c>
      <c r="I217" s="82">
        <v>17.8</v>
      </c>
      <c r="J217" s="82">
        <v>1.6</v>
      </c>
      <c r="K217" s="89" t="s">
        <v>193</v>
      </c>
    </row>
    <row r="218" spans="1:11" x14ac:dyDescent="0.2">
      <c r="A218" t="s">
        <v>21</v>
      </c>
      <c r="B218" s="89">
        <v>1674</v>
      </c>
      <c r="C218" s="82">
        <v>1</v>
      </c>
      <c r="D218" s="83">
        <v>31623</v>
      </c>
      <c r="E218" s="84">
        <f t="shared" si="3"/>
        <v>1986</v>
      </c>
      <c r="F218" s="82" t="s">
        <v>22</v>
      </c>
      <c r="G218" s="82">
        <v>2</v>
      </c>
      <c r="H218" s="82">
        <v>13</v>
      </c>
      <c r="I218" s="82">
        <v>17.399999999999999</v>
      </c>
      <c r="J218" s="82">
        <v>0.8</v>
      </c>
      <c r="K218" s="89" t="s">
        <v>193</v>
      </c>
    </row>
    <row r="219" spans="1:11" x14ac:dyDescent="0.2">
      <c r="A219" t="s">
        <v>21</v>
      </c>
      <c r="B219" s="89">
        <v>1674</v>
      </c>
      <c r="C219" s="82">
        <v>1</v>
      </c>
      <c r="D219" s="83">
        <v>31623</v>
      </c>
      <c r="E219" s="84">
        <f t="shared" si="3"/>
        <v>1986</v>
      </c>
      <c r="F219" s="82" t="s">
        <v>22</v>
      </c>
      <c r="G219" s="82">
        <v>2</v>
      </c>
      <c r="H219" s="82">
        <v>13.5</v>
      </c>
      <c r="I219" s="82">
        <v>17.2</v>
      </c>
      <c r="J219" s="82">
        <v>0.2</v>
      </c>
      <c r="K219" s="89" t="s">
        <v>193</v>
      </c>
    </row>
    <row r="220" spans="1:11" x14ac:dyDescent="0.2">
      <c r="A220" t="s">
        <v>21</v>
      </c>
      <c r="B220" s="89">
        <v>1674</v>
      </c>
      <c r="C220" s="82">
        <v>1</v>
      </c>
      <c r="D220" s="83">
        <v>31636</v>
      </c>
      <c r="E220" s="84">
        <f t="shared" si="3"/>
        <v>1986</v>
      </c>
      <c r="F220" s="82" t="s">
        <v>22</v>
      </c>
      <c r="G220" s="82">
        <v>2</v>
      </c>
      <c r="H220" s="82">
        <v>0</v>
      </c>
      <c r="I220" s="82">
        <v>20.100000000000001</v>
      </c>
      <c r="J220" s="82">
        <v>8.9</v>
      </c>
      <c r="K220" s="89" t="s">
        <v>193</v>
      </c>
    </row>
    <row r="221" spans="1:11" x14ac:dyDescent="0.2">
      <c r="A221" t="s">
        <v>21</v>
      </c>
      <c r="B221" s="89">
        <v>1674</v>
      </c>
      <c r="C221" s="82">
        <v>1</v>
      </c>
      <c r="D221" s="83">
        <v>31636</v>
      </c>
      <c r="E221" s="84">
        <f t="shared" si="3"/>
        <v>1986</v>
      </c>
      <c r="F221" s="82" t="s">
        <v>22</v>
      </c>
      <c r="G221" s="82">
        <v>2</v>
      </c>
      <c r="H221" s="82">
        <v>1</v>
      </c>
      <c r="I221" s="82">
        <v>20.100000000000001</v>
      </c>
      <c r="J221" s="82">
        <v>8.8000000000000007</v>
      </c>
      <c r="K221" s="89" t="s">
        <v>193</v>
      </c>
    </row>
    <row r="222" spans="1:11" x14ac:dyDescent="0.2">
      <c r="A222" t="s">
        <v>21</v>
      </c>
      <c r="B222" s="89">
        <v>1674</v>
      </c>
      <c r="C222" s="82">
        <v>1</v>
      </c>
      <c r="D222" s="83">
        <v>31636</v>
      </c>
      <c r="E222" s="84">
        <f t="shared" si="3"/>
        <v>1986</v>
      </c>
      <c r="F222" s="82" t="s">
        <v>22</v>
      </c>
      <c r="G222" s="82">
        <v>2</v>
      </c>
      <c r="H222" s="82">
        <v>2</v>
      </c>
      <c r="I222" s="82">
        <v>20</v>
      </c>
      <c r="J222" s="82">
        <v>8.6999999999999993</v>
      </c>
      <c r="K222" s="89" t="s">
        <v>193</v>
      </c>
    </row>
    <row r="223" spans="1:11" x14ac:dyDescent="0.2">
      <c r="A223" t="s">
        <v>21</v>
      </c>
      <c r="B223" s="89">
        <v>1674</v>
      </c>
      <c r="C223" s="82">
        <v>1</v>
      </c>
      <c r="D223" s="83">
        <v>31636</v>
      </c>
      <c r="E223" s="84">
        <f t="shared" si="3"/>
        <v>1986</v>
      </c>
      <c r="F223" s="82" t="s">
        <v>22</v>
      </c>
      <c r="G223" s="82">
        <v>2</v>
      </c>
      <c r="H223" s="82">
        <v>3</v>
      </c>
      <c r="I223" s="82">
        <v>20</v>
      </c>
      <c r="J223" s="82">
        <v>8.6999999999999993</v>
      </c>
      <c r="K223" s="89" t="s">
        <v>193</v>
      </c>
    </row>
    <row r="224" spans="1:11" x14ac:dyDescent="0.2">
      <c r="A224" t="s">
        <v>21</v>
      </c>
      <c r="B224" s="89">
        <v>1674</v>
      </c>
      <c r="C224" s="82">
        <v>1</v>
      </c>
      <c r="D224" s="83">
        <v>31636</v>
      </c>
      <c r="E224" s="84">
        <f t="shared" si="3"/>
        <v>1986</v>
      </c>
      <c r="F224" s="82" t="s">
        <v>22</v>
      </c>
      <c r="G224" s="82">
        <v>2</v>
      </c>
      <c r="H224" s="82">
        <v>4</v>
      </c>
      <c r="I224" s="82">
        <v>20</v>
      </c>
      <c r="J224" s="82">
        <v>8.6999999999999993</v>
      </c>
      <c r="K224" s="89" t="s">
        <v>193</v>
      </c>
    </row>
    <row r="225" spans="1:11" x14ac:dyDescent="0.2">
      <c r="A225" t="s">
        <v>21</v>
      </c>
      <c r="B225" s="89">
        <v>1674</v>
      </c>
      <c r="C225" s="82">
        <v>1</v>
      </c>
      <c r="D225" s="83">
        <v>31636</v>
      </c>
      <c r="E225" s="84">
        <f t="shared" si="3"/>
        <v>1986</v>
      </c>
      <c r="F225" s="82" t="s">
        <v>22</v>
      </c>
      <c r="G225" s="82">
        <v>2</v>
      </c>
      <c r="H225" s="82">
        <v>5</v>
      </c>
      <c r="I225" s="82">
        <v>19.899999999999999</v>
      </c>
      <c r="J225" s="82">
        <v>8.6999999999999993</v>
      </c>
      <c r="K225" s="89" t="s">
        <v>193</v>
      </c>
    </row>
    <row r="226" spans="1:11" x14ac:dyDescent="0.2">
      <c r="A226" t="s">
        <v>21</v>
      </c>
      <c r="B226" s="89">
        <v>1674</v>
      </c>
      <c r="C226" s="82">
        <v>1</v>
      </c>
      <c r="D226" s="83">
        <v>31636</v>
      </c>
      <c r="E226" s="84">
        <f t="shared" si="3"/>
        <v>1986</v>
      </c>
      <c r="F226" s="82" t="s">
        <v>22</v>
      </c>
      <c r="G226" s="82">
        <v>2</v>
      </c>
      <c r="H226" s="82">
        <v>6</v>
      </c>
      <c r="I226" s="82">
        <v>19.899999999999999</v>
      </c>
      <c r="J226" s="82">
        <v>8.6</v>
      </c>
      <c r="K226" s="89" t="s">
        <v>193</v>
      </c>
    </row>
    <row r="227" spans="1:11" x14ac:dyDescent="0.2">
      <c r="A227" t="s">
        <v>21</v>
      </c>
      <c r="B227" s="89">
        <v>1674</v>
      </c>
      <c r="C227" s="82">
        <v>1</v>
      </c>
      <c r="D227" s="83">
        <v>31636</v>
      </c>
      <c r="E227" s="84">
        <f t="shared" si="3"/>
        <v>1986</v>
      </c>
      <c r="F227" s="82" t="s">
        <v>22</v>
      </c>
      <c r="G227" s="82">
        <v>2</v>
      </c>
      <c r="H227" s="82">
        <v>7</v>
      </c>
      <c r="I227" s="82">
        <v>19.899999999999999</v>
      </c>
      <c r="J227" s="82">
        <v>8.4</v>
      </c>
      <c r="K227" s="89" t="s">
        <v>193</v>
      </c>
    </row>
    <row r="228" spans="1:11" x14ac:dyDescent="0.2">
      <c r="A228" t="s">
        <v>21</v>
      </c>
      <c r="B228" s="89">
        <v>1674</v>
      </c>
      <c r="C228" s="82">
        <v>1</v>
      </c>
      <c r="D228" s="83">
        <v>31636</v>
      </c>
      <c r="E228" s="84">
        <f t="shared" si="3"/>
        <v>1986</v>
      </c>
      <c r="F228" s="82" t="s">
        <v>22</v>
      </c>
      <c r="G228" s="82">
        <v>2</v>
      </c>
      <c r="H228" s="82">
        <v>8</v>
      </c>
      <c r="I228" s="82">
        <v>19.600000000000001</v>
      </c>
      <c r="J228" s="82">
        <v>7.4</v>
      </c>
      <c r="K228" s="89" t="s">
        <v>193</v>
      </c>
    </row>
    <row r="229" spans="1:11" x14ac:dyDescent="0.2">
      <c r="A229" t="s">
        <v>21</v>
      </c>
      <c r="B229" s="89">
        <v>1674</v>
      </c>
      <c r="C229" s="82">
        <v>1</v>
      </c>
      <c r="D229" s="83">
        <v>31636</v>
      </c>
      <c r="E229" s="84">
        <f t="shared" si="3"/>
        <v>1986</v>
      </c>
      <c r="F229" s="82" t="s">
        <v>22</v>
      </c>
      <c r="G229" s="82">
        <v>2</v>
      </c>
      <c r="H229" s="82">
        <v>9</v>
      </c>
      <c r="I229" s="82">
        <v>18.8</v>
      </c>
      <c r="J229" s="82">
        <v>4.8</v>
      </c>
      <c r="K229" s="89" t="s">
        <v>193</v>
      </c>
    </row>
    <row r="230" spans="1:11" x14ac:dyDescent="0.2">
      <c r="A230" t="s">
        <v>21</v>
      </c>
      <c r="B230" s="89">
        <v>1674</v>
      </c>
      <c r="C230" s="82">
        <v>1</v>
      </c>
      <c r="D230" s="83">
        <v>31636</v>
      </c>
      <c r="E230" s="84">
        <f t="shared" si="3"/>
        <v>1986</v>
      </c>
      <c r="F230" s="82" t="s">
        <v>22</v>
      </c>
      <c r="G230" s="82">
        <v>2</v>
      </c>
      <c r="H230" s="82">
        <v>10</v>
      </c>
      <c r="I230" s="82">
        <v>18.5</v>
      </c>
      <c r="J230" s="82">
        <v>4.2</v>
      </c>
      <c r="K230" s="89" t="s">
        <v>193</v>
      </c>
    </row>
    <row r="231" spans="1:11" x14ac:dyDescent="0.2">
      <c r="A231" t="s">
        <v>21</v>
      </c>
      <c r="B231" s="89">
        <v>1674</v>
      </c>
      <c r="C231" s="82">
        <v>1</v>
      </c>
      <c r="D231" s="83">
        <v>31636</v>
      </c>
      <c r="E231" s="84">
        <f t="shared" si="3"/>
        <v>1986</v>
      </c>
      <c r="F231" s="82" t="s">
        <v>22</v>
      </c>
      <c r="G231" s="82">
        <v>2</v>
      </c>
      <c r="H231" s="82">
        <v>11</v>
      </c>
      <c r="I231" s="82">
        <v>18</v>
      </c>
      <c r="J231" s="82">
        <v>1.2</v>
      </c>
      <c r="K231" s="89" t="s">
        <v>193</v>
      </c>
    </row>
    <row r="232" spans="1:11" x14ac:dyDescent="0.2">
      <c r="A232" t="s">
        <v>21</v>
      </c>
      <c r="B232" s="89">
        <v>1674</v>
      </c>
      <c r="C232" s="82">
        <v>1</v>
      </c>
      <c r="D232" s="83">
        <v>31636</v>
      </c>
      <c r="E232" s="84">
        <f t="shared" si="3"/>
        <v>1986</v>
      </c>
      <c r="F232" s="82" t="s">
        <v>22</v>
      </c>
      <c r="G232" s="82">
        <v>2</v>
      </c>
      <c r="H232" s="82">
        <v>12</v>
      </c>
      <c r="I232" s="82">
        <v>17.8</v>
      </c>
      <c r="J232" s="82">
        <v>0.1</v>
      </c>
      <c r="K232" s="89" t="s">
        <v>193</v>
      </c>
    </row>
    <row r="233" spans="1:11" x14ac:dyDescent="0.2">
      <c r="A233" t="s">
        <v>21</v>
      </c>
      <c r="B233" s="89">
        <v>1674</v>
      </c>
      <c r="C233" s="82">
        <v>1</v>
      </c>
      <c r="D233" s="83">
        <v>31636</v>
      </c>
      <c r="E233" s="84">
        <f t="shared" si="3"/>
        <v>1986</v>
      </c>
      <c r="F233" s="82" t="s">
        <v>22</v>
      </c>
      <c r="G233" s="82">
        <v>2</v>
      </c>
      <c r="H233" s="82">
        <v>13</v>
      </c>
      <c r="I233" s="82">
        <v>17</v>
      </c>
      <c r="J233" s="82">
        <v>0</v>
      </c>
      <c r="K233" s="89" t="s">
        <v>193</v>
      </c>
    </row>
    <row r="234" spans="1:11" x14ac:dyDescent="0.2">
      <c r="A234" t="s">
        <v>21</v>
      </c>
      <c r="B234" s="89">
        <v>1674</v>
      </c>
      <c r="C234" s="82">
        <v>1</v>
      </c>
      <c r="D234" s="83">
        <v>31651</v>
      </c>
      <c r="E234" s="84">
        <f t="shared" si="3"/>
        <v>1986</v>
      </c>
      <c r="F234" s="82" t="s">
        <v>22</v>
      </c>
      <c r="G234" s="82">
        <v>2</v>
      </c>
      <c r="H234" s="82">
        <v>0</v>
      </c>
      <c r="I234" s="82">
        <v>18</v>
      </c>
      <c r="J234" s="82">
        <v>8</v>
      </c>
      <c r="K234" s="89" t="s">
        <v>193</v>
      </c>
    </row>
    <row r="235" spans="1:11" x14ac:dyDescent="0.2">
      <c r="A235" t="s">
        <v>21</v>
      </c>
      <c r="B235" s="89">
        <v>1674</v>
      </c>
      <c r="C235" s="82">
        <v>1</v>
      </c>
      <c r="D235" s="83">
        <v>31651</v>
      </c>
      <c r="E235" s="84">
        <f t="shared" si="3"/>
        <v>1986</v>
      </c>
      <c r="F235" s="82" t="s">
        <v>22</v>
      </c>
      <c r="G235" s="82">
        <v>2</v>
      </c>
      <c r="H235" s="82">
        <v>1</v>
      </c>
      <c r="I235" s="82">
        <v>18</v>
      </c>
      <c r="J235" s="82">
        <v>7.7</v>
      </c>
      <c r="K235" s="89" t="s">
        <v>193</v>
      </c>
    </row>
    <row r="236" spans="1:11" x14ac:dyDescent="0.2">
      <c r="A236" t="s">
        <v>21</v>
      </c>
      <c r="B236" s="89">
        <v>1674</v>
      </c>
      <c r="C236" s="82">
        <v>1</v>
      </c>
      <c r="D236" s="83">
        <v>31651</v>
      </c>
      <c r="E236" s="84">
        <f t="shared" si="3"/>
        <v>1986</v>
      </c>
      <c r="F236" s="82" t="s">
        <v>22</v>
      </c>
      <c r="G236" s="82">
        <v>2</v>
      </c>
      <c r="H236" s="82">
        <v>2</v>
      </c>
      <c r="I236" s="82">
        <v>18</v>
      </c>
      <c r="J236" s="82">
        <v>7.6</v>
      </c>
      <c r="K236" s="89" t="s">
        <v>193</v>
      </c>
    </row>
    <row r="237" spans="1:11" x14ac:dyDescent="0.2">
      <c r="A237" t="s">
        <v>21</v>
      </c>
      <c r="B237" s="89">
        <v>1674</v>
      </c>
      <c r="C237" s="82">
        <v>1</v>
      </c>
      <c r="D237" s="83">
        <v>31651</v>
      </c>
      <c r="E237" s="84">
        <f t="shared" si="3"/>
        <v>1986</v>
      </c>
      <c r="F237" s="82" t="s">
        <v>22</v>
      </c>
      <c r="G237" s="82">
        <v>2</v>
      </c>
      <c r="H237" s="82">
        <v>3</v>
      </c>
      <c r="I237" s="82">
        <v>18</v>
      </c>
      <c r="J237" s="82">
        <v>7.5</v>
      </c>
      <c r="K237" s="89" t="s">
        <v>193</v>
      </c>
    </row>
    <row r="238" spans="1:11" x14ac:dyDescent="0.2">
      <c r="A238" t="s">
        <v>21</v>
      </c>
      <c r="B238" s="89">
        <v>1674</v>
      </c>
      <c r="C238" s="82">
        <v>1</v>
      </c>
      <c r="D238" s="83">
        <v>31651</v>
      </c>
      <c r="E238" s="84">
        <f t="shared" si="3"/>
        <v>1986</v>
      </c>
      <c r="F238" s="82" t="s">
        <v>22</v>
      </c>
      <c r="G238" s="82">
        <v>2</v>
      </c>
      <c r="H238" s="82">
        <v>4</v>
      </c>
      <c r="I238" s="82">
        <v>18</v>
      </c>
      <c r="J238" s="82">
        <v>7.4</v>
      </c>
      <c r="K238" s="89" t="s">
        <v>193</v>
      </c>
    </row>
    <row r="239" spans="1:11" x14ac:dyDescent="0.2">
      <c r="A239" t="s">
        <v>21</v>
      </c>
      <c r="B239" s="89">
        <v>1674</v>
      </c>
      <c r="C239" s="82">
        <v>1</v>
      </c>
      <c r="D239" s="83">
        <v>31651</v>
      </c>
      <c r="E239" s="84">
        <f t="shared" si="3"/>
        <v>1986</v>
      </c>
      <c r="F239" s="82" t="s">
        <v>22</v>
      </c>
      <c r="G239" s="82">
        <v>2</v>
      </c>
      <c r="H239" s="82">
        <v>5</v>
      </c>
      <c r="I239" s="82">
        <v>18</v>
      </c>
      <c r="J239" s="82">
        <v>7.3</v>
      </c>
      <c r="K239" s="89" t="s">
        <v>193</v>
      </c>
    </row>
    <row r="240" spans="1:11" x14ac:dyDescent="0.2">
      <c r="A240" t="s">
        <v>21</v>
      </c>
      <c r="B240" s="89">
        <v>1674</v>
      </c>
      <c r="C240" s="82">
        <v>1</v>
      </c>
      <c r="D240" s="83">
        <v>31651</v>
      </c>
      <c r="E240" s="84">
        <f t="shared" si="3"/>
        <v>1986</v>
      </c>
      <c r="F240" s="82" t="s">
        <v>22</v>
      </c>
      <c r="G240" s="82">
        <v>2</v>
      </c>
      <c r="H240" s="82">
        <v>6</v>
      </c>
      <c r="I240" s="82">
        <v>18</v>
      </c>
      <c r="J240" s="82">
        <v>7.2</v>
      </c>
      <c r="K240" s="89" t="s">
        <v>193</v>
      </c>
    </row>
    <row r="241" spans="1:11" x14ac:dyDescent="0.2">
      <c r="A241" t="s">
        <v>21</v>
      </c>
      <c r="B241" s="89">
        <v>1674</v>
      </c>
      <c r="C241" s="82">
        <v>1</v>
      </c>
      <c r="D241" s="83">
        <v>31651</v>
      </c>
      <c r="E241" s="84">
        <f t="shared" si="3"/>
        <v>1986</v>
      </c>
      <c r="F241" s="82" t="s">
        <v>22</v>
      </c>
      <c r="G241" s="82">
        <v>2</v>
      </c>
      <c r="H241" s="82">
        <v>7</v>
      </c>
      <c r="I241" s="82">
        <v>18</v>
      </c>
      <c r="J241" s="82">
        <v>7</v>
      </c>
      <c r="K241" s="89" t="s">
        <v>193</v>
      </c>
    </row>
    <row r="242" spans="1:11" x14ac:dyDescent="0.2">
      <c r="A242" t="s">
        <v>21</v>
      </c>
      <c r="B242" s="89">
        <v>1674</v>
      </c>
      <c r="C242" s="82">
        <v>1</v>
      </c>
      <c r="D242" s="83">
        <v>31651</v>
      </c>
      <c r="E242" s="84">
        <f t="shared" si="3"/>
        <v>1986</v>
      </c>
      <c r="F242" s="82" t="s">
        <v>22</v>
      </c>
      <c r="G242" s="82">
        <v>2</v>
      </c>
      <c r="H242" s="82">
        <v>8</v>
      </c>
      <c r="I242" s="82">
        <v>18</v>
      </c>
      <c r="J242" s="82">
        <v>6.8</v>
      </c>
      <c r="K242" s="89" t="s">
        <v>193</v>
      </c>
    </row>
    <row r="243" spans="1:11" x14ac:dyDescent="0.2">
      <c r="A243" t="s">
        <v>21</v>
      </c>
      <c r="B243" s="89">
        <v>1674</v>
      </c>
      <c r="C243" s="82">
        <v>1</v>
      </c>
      <c r="D243" s="83">
        <v>31651</v>
      </c>
      <c r="E243" s="84">
        <f t="shared" si="3"/>
        <v>1986</v>
      </c>
      <c r="F243" s="82" t="s">
        <v>22</v>
      </c>
      <c r="G243" s="82">
        <v>2</v>
      </c>
      <c r="H243" s="82">
        <v>9</v>
      </c>
      <c r="I243" s="82">
        <v>18</v>
      </c>
      <c r="J243" s="82">
        <v>6.8</v>
      </c>
      <c r="K243" s="89" t="s">
        <v>193</v>
      </c>
    </row>
    <row r="244" spans="1:11" x14ac:dyDescent="0.2">
      <c r="A244" t="s">
        <v>21</v>
      </c>
      <c r="B244" s="89">
        <v>1674</v>
      </c>
      <c r="C244" s="82">
        <v>1</v>
      </c>
      <c r="D244" s="83">
        <v>31651</v>
      </c>
      <c r="E244" s="84">
        <f t="shared" si="3"/>
        <v>1986</v>
      </c>
      <c r="F244" s="82" t="s">
        <v>22</v>
      </c>
      <c r="G244" s="82">
        <v>2</v>
      </c>
      <c r="H244" s="82">
        <v>10</v>
      </c>
      <c r="I244" s="82">
        <v>18</v>
      </c>
      <c r="J244" s="82">
        <v>6</v>
      </c>
      <c r="K244" s="89" t="s">
        <v>193</v>
      </c>
    </row>
    <row r="245" spans="1:11" x14ac:dyDescent="0.2">
      <c r="A245" t="s">
        <v>21</v>
      </c>
      <c r="B245" s="89">
        <v>1674</v>
      </c>
      <c r="C245" s="82">
        <v>1</v>
      </c>
      <c r="D245" s="83">
        <v>31651</v>
      </c>
      <c r="E245" s="84">
        <f t="shared" si="3"/>
        <v>1986</v>
      </c>
      <c r="F245" s="82" t="s">
        <v>22</v>
      </c>
      <c r="G245" s="82">
        <v>2</v>
      </c>
      <c r="H245" s="82">
        <v>11</v>
      </c>
      <c r="I245" s="82">
        <v>17.8</v>
      </c>
      <c r="J245" s="82">
        <v>5.5</v>
      </c>
      <c r="K245" s="89" t="s">
        <v>193</v>
      </c>
    </row>
    <row r="246" spans="1:11" x14ac:dyDescent="0.2">
      <c r="A246" t="s">
        <v>21</v>
      </c>
      <c r="B246" s="89">
        <v>1674</v>
      </c>
      <c r="C246" s="82">
        <v>1</v>
      </c>
      <c r="D246" s="83">
        <v>31651</v>
      </c>
      <c r="E246" s="84">
        <f t="shared" si="3"/>
        <v>1986</v>
      </c>
      <c r="F246" s="82" t="s">
        <v>22</v>
      </c>
      <c r="G246" s="82">
        <v>2</v>
      </c>
      <c r="H246" s="82">
        <v>12</v>
      </c>
      <c r="I246" s="82">
        <v>17.5</v>
      </c>
      <c r="J246" s="82">
        <v>5</v>
      </c>
      <c r="K246" s="89" t="s">
        <v>193</v>
      </c>
    </row>
    <row r="247" spans="1:11" x14ac:dyDescent="0.2">
      <c r="A247" t="s">
        <v>21</v>
      </c>
      <c r="B247" s="89">
        <v>1674</v>
      </c>
      <c r="C247" s="82">
        <v>1</v>
      </c>
      <c r="D247" s="83">
        <v>31651</v>
      </c>
      <c r="E247" s="84">
        <f t="shared" si="3"/>
        <v>1986</v>
      </c>
      <c r="F247" s="82" t="s">
        <v>22</v>
      </c>
      <c r="G247" s="82">
        <v>2</v>
      </c>
      <c r="H247" s="82">
        <v>13</v>
      </c>
      <c r="I247" s="82">
        <v>17.5</v>
      </c>
      <c r="J247" s="82">
        <v>4.8</v>
      </c>
      <c r="K247" s="89" t="s">
        <v>193</v>
      </c>
    </row>
    <row r="248" spans="1:11" x14ac:dyDescent="0.2">
      <c r="A248" t="s">
        <v>21</v>
      </c>
      <c r="B248" s="89">
        <v>1674</v>
      </c>
      <c r="C248" s="82">
        <v>1</v>
      </c>
      <c r="D248" s="83">
        <v>31651</v>
      </c>
      <c r="E248" s="84">
        <f t="shared" si="3"/>
        <v>1986</v>
      </c>
      <c r="F248" s="82" t="s">
        <v>22</v>
      </c>
      <c r="G248" s="82">
        <v>2</v>
      </c>
      <c r="H248" s="82">
        <v>14</v>
      </c>
      <c r="I248" s="82">
        <v>17</v>
      </c>
      <c r="J248" s="82">
        <v>4.0999999999999996</v>
      </c>
      <c r="K248" s="89" t="s">
        <v>193</v>
      </c>
    </row>
    <row r="249" spans="1:11" x14ac:dyDescent="0.2">
      <c r="A249" t="s">
        <v>21</v>
      </c>
      <c r="B249" s="89">
        <v>1674</v>
      </c>
      <c r="C249" s="82">
        <v>1</v>
      </c>
      <c r="D249" s="83">
        <v>31663</v>
      </c>
      <c r="E249" s="84">
        <f t="shared" si="3"/>
        <v>1986</v>
      </c>
      <c r="F249" s="82" t="s">
        <v>22</v>
      </c>
      <c r="G249" s="82">
        <v>2</v>
      </c>
      <c r="H249" s="82">
        <v>0</v>
      </c>
      <c r="I249" s="82">
        <v>16</v>
      </c>
      <c r="J249" s="82">
        <v>9.5</v>
      </c>
      <c r="K249" s="89" t="s">
        <v>193</v>
      </c>
    </row>
    <row r="250" spans="1:11" x14ac:dyDescent="0.2">
      <c r="A250" t="s">
        <v>21</v>
      </c>
      <c r="B250" s="89">
        <v>1674</v>
      </c>
      <c r="C250" s="82">
        <v>1</v>
      </c>
      <c r="D250" s="83">
        <v>31663</v>
      </c>
      <c r="E250" s="84">
        <f t="shared" si="3"/>
        <v>1986</v>
      </c>
      <c r="F250" s="82" t="s">
        <v>22</v>
      </c>
      <c r="G250" s="82">
        <v>2</v>
      </c>
      <c r="H250" s="82">
        <v>1</v>
      </c>
      <c r="I250" s="82">
        <v>16.100000000000001</v>
      </c>
      <c r="J250" s="82">
        <v>9.5</v>
      </c>
      <c r="K250" s="89" t="s">
        <v>193</v>
      </c>
    </row>
    <row r="251" spans="1:11" x14ac:dyDescent="0.2">
      <c r="A251" t="s">
        <v>21</v>
      </c>
      <c r="B251" s="89">
        <v>1674</v>
      </c>
      <c r="C251" s="82">
        <v>1</v>
      </c>
      <c r="D251" s="83">
        <v>31663</v>
      </c>
      <c r="E251" s="84">
        <f t="shared" si="3"/>
        <v>1986</v>
      </c>
      <c r="F251" s="82" t="s">
        <v>22</v>
      </c>
      <c r="G251" s="82">
        <v>2</v>
      </c>
      <c r="H251" s="82">
        <v>2</v>
      </c>
      <c r="I251" s="82">
        <v>16.100000000000001</v>
      </c>
      <c r="J251" s="82">
        <v>9.4</v>
      </c>
      <c r="K251" s="89" t="s">
        <v>193</v>
      </c>
    </row>
    <row r="252" spans="1:11" x14ac:dyDescent="0.2">
      <c r="A252" t="s">
        <v>21</v>
      </c>
      <c r="B252" s="89">
        <v>1674</v>
      </c>
      <c r="C252" s="82">
        <v>1</v>
      </c>
      <c r="D252" s="83">
        <v>31663</v>
      </c>
      <c r="E252" s="84">
        <f t="shared" si="3"/>
        <v>1986</v>
      </c>
      <c r="F252" s="82" t="s">
        <v>22</v>
      </c>
      <c r="G252" s="82">
        <v>2</v>
      </c>
      <c r="H252" s="82">
        <v>3</v>
      </c>
      <c r="I252" s="82">
        <v>16</v>
      </c>
      <c r="J252" s="82">
        <v>9</v>
      </c>
      <c r="K252" s="89" t="s">
        <v>193</v>
      </c>
    </row>
    <row r="253" spans="1:11" x14ac:dyDescent="0.2">
      <c r="A253" t="s">
        <v>21</v>
      </c>
      <c r="B253" s="89">
        <v>1674</v>
      </c>
      <c r="C253" s="82">
        <v>1</v>
      </c>
      <c r="D253" s="83">
        <v>31663</v>
      </c>
      <c r="E253" s="84">
        <f t="shared" si="3"/>
        <v>1986</v>
      </c>
      <c r="F253" s="82" t="s">
        <v>22</v>
      </c>
      <c r="G253" s="82">
        <v>2</v>
      </c>
      <c r="H253" s="82">
        <v>4</v>
      </c>
      <c r="I253" s="82">
        <v>15.8</v>
      </c>
      <c r="J253" s="82">
        <v>8.5</v>
      </c>
      <c r="K253" s="89" t="s">
        <v>193</v>
      </c>
    </row>
    <row r="254" spans="1:11" x14ac:dyDescent="0.2">
      <c r="A254" t="s">
        <v>21</v>
      </c>
      <c r="B254" s="89">
        <v>1674</v>
      </c>
      <c r="C254" s="82">
        <v>1</v>
      </c>
      <c r="D254" s="83">
        <v>31663</v>
      </c>
      <c r="E254" s="84">
        <f t="shared" si="3"/>
        <v>1986</v>
      </c>
      <c r="F254" s="82" t="s">
        <v>22</v>
      </c>
      <c r="G254" s="82">
        <v>2</v>
      </c>
      <c r="H254" s="82">
        <v>5</v>
      </c>
      <c r="I254" s="82">
        <v>15.8</v>
      </c>
      <c r="J254" s="82">
        <v>8.3000000000000007</v>
      </c>
      <c r="K254" s="89" t="s">
        <v>193</v>
      </c>
    </row>
    <row r="255" spans="1:11" x14ac:dyDescent="0.2">
      <c r="A255" t="s">
        <v>21</v>
      </c>
      <c r="B255" s="89">
        <v>1674</v>
      </c>
      <c r="C255" s="82">
        <v>1</v>
      </c>
      <c r="D255" s="83">
        <v>31663</v>
      </c>
      <c r="E255" s="84">
        <f t="shared" si="3"/>
        <v>1986</v>
      </c>
      <c r="F255" s="82" t="s">
        <v>22</v>
      </c>
      <c r="G255" s="82">
        <v>2</v>
      </c>
      <c r="H255" s="82">
        <v>6</v>
      </c>
      <c r="I255" s="82">
        <v>15.8</v>
      </c>
      <c r="J255" s="82">
        <v>8.1999999999999993</v>
      </c>
      <c r="K255" s="89" t="s">
        <v>193</v>
      </c>
    </row>
    <row r="256" spans="1:11" x14ac:dyDescent="0.2">
      <c r="A256" t="s">
        <v>21</v>
      </c>
      <c r="B256" s="89">
        <v>1674</v>
      </c>
      <c r="C256" s="82">
        <v>1</v>
      </c>
      <c r="D256" s="83">
        <v>31663</v>
      </c>
      <c r="E256" s="84">
        <f t="shared" si="3"/>
        <v>1986</v>
      </c>
      <c r="F256" s="82" t="s">
        <v>22</v>
      </c>
      <c r="G256" s="82">
        <v>2</v>
      </c>
      <c r="H256" s="82">
        <v>7</v>
      </c>
      <c r="I256" s="82">
        <v>15.8</v>
      </c>
      <c r="J256" s="82">
        <v>8</v>
      </c>
      <c r="K256" s="89" t="s">
        <v>193</v>
      </c>
    </row>
    <row r="257" spans="1:11" x14ac:dyDescent="0.2">
      <c r="A257" t="s">
        <v>21</v>
      </c>
      <c r="B257" s="89">
        <v>1674</v>
      </c>
      <c r="C257" s="82">
        <v>1</v>
      </c>
      <c r="D257" s="83">
        <v>31663</v>
      </c>
      <c r="E257" s="84">
        <f t="shared" si="3"/>
        <v>1986</v>
      </c>
      <c r="F257" s="82" t="s">
        <v>22</v>
      </c>
      <c r="G257" s="82">
        <v>2</v>
      </c>
      <c r="H257" s="82">
        <v>8</v>
      </c>
      <c r="I257" s="82">
        <v>15.8</v>
      </c>
      <c r="J257" s="82">
        <v>7.8</v>
      </c>
      <c r="K257" s="89" t="s">
        <v>193</v>
      </c>
    </row>
    <row r="258" spans="1:11" x14ac:dyDescent="0.2">
      <c r="A258" t="s">
        <v>21</v>
      </c>
      <c r="B258" s="89">
        <v>1674</v>
      </c>
      <c r="C258" s="82">
        <v>1</v>
      </c>
      <c r="D258" s="83">
        <v>31663</v>
      </c>
      <c r="E258" s="84">
        <f t="shared" ref="E258:E321" si="4">YEAR(D258)</f>
        <v>1986</v>
      </c>
      <c r="F258" s="82" t="s">
        <v>22</v>
      </c>
      <c r="G258" s="82">
        <v>2</v>
      </c>
      <c r="H258" s="82">
        <v>9</v>
      </c>
      <c r="I258" s="82">
        <v>15.8</v>
      </c>
      <c r="J258" s="82">
        <v>7.5</v>
      </c>
      <c r="K258" s="89" t="s">
        <v>193</v>
      </c>
    </row>
    <row r="259" spans="1:11" x14ac:dyDescent="0.2">
      <c r="A259" t="s">
        <v>21</v>
      </c>
      <c r="B259" s="89">
        <v>1674</v>
      </c>
      <c r="C259" s="82">
        <v>1</v>
      </c>
      <c r="D259" s="83">
        <v>31663</v>
      </c>
      <c r="E259" s="84">
        <f t="shared" si="4"/>
        <v>1986</v>
      </c>
      <c r="F259" s="82" t="s">
        <v>22</v>
      </c>
      <c r="G259" s="82">
        <v>2</v>
      </c>
      <c r="H259" s="82">
        <v>10</v>
      </c>
      <c r="I259" s="82">
        <v>15.8</v>
      </c>
      <c r="J259" s="82">
        <v>7.4</v>
      </c>
      <c r="K259" s="89" t="s">
        <v>193</v>
      </c>
    </row>
    <row r="260" spans="1:11" x14ac:dyDescent="0.2">
      <c r="A260" t="s">
        <v>21</v>
      </c>
      <c r="B260" s="89">
        <v>1674</v>
      </c>
      <c r="C260" s="82">
        <v>1</v>
      </c>
      <c r="D260" s="83">
        <v>31663</v>
      </c>
      <c r="E260" s="84">
        <f t="shared" si="4"/>
        <v>1986</v>
      </c>
      <c r="F260" s="82" t="s">
        <v>22</v>
      </c>
      <c r="G260" s="82">
        <v>2</v>
      </c>
      <c r="H260" s="82">
        <v>11</v>
      </c>
      <c r="I260" s="82">
        <v>15.8</v>
      </c>
      <c r="J260" s="82">
        <v>7.3</v>
      </c>
      <c r="K260" s="89" t="s">
        <v>193</v>
      </c>
    </row>
    <row r="261" spans="1:11" x14ac:dyDescent="0.2">
      <c r="A261" t="s">
        <v>21</v>
      </c>
      <c r="B261" s="89">
        <v>1674</v>
      </c>
      <c r="C261" s="82">
        <v>1</v>
      </c>
      <c r="D261" s="83">
        <v>31684</v>
      </c>
      <c r="E261" s="84">
        <f t="shared" si="4"/>
        <v>1986</v>
      </c>
      <c r="F261" s="82" t="s">
        <v>22</v>
      </c>
      <c r="G261" s="82">
        <v>2</v>
      </c>
      <c r="H261" s="82">
        <v>0</v>
      </c>
      <c r="I261" s="82">
        <v>13.3</v>
      </c>
      <c r="J261" s="82">
        <v>11.2</v>
      </c>
      <c r="K261" s="89" t="s">
        <v>193</v>
      </c>
    </row>
    <row r="262" spans="1:11" x14ac:dyDescent="0.2">
      <c r="A262" t="s">
        <v>21</v>
      </c>
      <c r="B262" s="89">
        <v>1674</v>
      </c>
      <c r="C262" s="82">
        <v>1</v>
      </c>
      <c r="D262" s="83">
        <v>31684</v>
      </c>
      <c r="E262" s="84">
        <f t="shared" si="4"/>
        <v>1986</v>
      </c>
      <c r="F262" s="82" t="s">
        <v>22</v>
      </c>
      <c r="G262" s="82">
        <v>2</v>
      </c>
      <c r="H262" s="82">
        <v>1</v>
      </c>
      <c r="I262" s="82">
        <v>13.1</v>
      </c>
      <c r="J262" s="82">
        <v>11</v>
      </c>
      <c r="K262" s="89" t="s">
        <v>193</v>
      </c>
    </row>
    <row r="263" spans="1:11" x14ac:dyDescent="0.2">
      <c r="A263" t="s">
        <v>21</v>
      </c>
      <c r="B263" s="89">
        <v>1674</v>
      </c>
      <c r="C263" s="82">
        <v>1</v>
      </c>
      <c r="D263" s="83">
        <v>31684</v>
      </c>
      <c r="E263" s="84">
        <f t="shared" si="4"/>
        <v>1986</v>
      </c>
      <c r="F263" s="82" t="s">
        <v>22</v>
      </c>
      <c r="G263" s="82">
        <v>2</v>
      </c>
      <c r="H263" s="82">
        <v>2</v>
      </c>
      <c r="I263" s="82">
        <v>12.9</v>
      </c>
      <c r="J263" s="82">
        <v>10.8</v>
      </c>
      <c r="K263" s="89" t="s">
        <v>193</v>
      </c>
    </row>
    <row r="264" spans="1:11" x14ac:dyDescent="0.2">
      <c r="A264" t="s">
        <v>21</v>
      </c>
      <c r="B264" s="89">
        <v>1674</v>
      </c>
      <c r="C264" s="82">
        <v>1</v>
      </c>
      <c r="D264" s="83">
        <v>31684</v>
      </c>
      <c r="E264" s="84">
        <f t="shared" si="4"/>
        <v>1986</v>
      </c>
      <c r="F264" s="82" t="s">
        <v>22</v>
      </c>
      <c r="G264" s="82">
        <v>2</v>
      </c>
      <c r="H264" s="82">
        <v>3</v>
      </c>
      <c r="I264" s="82">
        <v>12.5</v>
      </c>
      <c r="J264" s="82">
        <v>9.8000000000000007</v>
      </c>
      <c r="K264" s="89" t="s">
        <v>193</v>
      </c>
    </row>
    <row r="265" spans="1:11" x14ac:dyDescent="0.2">
      <c r="A265" t="s">
        <v>21</v>
      </c>
      <c r="B265" s="89">
        <v>1674</v>
      </c>
      <c r="C265" s="82">
        <v>1</v>
      </c>
      <c r="D265" s="83">
        <v>31684</v>
      </c>
      <c r="E265" s="84">
        <f t="shared" si="4"/>
        <v>1986</v>
      </c>
      <c r="F265" s="82" t="s">
        <v>22</v>
      </c>
      <c r="G265" s="82">
        <v>2</v>
      </c>
      <c r="H265" s="82">
        <v>4</v>
      </c>
      <c r="I265" s="82">
        <v>12.4</v>
      </c>
      <c r="J265" s="82">
        <v>9.4</v>
      </c>
      <c r="K265" s="89" t="s">
        <v>193</v>
      </c>
    </row>
    <row r="266" spans="1:11" x14ac:dyDescent="0.2">
      <c r="A266" t="s">
        <v>21</v>
      </c>
      <c r="B266" s="89">
        <v>1674</v>
      </c>
      <c r="C266" s="82">
        <v>1</v>
      </c>
      <c r="D266" s="83">
        <v>31684</v>
      </c>
      <c r="E266" s="84">
        <f t="shared" si="4"/>
        <v>1986</v>
      </c>
      <c r="F266" s="82" t="s">
        <v>22</v>
      </c>
      <c r="G266" s="82">
        <v>2</v>
      </c>
      <c r="H266" s="82">
        <v>5</v>
      </c>
      <c r="I266" s="82">
        <v>12.4</v>
      </c>
      <c r="J266" s="82">
        <v>9.1999999999999993</v>
      </c>
      <c r="K266" s="89" t="s">
        <v>193</v>
      </c>
    </row>
    <row r="267" spans="1:11" x14ac:dyDescent="0.2">
      <c r="A267" t="s">
        <v>21</v>
      </c>
      <c r="B267" s="89">
        <v>1674</v>
      </c>
      <c r="C267" s="82">
        <v>1</v>
      </c>
      <c r="D267" s="83">
        <v>31684</v>
      </c>
      <c r="E267" s="84">
        <f t="shared" si="4"/>
        <v>1986</v>
      </c>
      <c r="F267" s="82" t="s">
        <v>22</v>
      </c>
      <c r="G267" s="82">
        <v>2</v>
      </c>
      <c r="H267" s="82">
        <v>6</v>
      </c>
      <c r="I267" s="82">
        <v>12.3</v>
      </c>
      <c r="J267" s="82">
        <v>9</v>
      </c>
      <c r="K267" s="89" t="s">
        <v>193</v>
      </c>
    </row>
    <row r="268" spans="1:11" x14ac:dyDescent="0.2">
      <c r="A268" t="s">
        <v>21</v>
      </c>
      <c r="B268" s="89">
        <v>1674</v>
      </c>
      <c r="C268" s="82">
        <v>1</v>
      </c>
      <c r="D268" s="83">
        <v>31684</v>
      </c>
      <c r="E268" s="84">
        <f t="shared" si="4"/>
        <v>1986</v>
      </c>
      <c r="F268" s="82" t="s">
        <v>22</v>
      </c>
      <c r="G268" s="82">
        <v>2</v>
      </c>
      <c r="H268" s="82">
        <v>7</v>
      </c>
      <c r="I268" s="82">
        <v>12.3</v>
      </c>
      <c r="J268" s="82">
        <v>8.9</v>
      </c>
      <c r="K268" s="89" t="s">
        <v>193</v>
      </c>
    </row>
    <row r="269" spans="1:11" x14ac:dyDescent="0.2">
      <c r="A269" t="s">
        <v>21</v>
      </c>
      <c r="B269" s="89">
        <v>1674</v>
      </c>
      <c r="C269" s="82">
        <v>1</v>
      </c>
      <c r="D269" s="83">
        <v>31684</v>
      </c>
      <c r="E269" s="84">
        <f t="shared" si="4"/>
        <v>1986</v>
      </c>
      <c r="F269" s="82" t="s">
        <v>22</v>
      </c>
      <c r="G269" s="82">
        <v>2</v>
      </c>
      <c r="H269" s="82">
        <v>8</v>
      </c>
      <c r="I269" s="82">
        <v>12.2</v>
      </c>
      <c r="J269" s="82">
        <v>8.3000000000000007</v>
      </c>
      <c r="K269" s="89" t="s">
        <v>193</v>
      </c>
    </row>
    <row r="270" spans="1:11" x14ac:dyDescent="0.2">
      <c r="A270" t="s">
        <v>21</v>
      </c>
      <c r="B270" s="89">
        <v>1674</v>
      </c>
      <c r="C270" s="82">
        <v>1</v>
      </c>
      <c r="D270" s="83">
        <v>31684</v>
      </c>
      <c r="E270" s="84">
        <f t="shared" si="4"/>
        <v>1986</v>
      </c>
      <c r="F270" s="82" t="s">
        <v>22</v>
      </c>
      <c r="G270" s="82">
        <v>2</v>
      </c>
      <c r="H270" s="82">
        <v>9</v>
      </c>
      <c r="I270" s="82">
        <v>12.2</v>
      </c>
      <c r="J270" s="82">
        <v>8.1999999999999993</v>
      </c>
      <c r="K270" s="89" t="s">
        <v>193</v>
      </c>
    </row>
    <row r="271" spans="1:11" x14ac:dyDescent="0.2">
      <c r="A271" t="s">
        <v>21</v>
      </c>
      <c r="B271" s="89">
        <v>1674</v>
      </c>
      <c r="C271" s="82">
        <v>1</v>
      </c>
      <c r="D271" s="83">
        <v>31684</v>
      </c>
      <c r="E271" s="84">
        <f t="shared" si="4"/>
        <v>1986</v>
      </c>
      <c r="F271" s="82" t="s">
        <v>22</v>
      </c>
      <c r="G271" s="82">
        <v>2</v>
      </c>
      <c r="H271" s="82">
        <v>10</v>
      </c>
      <c r="I271" s="82">
        <v>12.2</v>
      </c>
      <c r="J271" s="82">
        <v>8.1</v>
      </c>
      <c r="K271" s="89" t="s">
        <v>193</v>
      </c>
    </row>
    <row r="272" spans="1:11" x14ac:dyDescent="0.2">
      <c r="A272" t="s">
        <v>21</v>
      </c>
      <c r="B272" s="89">
        <v>1674</v>
      </c>
      <c r="C272" s="82">
        <v>1</v>
      </c>
      <c r="D272" s="83">
        <v>31684</v>
      </c>
      <c r="E272" s="84">
        <f t="shared" si="4"/>
        <v>1986</v>
      </c>
      <c r="F272" s="82" t="s">
        <v>22</v>
      </c>
      <c r="G272" s="82">
        <v>2</v>
      </c>
      <c r="H272" s="82">
        <v>11</v>
      </c>
      <c r="I272" s="82">
        <v>12.1</v>
      </c>
      <c r="J272" s="82">
        <v>7.8</v>
      </c>
      <c r="K272" s="89" t="s">
        <v>193</v>
      </c>
    </row>
    <row r="273" spans="1:11" x14ac:dyDescent="0.2">
      <c r="A273" t="s">
        <v>21</v>
      </c>
      <c r="B273" s="89">
        <v>1674</v>
      </c>
      <c r="C273" s="82">
        <v>1</v>
      </c>
      <c r="D273" s="83">
        <v>31684</v>
      </c>
      <c r="E273" s="84">
        <f t="shared" si="4"/>
        <v>1986</v>
      </c>
      <c r="F273" s="82" t="s">
        <v>22</v>
      </c>
      <c r="G273" s="82">
        <v>2</v>
      </c>
      <c r="H273" s="82">
        <v>12</v>
      </c>
      <c r="I273" s="82">
        <v>12</v>
      </c>
      <c r="J273" s="82">
        <v>7.5</v>
      </c>
      <c r="K273" s="89" t="s">
        <v>193</v>
      </c>
    </row>
    <row r="274" spans="1:11" x14ac:dyDescent="0.2">
      <c r="A274" t="s">
        <v>21</v>
      </c>
      <c r="B274" s="89">
        <v>1674</v>
      </c>
      <c r="C274" s="82">
        <v>1</v>
      </c>
      <c r="D274" s="83">
        <v>31684</v>
      </c>
      <c r="E274" s="84">
        <f t="shared" si="4"/>
        <v>1986</v>
      </c>
      <c r="F274" s="82" t="s">
        <v>22</v>
      </c>
      <c r="G274" s="82">
        <v>2</v>
      </c>
      <c r="H274" s="82">
        <v>13</v>
      </c>
      <c r="I274" s="82">
        <v>12</v>
      </c>
      <c r="J274" s="82">
        <v>7</v>
      </c>
      <c r="K274" s="89" t="s">
        <v>193</v>
      </c>
    </row>
    <row r="275" spans="1:11" x14ac:dyDescent="0.2">
      <c r="A275" t="s">
        <v>21</v>
      </c>
      <c r="B275" s="89">
        <v>1674</v>
      </c>
      <c r="C275" s="82">
        <v>1</v>
      </c>
      <c r="D275" s="83">
        <v>31684</v>
      </c>
      <c r="E275" s="84">
        <f t="shared" si="4"/>
        <v>1986</v>
      </c>
      <c r="F275" s="82" t="s">
        <v>22</v>
      </c>
      <c r="G275" s="82">
        <v>2</v>
      </c>
      <c r="H275" s="82">
        <v>14</v>
      </c>
      <c r="I275" s="82">
        <v>12</v>
      </c>
      <c r="J275" s="82">
        <v>7</v>
      </c>
      <c r="K275" s="89" t="s">
        <v>193</v>
      </c>
    </row>
    <row r="276" spans="1:11" x14ac:dyDescent="0.2">
      <c r="A276" t="s">
        <v>21</v>
      </c>
      <c r="B276" s="89">
        <v>1674</v>
      </c>
      <c r="C276" s="82">
        <v>1</v>
      </c>
      <c r="D276" s="83">
        <v>31699</v>
      </c>
      <c r="E276" s="84">
        <f t="shared" si="4"/>
        <v>1986</v>
      </c>
      <c r="F276" s="82" t="s">
        <v>22</v>
      </c>
      <c r="G276" s="82">
        <v>2</v>
      </c>
      <c r="H276" s="82">
        <v>0</v>
      </c>
      <c r="I276" s="82">
        <v>10.1</v>
      </c>
      <c r="J276" s="82">
        <v>11.2</v>
      </c>
      <c r="K276" s="89" t="s">
        <v>193</v>
      </c>
    </row>
    <row r="277" spans="1:11" x14ac:dyDescent="0.2">
      <c r="A277" t="s">
        <v>21</v>
      </c>
      <c r="B277" s="89">
        <v>1674</v>
      </c>
      <c r="C277" s="82">
        <v>1</v>
      </c>
      <c r="D277" s="83">
        <v>31699</v>
      </c>
      <c r="E277" s="84">
        <f t="shared" si="4"/>
        <v>1986</v>
      </c>
      <c r="F277" s="82" t="s">
        <v>22</v>
      </c>
      <c r="G277" s="82">
        <v>2</v>
      </c>
      <c r="H277" s="82">
        <v>1</v>
      </c>
      <c r="I277" s="82">
        <v>9.9</v>
      </c>
      <c r="J277" s="82">
        <v>11.2</v>
      </c>
      <c r="K277" s="89" t="s">
        <v>193</v>
      </c>
    </row>
    <row r="278" spans="1:11" x14ac:dyDescent="0.2">
      <c r="A278" t="s">
        <v>21</v>
      </c>
      <c r="B278" s="89">
        <v>1674</v>
      </c>
      <c r="C278" s="82">
        <v>1</v>
      </c>
      <c r="D278" s="83">
        <v>31699</v>
      </c>
      <c r="E278" s="84">
        <f t="shared" si="4"/>
        <v>1986</v>
      </c>
      <c r="F278" s="82" t="s">
        <v>22</v>
      </c>
      <c r="G278" s="82">
        <v>2</v>
      </c>
      <c r="H278" s="82">
        <v>2</v>
      </c>
      <c r="I278" s="82">
        <v>9.8000000000000007</v>
      </c>
      <c r="J278" s="82">
        <v>11.2</v>
      </c>
      <c r="K278" s="89" t="s">
        <v>193</v>
      </c>
    </row>
    <row r="279" spans="1:11" x14ac:dyDescent="0.2">
      <c r="A279" t="s">
        <v>21</v>
      </c>
      <c r="B279" s="89">
        <v>1674</v>
      </c>
      <c r="C279" s="82">
        <v>1</v>
      </c>
      <c r="D279" s="83">
        <v>31699</v>
      </c>
      <c r="E279" s="84">
        <f t="shared" si="4"/>
        <v>1986</v>
      </c>
      <c r="F279" s="82" t="s">
        <v>22</v>
      </c>
      <c r="G279" s="82">
        <v>2</v>
      </c>
      <c r="H279" s="82">
        <v>3</v>
      </c>
      <c r="I279" s="82">
        <v>9.8000000000000007</v>
      </c>
      <c r="J279" s="82">
        <v>10.6</v>
      </c>
      <c r="K279" s="89" t="s">
        <v>193</v>
      </c>
    </row>
    <row r="280" spans="1:11" x14ac:dyDescent="0.2">
      <c r="A280" t="s">
        <v>21</v>
      </c>
      <c r="B280" s="89">
        <v>1674</v>
      </c>
      <c r="C280" s="82">
        <v>1</v>
      </c>
      <c r="D280" s="83">
        <v>31699</v>
      </c>
      <c r="E280" s="84">
        <f t="shared" si="4"/>
        <v>1986</v>
      </c>
      <c r="F280" s="82" t="s">
        <v>22</v>
      </c>
      <c r="G280" s="82">
        <v>2</v>
      </c>
      <c r="H280" s="82">
        <v>4</v>
      </c>
      <c r="I280" s="82">
        <v>9.8000000000000007</v>
      </c>
      <c r="J280" s="82">
        <v>10.5</v>
      </c>
      <c r="K280" s="89" t="s">
        <v>193</v>
      </c>
    </row>
    <row r="281" spans="1:11" x14ac:dyDescent="0.2">
      <c r="A281" t="s">
        <v>21</v>
      </c>
      <c r="B281" s="89">
        <v>1674</v>
      </c>
      <c r="C281" s="82">
        <v>1</v>
      </c>
      <c r="D281" s="83">
        <v>31699</v>
      </c>
      <c r="E281" s="84">
        <f t="shared" si="4"/>
        <v>1986</v>
      </c>
      <c r="F281" s="82" t="s">
        <v>22</v>
      </c>
      <c r="G281" s="82">
        <v>2</v>
      </c>
      <c r="H281" s="82">
        <v>5</v>
      </c>
      <c r="I281" s="82">
        <v>9.6999999999999993</v>
      </c>
      <c r="J281" s="82">
        <v>10.4</v>
      </c>
      <c r="K281" s="89" t="s">
        <v>193</v>
      </c>
    </row>
    <row r="282" spans="1:11" x14ac:dyDescent="0.2">
      <c r="A282" t="s">
        <v>21</v>
      </c>
      <c r="B282" s="89">
        <v>1674</v>
      </c>
      <c r="C282" s="82">
        <v>1</v>
      </c>
      <c r="D282" s="83">
        <v>31699</v>
      </c>
      <c r="E282" s="84">
        <f t="shared" si="4"/>
        <v>1986</v>
      </c>
      <c r="F282" s="82" t="s">
        <v>22</v>
      </c>
      <c r="G282" s="82">
        <v>2</v>
      </c>
      <c r="H282" s="82">
        <v>6</v>
      </c>
      <c r="I282" s="82">
        <v>9.6</v>
      </c>
      <c r="J282" s="82">
        <v>9.9</v>
      </c>
      <c r="K282" s="89" t="s">
        <v>193</v>
      </c>
    </row>
    <row r="283" spans="1:11" x14ac:dyDescent="0.2">
      <c r="A283" t="s">
        <v>21</v>
      </c>
      <c r="B283" s="89">
        <v>1674</v>
      </c>
      <c r="C283" s="82">
        <v>1</v>
      </c>
      <c r="D283" s="83">
        <v>31699</v>
      </c>
      <c r="E283" s="84">
        <f t="shared" si="4"/>
        <v>1986</v>
      </c>
      <c r="F283" s="82" t="s">
        <v>22</v>
      </c>
      <c r="G283" s="82">
        <v>2</v>
      </c>
      <c r="H283" s="82">
        <v>7</v>
      </c>
      <c r="I283" s="82">
        <v>9.5</v>
      </c>
      <c r="J283" s="82">
        <v>9.8000000000000007</v>
      </c>
      <c r="K283" s="89" t="s">
        <v>193</v>
      </c>
    </row>
    <row r="284" spans="1:11" x14ac:dyDescent="0.2">
      <c r="A284" t="s">
        <v>21</v>
      </c>
      <c r="B284" s="89">
        <v>1674</v>
      </c>
      <c r="C284" s="82">
        <v>1</v>
      </c>
      <c r="D284" s="83">
        <v>31699</v>
      </c>
      <c r="E284" s="84">
        <f t="shared" si="4"/>
        <v>1986</v>
      </c>
      <c r="F284" s="82" t="s">
        <v>22</v>
      </c>
      <c r="G284" s="82">
        <v>2</v>
      </c>
      <c r="H284" s="82">
        <v>8</v>
      </c>
      <c r="I284" s="82">
        <v>9.3000000000000007</v>
      </c>
      <c r="J284" s="82">
        <v>9.6999999999999993</v>
      </c>
      <c r="K284" s="89" t="s">
        <v>193</v>
      </c>
    </row>
    <row r="285" spans="1:11" x14ac:dyDescent="0.2">
      <c r="A285" t="s">
        <v>21</v>
      </c>
      <c r="B285" s="89">
        <v>1674</v>
      </c>
      <c r="C285" s="82">
        <v>1</v>
      </c>
      <c r="D285" s="83">
        <v>31699</v>
      </c>
      <c r="E285" s="84">
        <f t="shared" si="4"/>
        <v>1986</v>
      </c>
      <c r="F285" s="82" t="s">
        <v>22</v>
      </c>
      <c r="G285" s="82">
        <v>2</v>
      </c>
      <c r="H285" s="82">
        <v>9</v>
      </c>
      <c r="I285" s="82">
        <v>9.3000000000000007</v>
      </c>
      <c r="J285" s="82">
        <v>9.5</v>
      </c>
      <c r="K285" s="89" t="s">
        <v>193</v>
      </c>
    </row>
    <row r="286" spans="1:11" x14ac:dyDescent="0.2">
      <c r="A286" t="s">
        <v>21</v>
      </c>
      <c r="B286" s="89">
        <v>1674</v>
      </c>
      <c r="C286" s="82">
        <v>1</v>
      </c>
      <c r="D286" s="83">
        <v>31699</v>
      </c>
      <c r="E286" s="84">
        <f t="shared" si="4"/>
        <v>1986</v>
      </c>
      <c r="F286" s="82" t="s">
        <v>22</v>
      </c>
      <c r="G286" s="82">
        <v>2</v>
      </c>
      <c r="H286" s="82">
        <v>10</v>
      </c>
      <c r="I286" s="82">
        <v>9.1999999999999993</v>
      </c>
      <c r="J286" s="82">
        <v>9.4</v>
      </c>
      <c r="K286" s="89" t="s">
        <v>193</v>
      </c>
    </row>
    <row r="287" spans="1:11" x14ac:dyDescent="0.2">
      <c r="A287" t="s">
        <v>21</v>
      </c>
      <c r="B287" s="89">
        <v>1674</v>
      </c>
      <c r="C287" s="82">
        <v>1</v>
      </c>
      <c r="D287" s="83">
        <v>31699</v>
      </c>
      <c r="E287" s="84">
        <f t="shared" si="4"/>
        <v>1986</v>
      </c>
      <c r="F287" s="82" t="s">
        <v>22</v>
      </c>
      <c r="G287" s="82">
        <v>2</v>
      </c>
      <c r="H287" s="82">
        <v>11</v>
      </c>
      <c r="I287" s="82">
        <v>9.1999999999999993</v>
      </c>
      <c r="J287" s="82">
        <v>9.3000000000000007</v>
      </c>
      <c r="K287" s="89" t="s">
        <v>193</v>
      </c>
    </row>
    <row r="288" spans="1:11" x14ac:dyDescent="0.2">
      <c r="A288" t="s">
        <v>21</v>
      </c>
      <c r="B288" s="89">
        <v>1674</v>
      </c>
      <c r="C288" s="82">
        <v>1</v>
      </c>
      <c r="D288" s="83">
        <v>31699</v>
      </c>
      <c r="E288" s="84">
        <f t="shared" si="4"/>
        <v>1986</v>
      </c>
      <c r="F288" s="82" t="s">
        <v>22</v>
      </c>
      <c r="G288" s="82">
        <v>2</v>
      </c>
      <c r="H288" s="82">
        <v>12</v>
      </c>
      <c r="I288" s="82">
        <v>9.1999999999999993</v>
      </c>
      <c r="J288" s="82">
        <v>9.1</v>
      </c>
      <c r="K288" s="89" t="s">
        <v>193</v>
      </c>
    </row>
    <row r="289" spans="1:11" x14ac:dyDescent="0.2">
      <c r="A289" t="s">
        <v>21</v>
      </c>
      <c r="B289" s="89">
        <v>1674</v>
      </c>
      <c r="C289" s="82">
        <v>1</v>
      </c>
      <c r="D289" s="83">
        <v>31714</v>
      </c>
      <c r="E289" s="84">
        <f t="shared" si="4"/>
        <v>1986</v>
      </c>
      <c r="F289" s="82" t="s">
        <v>22</v>
      </c>
      <c r="G289" s="82">
        <v>2</v>
      </c>
      <c r="H289" s="82">
        <v>0</v>
      </c>
      <c r="I289" s="82">
        <v>7</v>
      </c>
      <c r="J289" s="82">
        <v>11.2</v>
      </c>
      <c r="K289" s="89" t="s">
        <v>193</v>
      </c>
    </row>
    <row r="290" spans="1:11" x14ac:dyDescent="0.2">
      <c r="A290" t="s">
        <v>21</v>
      </c>
      <c r="B290" s="89">
        <v>1674</v>
      </c>
      <c r="C290" s="82">
        <v>1</v>
      </c>
      <c r="D290" s="83">
        <v>31714</v>
      </c>
      <c r="E290" s="84">
        <f t="shared" si="4"/>
        <v>1986</v>
      </c>
      <c r="F290" s="82" t="s">
        <v>22</v>
      </c>
      <c r="G290" s="82">
        <v>2</v>
      </c>
      <c r="H290" s="82">
        <v>1</v>
      </c>
      <c r="I290" s="82">
        <v>7</v>
      </c>
      <c r="J290" s="82">
        <v>11.2</v>
      </c>
      <c r="K290" s="89" t="s">
        <v>193</v>
      </c>
    </row>
    <row r="291" spans="1:11" x14ac:dyDescent="0.2">
      <c r="A291" t="s">
        <v>21</v>
      </c>
      <c r="B291" s="89">
        <v>1674</v>
      </c>
      <c r="C291" s="82">
        <v>1</v>
      </c>
      <c r="D291" s="83">
        <v>31714</v>
      </c>
      <c r="E291" s="84">
        <f t="shared" si="4"/>
        <v>1986</v>
      </c>
      <c r="F291" s="82" t="s">
        <v>22</v>
      </c>
      <c r="G291" s="82">
        <v>2</v>
      </c>
      <c r="H291" s="82">
        <v>2</v>
      </c>
      <c r="I291" s="82">
        <v>7</v>
      </c>
      <c r="J291" s="82">
        <v>11.3</v>
      </c>
      <c r="K291" s="89" t="s">
        <v>193</v>
      </c>
    </row>
    <row r="292" spans="1:11" x14ac:dyDescent="0.2">
      <c r="A292" t="s">
        <v>21</v>
      </c>
      <c r="B292" s="89">
        <v>1674</v>
      </c>
      <c r="C292" s="82">
        <v>1</v>
      </c>
      <c r="D292" s="83">
        <v>31714</v>
      </c>
      <c r="E292" s="84">
        <f t="shared" si="4"/>
        <v>1986</v>
      </c>
      <c r="F292" s="82" t="s">
        <v>22</v>
      </c>
      <c r="G292" s="82">
        <v>2</v>
      </c>
      <c r="H292" s="82">
        <v>3</v>
      </c>
      <c r="I292" s="82">
        <v>7</v>
      </c>
      <c r="J292" s="82">
        <v>11.3</v>
      </c>
      <c r="K292" s="89" t="s">
        <v>193</v>
      </c>
    </row>
    <row r="293" spans="1:11" x14ac:dyDescent="0.2">
      <c r="A293" t="s">
        <v>21</v>
      </c>
      <c r="B293" s="89">
        <v>1674</v>
      </c>
      <c r="C293" s="82">
        <v>1</v>
      </c>
      <c r="D293" s="83">
        <v>31714</v>
      </c>
      <c r="E293" s="84">
        <f t="shared" si="4"/>
        <v>1986</v>
      </c>
      <c r="F293" s="82" t="s">
        <v>22</v>
      </c>
      <c r="G293" s="82">
        <v>2</v>
      </c>
      <c r="H293" s="82">
        <v>4</v>
      </c>
      <c r="I293" s="82">
        <v>7</v>
      </c>
      <c r="J293" s="82">
        <v>11.1</v>
      </c>
      <c r="K293" s="89" t="s">
        <v>193</v>
      </c>
    </row>
    <row r="294" spans="1:11" x14ac:dyDescent="0.2">
      <c r="A294" t="s">
        <v>21</v>
      </c>
      <c r="B294" s="89">
        <v>1674</v>
      </c>
      <c r="C294" s="82">
        <v>1</v>
      </c>
      <c r="D294" s="83">
        <v>31714</v>
      </c>
      <c r="E294" s="84">
        <f t="shared" si="4"/>
        <v>1986</v>
      </c>
      <c r="F294" s="82" t="s">
        <v>22</v>
      </c>
      <c r="G294" s="82">
        <v>2</v>
      </c>
      <c r="H294" s="82">
        <v>5</v>
      </c>
      <c r="I294" s="82">
        <v>7</v>
      </c>
      <c r="J294" s="82">
        <v>11.1</v>
      </c>
      <c r="K294" s="89" t="s">
        <v>193</v>
      </c>
    </row>
    <row r="295" spans="1:11" x14ac:dyDescent="0.2">
      <c r="A295" t="s">
        <v>21</v>
      </c>
      <c r="B295" s="89">
        <v>1674</v>
      </c>
      <c r="C295" s="82">
        <v>1</v>
      </c>
      <c r="D295" s="83">
        <v>31714</v>
      </c>
      <c r="E295" s="84">
        <f t="shared" si="4"/>
        <v>1986</v>
      </c>
      <c r="F295" s="82" t="s">
        <v>22</v>
      </c>
      <c r="G295" s="82">
        <v>2</v>
      </c>
      <c r="H295" s="82">
        <v>6</v>
      </c>
      <c r="I295" s="82">
        <v>7</v>
      </c>
      <c r="J295" s="82">
        <v>11.2</v>
      </c>
      <c r="K295" s="89" t="s">
        <v>193</v>
      </c>
    </row>
    <row r="296" spans="1:11" x14ac:dyDescent="0.2">
      <c r="A296" t="s">
        <v>21</v>
      </c>
      <c r="B296" s="89">
        <v>1674</v>
      </c>
      <c r="C296" s="82">
        <v>1</v>
      </c>
      <c r="D296" s="83">
        <v>31714</v>
      </c>
      <c r="E296" s="84">
        <f t="shared" si="4"/>
        <v>1986</v>
      </c>
      <c r="F296" s="82" t="s">
        <v>22</v>
      </c>
      <c r="G296" s="82">
        <v>2</v>
      </c>
      <c r="H296" s="82">
        <v>7</v>
      </c>
      <c r="I296" s="82">
        <v>7</v>
      </c>
      <c r="J296" s="82">
        <v>11.2</v>
      </c>
      <c r="K296" s="89" t="s">
        <v>193</v>
      </c>
    </row>
    <row r="297" spans="1:11" x14ac:dyDescent="0.2">
      <c r="A297" t="s">
        <v>21</v>
      </c>
      <c r="B297" s="89">
        <v>1674</v>
      </c>
      <c r="C297" s="82">
        <v>1</v>
      </c>
      <c r="D297" s="83">
        <v>31714</v>
      </c>
      <c r="E297" s="84">
        <f t="shared" si="4"/>
        <v>1986</v>
      </c>
      <c r="F297" s="82" t="s">
        <v>22</v>
      </c>
      <c r="G297" s="82">
        <v>2</v>
      </c>
      <c r="H297" s="82">
        <v>8</v>
      </c>
      <c r="I297" s="82">
        <v>7</v>
      </c>
      <c r="J297" s="82">
        <v>11.2</v>
      </c>
      <c r="K297" s="89" t="s">
        <v>193</v>
      </c>
    </row>
    <row r="298" spans="1:11" x14ac:dyDescent="0.2">
      <c r="A298" t="s">
        <v>21</v>
      </c>
      <c r="B298" s="89">
        <v>1674</v>
      </c>
      <c r="C298" s="82">
        <v>1</v>
      </c>
      <c r="D298" s="83">
        <v>31714</v>
      </c>
      <c r="E298" s="84">
        <f t="shared" si="4"/>
        <v>1986</v>
      </c>
      <c r="F298" s="82" t="s">
        <v>22</v>
      </c>
      <c r="G298" s="82">
        <v>2</v>
      </c>
      <c r="H298" s="82">
        <v>9</v>
      </c>
      <c r="I298" s="82">
        <v>7</v>
      </c>
      <c r="J298" s="82">
        <v>11.1</v>
      </c>
      <c r="K298" s="89" t="s">
        <v>193</v>
      </c>
    </row>
    <row r="299" spans="1:11" x14ac:dyDescent="0.2">
      <c r="A299" t="s">
        <v>21</v>
      </c>
      <c r="B299" s="89">
        <v>1674</v>
      </c>
      <c r="C299" s="82">
        <v>1</v>
      </c>
      <c r="D299" s="83">
        <v>31714</v>
      </c>
      <c r="E299" s="84">
        <f t="shared" si="4"/>
        <v>1986</v>
      </c>
      <c r="F299" s="82" t="s">
        <v>22</v>
      </c>
      <c r="G299" s="82">
        <v>2</v>
      </c>
      <c r="H299" s="82">
        <v>10</v>
      </c>
      <c r="I299" s="82">
        <v>6.9</v>
      </c>
      <c r="J299" s="82">
        <v>11</v>
      </c>
      <c r="K299" s="89" t="s">
        <v>193</v>
      </c>
    </row>
    <row r="300" spans="1:11" x14ac:dyDescent="0.2">
      <c r="A300" t="s">
        <v>21</v>
      </c>
      <c r="B300" s="89">
        <v>1674</v>
      </c>
      <c r="C300" s="82">
        <v>1</v>
      </c>
      <c r="D300" s="83">
        <v>31714</v>
      </c>
      <c r="E300" s="84">
        <f t="shared" si="4"/>
        <v>1986</v>
      </c>
      <c r="F300" s="82" t="s">
        <v>22</v>
      </c>
      <c r="G300" s="82">
        <v>2</v>
      </c>
      <c r="H300" s="82">
        <v>11</v>
      </c>
      <c r="I300" s="82">
        <v>6.9</v>
      </c>
      <c r="J300" s="82">
        <v>11</v>
      </c>
      <c r="K300" s="89" t="s">
        <v>193</v>
      </c>
    </row>
    <row r="301" spans="1:11" x14ac:dyDescent="0.2">
      <c r="A301" t="s">
        <v>21</v>
      </c>
      <c r="B301" s="89">
        <v>1674</v>
      </c>
      <c r="C301" s="82">
        <v>1</v>
      </c>
      <c r="D301" s="83">
        <v>31714</v>
      </c>
      <c r="E301" s="84">
        <f t="shared" si="4"/>
        <v>1986</v>
      </c>
      <c r="F301" s="82" t="s">
        <v>22</v>
      </c>
      <c r="G301" s="82">
        <v>2</v>
      </c>
      <c r="H301" s="82">
        <v>12</v>
      </c>
      <c r="I301" s="82">
        <v>6.9</v>
      </c>
      <c r="J301" s="82">
        <v>11</v>
      </c>
      <c r="K301" s="89" t="s">
        <v>193</v>
      </c>
    </row>
    <row r="302" spans="1:11" x14ac:dyDescent="0.2">
      <c r="A302" t="s">
        <v>21</v>
      </c>
      <c r="B302" s="89">
        <v>1674</v>
      </c>
      <c r="C302" s="82">
        <v>1</v>
      </c>
      <c r="D302" s="83">
        <v>31714</v>
      </c>
      <c r="E302" s="84">
        <f t="shared" si="4"/>
        <v>1986</v>
      </c>
      <c r="F302" s="82" t="s">
        <v>22</v>
      </c>
      <c r="G302" s="82">
        <v>2</v>
      </c>
      <c r="H302" s="82">
        <v>13</v>
      </c>
      <c r="I302" s="82">
        <v>6.9</v>
      </c>
      <c r="J302" s="82">
        <v>11</v>
      </c>
      <c r="K302" s="89" t="s">
        <v>193</v>
      </c>
    </row>
    <row r="303" spans="1:11" x14ac:dyDescent="0.2">
      <c r="A303" t="s">
        <v>21</v>
      </c>
      <c r="B303" s="89">
        <v>1674</v>
      </c>
      <c r="C303" s="82">
        <v>1</v>
      </c>
      <c r="D303" s="83">
        <v>31834</v>
      </c>
      <c r="E303" s="84">
        <f t="shared" si="4"/>
        <v>1987</v>
      </c>
      <c r="F303" s="82" t="s">
        <v>22</v>
      </c>
      <c r="G303" s="82">
        <v>2</v>
      </c>
      <c r="H303" s="82">
        <v>0.5</v>
      </c>
      <c r="I303" s="82">
        <v>0.2</v>
      </c>
      <c r="J303" s="82">
        <v>12.4</v>
      </c>
      <c r="K303" s="89" t="s">
        <v>193</v>
      </c>
    </row>
    <row r="304" spans="1:11" x14ac:dyDescent="0.2">
      <c r="A304" t="s">
        <v>21</v>
      </c>
      <c r="B304" s="89">
        <v>1674</v>
      </c>
      <c r="C304" s="82">
        <v>1</v>
      </c>
      <c r="D304" s="83">
        <v>31834</v>
      </c>
      <c r="E304" s="84">
        <f t="shared" si="4"/>
        <v>1987</v>
      </c>
      <c r="F304" s="82" t="s">
        <v>22</v>
      </c>
      <c r="G304" s="82">
        <v>2</v>
      </c>
      <c r="H304" s="82">
        <v>1</v>
      </c>
      <c r="I304" s="82">
        <v>0.2</v>
      </c>
      <c r="J304" s="82">
        <v>12</v>
      </c>
      <c r="K304" s="89" t="s">
        <v>193</v>
      </c>
    </row>
    <row r="305" spans="1:11" x14ac:dyDescent="0.2">
      <c r="A305" t="s">
        <v>21</v>
      </c>
      <c r="B305" s="89">
        <v>1674</v>
      </c>
      <c r="C305" s="82">
        <v>1</v>
      </c>
      <c r="D305" s="83">
        <v>31834</v>
      </c>
      <c r="E305" s="84">
        <f t="shared" si="4"/>
        <v>1987</v>
      </c>
      <c r="F305" s="82" t="s">
        <v>22</v>
      </c>
      <c r="G305" s="82">
        <v>2</v>
      </c>
      <c r="H305" s="82">
        <v>2</v>
      </c>
      <c r="I305" s="82">
        <v>1</v>
      </c>
      <c r="J305" s="82">
        <v>11.7</v>
      </c>
      <c r="K305" s="89" t="s">
        <v>193</v>
      </c>
    </row>
    <row r="306" spans="1:11" x14ac:dyDescent="0.2">
      <c r="A306" t="s">
        <v>21</v>
      </c>
      <c r="B306" s="89">
        <v>1674</v>
      </c>
      <c r="C306" s="82">
        <v>1</v>
      </c>
      <c r="D306" s="83">
        <v>31834</v>
      </c>
      <c r="E306" s="84">
        <f t="shared" si="4"/>
        <v>1987</v>
      </c>
      <c r="F306" s="82" t="s">
        <v>22</v>
      </c>
      <c r="G306" s="82">
        <v>2</v>
      </c>
      <c r="H306" s="82">
        <v>3</v>
      </c>
      <c r="I306" s="82">
        <v>1.6</v>
      </c>
      <c r="J306" s="82">
        <v>11.6</v>
      </c>
      <c r="K306" s="89" t="s">
        <v>193</v>
      </c>
    </row>
    <row r="307" spans="1:11" x14ac:dyDescent="0.2">
      <c r="A307" t="s">
        <v>21</v>
      </c>
      <c r="B307" s="89">
        <v>1674</v>
      </c>
      <c r="C307" s="82">
        <v>1</v>
      </c>
      <c r="D307" s="83">
        <v>31834</v>
      </c>
      <c r="E307" s="84">
        <f t="shared" si="4"/>
        <v>1987</v>
      </c>
      <c r="F307" s="82" t="s">
        <v>22</v>
      </c>
      <c r="G307" s="82">
        <v>2</v>
      </c>
      <c r="H307" s="82">
        <v>4</v>
      </c>
      <c r="I307" s="82">
        <v>2</v>
      </c>
      <c r="J307" s="82">
        <v>10.8</v>
      </c>
      <c r="K307" s="89" t="s">
        <v>193</v>
      </c>
    </row>
    <row r="308" spans="1:11" x14ac:dyDescent="0.2">
      <c r="A308" t="s">
        <v>21</v>
      </c>
      <c r="B308" s="89">
        <v>1674</v>
      </c>
      <c r="C308" s="82">
        <v>1</v>
      </c>
      <c r="D308" s="83">
        <v>31834</v>
      </c>
      <c r="E308" s="84">
        <f t="shared" si="4"/>
        <v>1987</v>
      </c>
      <c r="F308" s="82" t="s">
        <v>22</v>
      </c>
      <c r="G308" s="82">
        <v>2</v>
      </c>
      <c r="H308" s="82">
        <v>5</v>
      </c>
      <c r="I308" s="82">
        <v>2.2000000000000002</v>
      </c>
      <c r="J308" s="82">
        <v>8.8000000000000007</v>
      </c>
      <c r="K308" s="89" t="s">
        <v>193</v>
      </c>
    </row>
    <row r="309" spans="1:11" x14ac:dyDescent="0.2">
      <c r="A309" t="s">
        <v>21</v>
      </c>
      <c r="B309" s="89">
        <v>1674</v>
      </c>
      <c r="C309" s="82">
        <v>1</v>
      </c>
      <c r="D309" s="83">
        <v>31834</v>
      </c>
      <c r="E309" s="84">
        <f t="shared" si="4"/>
        <v>1987</v>
      </c>
      <c r="F309" s="82" t="s">
        <v>22</v>
      </c>
      <c r="G309" s="82">
        <v>2</v>
      </c>
      <c r="H309" s="82">
        <v>6</v>
      </c>
      <c r="I309" s="82">
        <v>2.7</v>
      </c>
      <c r="J309" s="82">
        <v>7.8</v>
      </c>
      <c r="K309" s="89" t="s">
        <v>193</v>
      </c>
    </row>
    <row r="310" spans="1:11" x14ac:dyDescent="0.2">
      <c r="A310" t="s">
        <v>21</v>
      </c>
      <c r="B310" s="89">
        <v>1674</v>
      </c>
      <c r="C310" s="82">
        <v>1</v>
      </c>
      <c r="D310" s="83">
        <v>31834</v>
      </c>
      <c r="E310" s="84">
        <f t="shared" si="4"/>
        <v>1987</v>
      </c>
      <c r="F310" s="82" t="s">
        <v>22</v>
      </c>
      <c r="G310" s="82">
        <v>2</v>
      </c>
      <c r="H310" s="82">
        <v>7</v>
      </c>
      <c r="I310" s="82">
        <v>3</v>
      </c>
      <c r="J310" s="82">
        <v>4.9000000000000004</v>
      </c>
      <c r="K310" s="89" t="s">
        <v>193</v>
      </c>
    </row>
    <row r="311" spans="1:11" x14ac:dyDescent="0.2">
      <c r="A311" t="s">
        <v>21</v>
      </c>
      <c r="B311" s="89">
        <v>1674</v>
      </c>
      <c r="C311" s="82">
        <v>1</v>
      </c>
      <c r="D311" s="83">
        <v>31834</v>
      </c>
      <c r="E311" s="84">
        <f t="shared" si="4"/>
        <v>1987</v>
      </c>
      <c r="F311" s="82" t="s">
        <v>22</v>
      </c>
      <c r="G311" s="82">
        <v>2</v>
      </c>
      <c r="H311" s="82">
        <v>8</v>
      </c>
      <c r="I311" s="82">
        <v>3.1</v>
      </c>
      <c r="J311" s="82">
        <v>3.2</v>
      </c>
      <c r="K311" s="89" t="s">
        <v>193</v>
      </c>
    </row>
    <row r="312" spans="1:11" x14ac:dyDescent="0.2">
      <c r="A312" t="s">
        <v>21</v>
      </c>
      <c r="B312" s="89">
        <v>1674</v>
      </c>
      <c r="C312" s="82">
        <v>1</v>
      </c>
      <c r="D312" s="83">
        <v>31834</v>
      </c>
      <c r="E312" s="84">
        <f t="shared" si="4"/>
        <v>1987</v>
      </c>
      <c r="F312" s="82" t="s">
        <v>22</v>
      </c>
      <c r="G312" s="82">
        <v>2</v>
      </c>
      <c r="H312" s="82">
        <v>9</v>
      </c>
      <c r="I312" s="82">
        <v>3.2</v>
      </c>
      <c r="J312" s="82">
        <v>1.6</v>
      </c>
      <c r="K312" s="89" t="s">
        <v>193</v>
      </c>
    </row>
    <row r="313" spans="1:11" x14ac:dyDescent="0.2">
      <c r="A313" t="s">
        <v>21</v>
      </c>
      <c r="B313" s="89">
        <v>1674</v>
      </c>
      <c r="C313" s="82">
        <v>1</v>
      </c>
      <c r="D313" s="83">
        <v>31834</v>
      </c>
      <c r="E313" s="84">
        <f t="shared" si="4"/>
        <v>1987</v>
      </c>
      <c r="F313" s="82" t="s">
        <v>22</v>
      </c>
      <c r="G313" s="82">
        <v>2</v>
      </c>
      <c r="H313" s="82">
        <v>10</v>
      </c>
      <c r="I313" s="82">
        <v>3.5</v>
      </c>
      <c r="J313" s="82">
        <v>0.4</v>
      </c>
      <c r="K313" s="89" t="s">
        <v>193</v>
      </c>
    </row>
    <row r="314" spans="1:11" x14ac:dyDescent="0.2">
      <c r="A314" t="s">
        <v>21</v>
      </c>
      <c r="B314" s="89">
        <v>1674</v>
      </c>
      <c r="C314" s="82">
        <v>1</v>
      </c>
      <c r="D314" s="83">
        <v>31834</v>
      </c>
      <c r="E314" s="84">
        <f t="shared" si="4"/>
        <v>1987</v>
      </c>
      <c r="F314" s="82" t="s">
        <v>22</v>
      </c>
      <c r="G314" s="82">
        <v>2</v>
      </c>
      <c r="H314" s="82">
        <v>11</v>
      </c>
      <c r="I314" s="82">
        <v>4</v>
      </c>
      <c r="J314" s="82">
        <v>0.3</v>
      </c>
      <c r="K314" s="89" t="s">
        <v>193</v>
      </c>
    </row>
    <row r="315" spans="1:11" x14ac:dyDescent="0.2">
      <c r="A315" t="s">
        <v>21</v>
      </c>
      <c r="B315" s="89">
        <v>1674</v>
      </c>
      <c r="C315" s="82">
        <v>1</v>
      </c>
      <c r="D315" s="83">
        <v>31834</v>
      </c>
      <c r="E315" s="84">
        <f t="shared" si="4"/>
        <v>1987</v>
      </c>
      <c r="F315" s="82" t="s">
        <v>22</v>
      </c>
      <c r="G315" s="82">
        <v>2</v>
      </c>
      <c r="H315" s="82">
        <v>12</v>
      </c>
      <c r="I315" s="82">
        <v>4.0999999999999996</v>
      </c>
      <c r="J315" s="82">
        <v>0.2</v>
      </c>
      <c r="K315" s="89" t="s">
        <v>193</v>
      </c>
    </row>
    <row r="316" spans="1:11" x14ac:dyDescent="0.2">
      <c r="A316" t="s">
        <v>21</v>
      </c>
      <c r="B316" s="89">
        <v>1674</v>
      </c>
      <c r="C316" s="82">
        <v>1</v>
      </c>
      <c r="D316" s="83">
        <v>31834</v>
      </c>
      <c r="E316" s="84">
        <f t="shared" si="4"/>
        <v>1987</v>
      </c>
      <c r="F316" s="82" t="s">
        <v>22</v>
      </c>
      <c r="G316" s="82">
        <v>2</v>
      </c>
      <c r="H316" s="82">
        <v>13</v>
      </c>
      <c r="I316" s="82">
        <v>5</v>
      </c>
      <c r="J316" s="82">
        <v>0.2</v>
      </c>
      <c r="K316" s="89" t="s">
        <v>193</v>
      </c>
    </row>
    <row r="317" spans="1:11" x14ac:dyDescent="0.2">
      <c r="A317" t="s">
        <v>21</v>
      </c>
      <c r="B317" s="89">
        <v>1674</v>
      </c>
      <c r="C317" s="82">
        <v>1</v>
      </c>
      <c r="D317" s="83">
        <v>31834</v>
      </c>
      <c r="E317" s="84">
        <f t="shared" si="4"/>
        <v>1987</v>
      </c>
      <c r="F317" s="82" t="s">
        <v>22</v>
      </c>
      <c r="G317" s="82">
        <v>2</v>
      </c>
      <c r="H317" s="82">
        <v>13.5</v>
      </c>
      <c r="I317" s="82">
        <v>5.2</v>
      </c>
      <c r="J317" s="82">
        <v>0.1</v>
      </c>
      <c r="K317" s="89" t="s">
        <v>193</v>
      </c>
    </row>
    <row r="318" spans="1:11" x14ac:dyDescent="0.2">
      <c r="A318" t="s">
        <v>21</v>
      </c>
      <c r="B318" s="89">
        <v>1674</v>
      </c>
      <c r="C318" s="82">
        <v>1</v>
      </c>
      <c r="D318" s="83">
        <v>31906</v>
      </c>
      <c r="E318" s="84">
        <f t="shared" si="4"/>
        <v>1987</v>
      </c>
      <c r="F318" s="82" t="s">
        <v>22</v>
      </c>
      <c r="G318" s="82">
        <v>2</v>
      </c>
      <c r="H318" s="82">
        <v>0</v>
      </c>
      <c r="I318" s="82">
        <v>9.1999999999999993</v>
      </c>
      <c r="J318" s="82">
        <v>11</v>
      </c>
      <c r="K318" s="89" t="s">
        <v>193</v>
      </c>
    </row>
    <row r="319" spans="1:11" x14ac:dyDescent="0.2">
      <c r="A319" t="s">
        <v>21</v>
      </c>
      <c r="B319" s="89">
        <v>1674</v>
      </c>
      <c r="C319" s="82">
        <v>1</v>
      </c>
      <c r="D319" s="83">
        <v>31906</v>
      </c>
      <c r="E319" s="84">
        <f t="shared" si="4"/>
        <v>1987</v>
      </c>
      <c r="F319" s="82" t="s">
        <v>22</v>
      </c>
      <c r="G319" s="82">
        <v>2</v>
      </c>
      <c r="H319" s="82">
        <v>1</v>
      </c>
      <c r="I319" s="82">
        <v>9.1999999999999993</v>
      </c>
      <c r="J319" s="82">
        <v>11</v>
      </c>
      <c r="K319" s="89" t="s">
        <v>193</v>
      </c>
    </row>
    <row r="320" spans="1:11" x14ac:dyDescent="0.2">
      <c r="A320" t="s">
        <v>21</v>
      </c>
      <c r="B320" s="89">
        <v>1674</v>
      </c>
      <c r="C320" s="82">
        <v>1</v>
      </c>
      <c r="D320" s="83">
        <v>31906</v>
      </c>
      <c r="E320" s="84">
        <f t="shared" si="4"/>
        <v>1987</v>
      </c>
      <c r="F320" s="82" t="s">
        <v>22</v>
      </c>
      <c r="G320" s="82">
        <v>2</v>
      </c>
      <c r="H320" s="82">
        <v>2</v>
      </c>
      <c r="I320" s="82">
        <v>9.1999999999999993</v>
      </c>
      <c r="J320" s="82">
        <v>11.1</v>
      </c>
      <c r="K320" s="89" t="s">
        <v>193</v>
      </c>
    </row>
    <row r="321" spans="1:11" x14ac:dyDescent="0.2">
      <c r="A321" t="s">
        <v>21</v>
      </c>
      <c r="B321" s="89">
        <v>1674</v>
      </c>
      <c r="C321" s="82">
        <v>1</v>
      </c>
      <c r="D321" s="83">
        <v>31906</v>
      </c>
      <c r="E321" s="84">
        <f t="shared" si="4"/>
        <v>1987</v>
      </c>
      <c r="F321" s="82" t="s">
        <v>22</v>
      </c>
      <c r="G321" s="82">
        <v>2</v>
      </c>
      <c r="H321" s="82">
        <v>3</v>
      </c>
      <c r="I321" s="82">
        <v>9.1999999999999993</v>
      </c>
      <c r="J321" s="82">
        <v>11.1</v>
      </c>
      <c r="K321" s="89" t="s">
        <v>193</v>
      </c>
    </row>
    <row r="322" spans="1:11" x14ac:dyDescent="0.2">
      <c r="A322" t="s">
        <v>21</v>
      </c>
      <c r="B322" s="89">
        <v>1674</v>
      </c>
      <c r="C322" s="82">
        <v>1</v>
      </c>
      <c r="D322" s="83">
        <v>31906</v>
      </c>
      <c r="E322" s="84">
        <f t="shared" ref="E322:E385" si="5">YEAR(D322)</f>
        <v>1987</v>
      </c>
      <c r="F322" s="82" t="s">
        <v>22</v>
      </c>
      <c r="G322" s="82">
        <v>2</v>
      </c>
      <c r="H322" s="82">
        <v>4</v>
      </c>
      <c r="I322" s="82">
        <v>9.1999999999999993</v>
      </c>
      <c r="J322" s="82">
        <v>11.1</v>
      </c>
      <c r="K322" s="89" t="s">
        <v>193</v>
      </c>
    </row>
    <row r="323" spans="1:11" x14ac:dyDescent="0.2">
      <c r="A323" t="s">
        <v>21</v>
      </c>
      <c r="B323" s="89">
        <v>1674</v>
      </c>
      <c r="C323" s="82">
        <v>1</v>
      </c>
      <c r="D323" s="83">
        <v>31906</v>
      </c>
      <c r="E323" s="84">
        <f t="shared" si="5"/>
        <v>1987</v>
      </c>
      <c r="F323" s="82" t="s">
        <v>22</v>
      </c>
      <c r="G323" s="82">
        <v>2</v>
      </c>
      <c r="H323" s="82">
        <v>5</v>
      </c>
      <c r="I323" s="82">
        <v>9.1999999999999993</v>
      </c>
      <c r="J323" s="82">
        <v>11</v>
      </c>
      <c r="K323" s="89" t="s">
        <v>193</v>
      </c>
    </row>
    <row r="324" spans="1:11" x14ac:dyDescent="0.2">
      <c r="A324" t="s">
        <v>21</v>
      </c>
      <c r="B324" s="89">
        <v>1674</v>
      </c>
      <c r="C324" s="82">
        <v>1</v>
      </c>
      <c r="D324" s="83">
        <v>31906</v>
      </c>
      <c r="E324" s="84">
        <f t="shared" si="5"/>
        <v>1987</v>
      </c>
      <c r="F324" s="82" t="s">
        <v>22</v>
      </c>
      <c r="G324" s="82">
        <v>2</v>
      </c>
      <c r="H324" s="82">
        <v>6</v>
      </c>
      <c r="I324" s="82">
        <v>9.1999999999999993</v>
      </c>
      <c r="J324" s="82">
        <v>11</v>
      </c>
      <c r="K324" s="89" t="s">
        <v>193</v>
      </c>
    </row>
    <row r="325" spans="1:11" x14ac:dyDescent="0.2">
      <c r="A325" t="s">
        <v>21</v>
      </c>
      <c r="B325" s="89">
        <v>1674</v>
      </c>
      <c r="C325" s="82">
        <v>1</v>
      </c>
      <c r="D325" s="83">
        <v>31906</v>
      </c>
      <c r="E325" s="84">
        <f t="shared" si="5"/>
        <v>1987</v>
      </c>
      <c r="F325" s="82" t="s">
        <v>22</v>
      </c>
      <c r="G325" s="82">
        <v>2</v>
      </c>
      <c r="H325" s="82">
        <v>7</v>
      </c>
      <c r="I325" s="82">
        <v>9.1999999999999993</v>
      </c>
      <c r="J325" s="82">
        <v>11</v>
      </c>
      <c r="K325" s="89" t="s">
        <v>193</v>
      </c>
    </row>
    <row r="326" spans="1:11" x14ac:dyDescent="0.2">
      <c r="A326" t="s">
        <v>21</v>
      </c>
      <c r="B326" s="89">
        <v>1674</v>
      </c>
      <c r="C326" s="82">
        <v>1</v>
      </c>
      <c r="D326" s="83">
        <v>31906</v>
      </c>
      <c r="E326" s="84">
        <f t="shared" si="5"/>
        <v>1987</v>
      </c>
      <c r="F326" s="82" t="s">
        <v>22</v>
      </c>
      <c r="G326" s="82">
        <v>2</v>
      </c>
      <c r="H326" s="82">
        <v>8</v>
      </c>
      <c r="I326" s="82">
        <v>9.1999999999999993</v>
      </c>
      <c r="J326" s="82">
        <v>11</v>
      </c>
      <c r="K326" s="89" t="s">
        <v>193</v>
      </c>
    </row>
    <row r="327" spans="1:11" x14ac:dyDescent="0.2">
      <c r="A327" t="s">
        <v>21</v>
      </c>
      <c r="B327" s="89">
        <v>1674</v>
      </c>
      <c r="C327" s="82">
        <v>1</v>
      </c>
      <c r="D327" s="83">
        <v>31906</v>
      </c>
      <c r="E327" s="84">
        <f t="shared" si="5"/>
        <v>1987</v>
      </c>
      <c r="F327" s="82" t="s">
        <v>22</v>
      </c>
      <c r="G327" s="82">
        <v>2</v>
      </c>
      <c r="H327" s="82">
        <v>9</v>
      </c>
      <c r="I327" s="82">
        <v>9.1999999999999993</v>
      </c>
      <c r="J327" s="82">
        <v>11</v>
      </c>
      <c r="K327" s="89" t="s">
        <v>193</v>
      </c>
    </row>
    <row r="328" spans="1:11" x14ac:dyDescent="0.2">
      <c r="A328" t="s">
        <v>21</v>
      </c>
      <c r="B328" s="89">
        <v>1674</v>
      </c>
      <c r="C328" s="82">
        <v>1</v>
      </c>
      <c r="D328" s="83">
        <v>31906</v>
      </c>
      <c r="E328" s="84">
        <f t="shared" si="5"/>
        <v>1987</v>
      </c>
      <c r="F328" s="82" t="s">
        <v>22</v>
      </c>
      <c r="G328" s="82">
        <v>2</v>
      </c>
      <c r="H328" s="82">
        <v>10</v>
      </c>
      <c r="I328" s="82">
        <v>9.1999999999999993</v>
      </c>
      <c r="J328" s="82">
        <v>11</v>
      </c>
      <c r="K328" s="89" t="s">
        <v>193</v>
      </c>
    </row>
    <row r="329" spans="1:11" x14ac:dyDescent="0.2">
      <c r="A329" t="s">
        <v>21</v>
      </c>
      <c r="B329" s="89">
        <v>1674</v>
      </c>
      <c r="C329" s="82">
        <v>1</v>
      </c>
      <c r="D329" s="83">
        <v>31906</v>
      </c>
      <c r="E329" s="84">
        <f t="shared" si="5"/>
        <v>1987</v>
      </c>
      <c r="F329" s="82" t="s">
        <v>22</v>
      </c>
      <c r="G329" s="82">
        <v>2</v>
      </c>
      <c r="H329" s="82">
        <v>11</v>
      </c>
      <c r="I329" s="82">
        <v>9.1</v>
      </c>
      <c r="J329" s="82">
        <v>9.9</v>
      </c>
      <c r="K329" s="89" t="s">
        <v>193</v>
      </c>
    </row>
    <row r="330" spans="1:11" x14ac:dyDescent="0.2">
      <c r="A330" t="s">
        <v>21</v>
      </c>
      <c r="B330" s="89">
        <v>1674</v>
      </c>
      <c r="C330" s="82">
        <v>1</v>
      </c>
      <c r="D330" s="83">
        <v>31925</v>
      </c>
      <c r="E330" s="84">
        <f t="shared" si="5"/>
        <v>1987</v>
      </c>
      <c r="F330" s="82" t="s">
        <v>22</v>
      </c>
      <c r="G330" s="82">
        <v>2</v>
      </c>
      <c r="H330" s="82">
        <v>0</v>
      </c>
      <c r="I330" s="82">
        <v>14.8</v>
      </c>
      <c r="J330" s="82">
        <v>10.4</v>
      </c>
      <c r="K330" s="89" t="s">
        <v>193</v>
      </c>
    </row>
    <row r="331" spans="1:11" x14ac:dyDescent="0.2">
      <c r="A331" t="s">
        <v>21</v>
      </c>
      <c r="B331" s="89">
        <v>1674</v>
      </c>
      <c r="C331" s="82">
        <v>1</v>
      </c>
      <c r="D331" s="83">
        <v>31925</v>
      </c>
      <c r="E331" s="84">
        <f t="shared" si="5"/>
        <v>1987</v>
      </c>
      <c r="F331" s="82" t="s">
        <v>22</v>
      </c>
      <c r="G331" s="82">
        <v>2</v>
      </c>
      <c r="H331" s="82">
        <v>1</v>
      </c>
      <c r="I331" s="82">
        <v>14.5</v>
      </c>
      <c r="J331" s="82">
        <v>10.5</v>
      </c>
      <c r="K331" s="89" t="s">
        <v>193</v>
      </c>
    </row>
    <row r="332" spans="1:11" x14ac:dyDescent="0.2">
      <c r="A332" t="s">
        <v>21</v>
      </c>
      <c r="B332" s="89">
        <v>1674</v>
      </c>
      <c r="C332" s="82">
        <v>1</v>
      </c>
      <c r="D332" s="83">
        <v>31925</v>
      </c>
      <c r="E332" s="84">
        <f t="shared" si="5"/>
        <v>1987</v>
      </c>
      <c r="F332" s="82" t="s">
        <v>22</v>
      </c>
      <c r="G332" s="82">
        <v>2</v>
      </c>
      <c r="H332" s="82">
        <v>2</v>
      </c>
      <c r="I332" s="82">
        <v>14</v>
      </c>
      <c r="J332" s="82">
        <v>10.6</v>
      </c>
      <c r="K332" s="89" t="s">
        <v>193</v>
      </c>
    </row>
    <row r="333" spans="1:11" x14ac:dyDescent="0.2">
      <c r="A333" t="s">
        <v>21</v>
      </c>
      <c r="B333" s="89">
        <v>1674</v>
      </c>
      <c r="C333" s="82">
        <v>1</v>
      </c>
      <c r="D333" s="83">
        <v>31925</v>
      </c>
      <c r="E333" s="84">
        <f t="shared" si="5"/>
        <v>1987</v>
      </c>
      <c r="F333" s="82" t="s">
        <v>22</v>
      </c>
      <c r="G333" s="82">
        <v>2</v>
      </c>
      <c r="H333" s="82">
        <v>3</v>
      </c>
      <c r="I333" s="82">
        <v>14</v>
      </c>
      <c r="J333" s="82">
        <v>10.5</v>
      </c>
      <c r="K333" s="89" t="s">
        <v>193</v>
      </c>
    </row>
    <row r="334" spans="1:11" x14ac:dyDescent="0.2">
      <c r="A334" t="s">
        <v>21</v>
      </c>
      <c r="B334" s="89">
        <v>1674</v>
      </c>
      <c r="C334" s="82">
        <v>1</v>
      </c>
      <c r="D334" s="83">
        <v>31925</v>
      </c>
      <c r="E334" s="84">
        <f t="shared" si="5"/>
        <v>1987</v>
      </c>
      <c r="F334" s="82" t="s">
        <v>22</v>
      </c>
      <c r="G334" s="82">
        <v>2</v>
      </c>
      <c r="H334" s="82">
        <v>4</v>
      </c>
      <c r="I334" s="82">
        <v>13.6</v>
      </c>
      <c r="J334" s="82">
        <v>10.4</v>
      </c>
      <c r="K334" s="89" t="s">
        <v>193</v>
      </c>
    </row>
    <row r="335" spans="1:11" x14ac:dyDescent="0.2">
      <c r="A335" t="s">
        <v>21</v>
      </c>
      <c r="B335" s="89">
        <v>1674</v>
      </c>
      <c r="C335" s="82">
        <v>1</v>
      </c>
      <c r="D335" s="83">
        <v>31925</v>
      </c>
      <c r="E335" s="84">
        <f t="shared" si="5"/>
        <v>1987</v>
      </c>
      <c r="F335" s="82" t="s">
        <v>22</v>
      </c>
      <c r="G335" s="82">
        <v>2</v>
      </c>
      <c r="H335" s="82">
        <v>5</v>
      </c>
      <c r="I335" s="82">
        <v>13.5</v>
      </c>
      <c r="J335" s="82">
        <v>10.3</v>
      </c>
      <c r="K335" s="89" t="s">
        <v>193</v>
      </c>
    </row>
    <row r="336" spans="1:11" x14ac:dyDescent="0.2">
      <c r="A336" t="s">
        <v>21</v>
      </c>
      <c r="B336" s="89">
        <v>1674</v>
      </c>
      <c r="C336" s="82">
        <v>1</v>
      </c>
      <c r="D336" s="83">
        <v>31925</v>
      </c>
      <c r="E336" s="84">
        <f t="shared" si="5"/>
        <v>1987</v>
      </c>
      <c r="F336" s="82" t="s">
        <v>22</v>
      </c>
      <c r="G336" s="82">
        <v>2</v>
      </c>
      <c r="H336" s="82">
        <v>6</v>
      </c>
      <c r="I336" s="82">
        <v>13.2</v>
      </c>
      <c r="J336" s="82">
        <v>10.1</v>
      </c>
      <c r="K336" s="89" t="s">
        <v>193</v>
      </c>
    </row>
    <row r="337" spans="1:11" x14ac:dyDescent="0.2">
      <c r="A337" t="s">
        <v>21</v>
      </c>
      <c r="B337" s="89">
        <v>1674</v>
      </c>
      <c r="C337" s="82">
        <v>1</v>
      </c>
      <c r="D337" s="83">
        <v>31925</v>
      </c>
      <c r="E337" s="84">
        <f t="shared" si="5"/>
        <v>1987</v>
      </c>
      <c r="F337" s="82" t="s">
        <v>22</v>
      </c>
      <c r="G337" s="82">
        <v>2</v>
      </c>
      <c r="H337" s="82">
        <v>7</v>
      </c>
      <c r="I337" s="82">
        <v>13</v>
      </c>
      <c r="J337" s="82">
        <v>9.6999999999999993</v>
      </c>
      <c r="K337" s="89" t="s">
        <v>193</v>
      </c>
    </row>
    <row r="338" spans="1:11" x14ac:dyDescent="0.2">
      <c r="A338" t="s">
        <v>21</v>
      </c>
      <c r="B338" s="89">
        <v>1674</v>
      </c>
      <c r="C338" s="82">
        <v>1</v>
      </c>
      <c r="D338" s="83">
        <v>31925</v>
      </c>
      <c r="E338" s="84">
        <f t="shared" si="5"/>
        <v>1987</v>
      </c>
      <c r="F338" s="82" t="s">
        <v>22</v>
      </c>
      <c r="G338" s="82">
        <v>2</v>
      </c>
      <c r="H338" s="82">
        <v>8</v>
      </c>
      <c r="I338" s="82">
        <v>12.5</v>
      </c>
      <c r="J338" s="82">
        <v>9.1999999999999993</v>
      </c>
      <c r="K338" s="89" t="s">
        <v>193</v>
      </c>
    </row>
    <row r="339" spans="1:11" x14ac:dyDescent="0.2">
      <c r="A339" t="s">
        <v>21</v>
      </c>
      <c r="B339" s="89">
        <v>1674</v>
      </c>
      <c r="C339" s="82">
        <v>1</v>
      </c>
      <c r="D339" s="83">
        <v>31925</v>
      </c>
      <c r="E339" s="84">
        <f t="shared" si="5"/>
        <v>1987</v>
      </c>
      <c r="F339" s="82" t="s">
        <v>22</v>
      </c>
      <c r="G339" s="82">
        <v>2</v>
      </c>
      <c r="H339" s="82">
        <v>9</v>
      </c>
      <c r="I339" s="82">
        <v>12.5</v>
      </c>
      <c r="J339" s="82">
        <v>9</v>
      </c>
      <c r="K339" s="89" t="s">
        <v>193</v>
      </c>
    </row>
    <row r="340" spans="1:11" x14ac:dyDescent="0.2">
      <c r="A340" t="s">
        <v>21</v>
      </c>
      <c r="B340" s="89">
        <v>1674</v>
      </c>
      <c r="C340" s="82">
        <v>1</v>
      </c>
      <c r="D340" s="83">
        <v>31925</v>
      </c>
      <c r="E340" s="84">
        <f t="shared" si="5"/>
        <v>1987</v>
      </c>
      <c r="F340" s="82" t="s">
        <v>22</v>
      </c>
      <c r="G340" s="82">
        <v>2</v>
      </c>
      <c r="H340" s="82">
        <v>10</v>
      </c>
      <c r="I340" s="82">
        <v>12.2</v>
      </c>
      <c r="J340" s="82">
        <v>9</v>
      </c>
      <c r="K340" s="89" t="s">
        <v>193</v>
      </c>
    </row>
    <row r="341" spans="1:11" x14ac:dyDescent="0.2">
      <c r="A341" t="s">
        <v>21</v>
      </c>
      <c r="B341" s="89">
        <v>1674</v>
      </c>
      <c r="C341" s="82">
        <v>1</v>
      </c>
      <c r="D341" s="83">
        <v>31925</v>
      </c>
      <c r="E341" s="84">
        <f t="shared" si="5"/>
        <v>1987</v>
      </c>
      <c r="F341" s="82" t="s">
        <v>22</v>
      </c>
      <c r="G341" s="82">
        <v>2</v>
      </c>
      <c r="H341" s="82">
        <v>11</v>
      </c>
      <c r="I341" s="82">
        <v>12.2</v>
      </c>
      <c r="J341" s="82">
        <v>9</v>
      </c>
      <c r="K341" s="89" t="s">
        <v>193</v>
      </c>
    </row>
    <row r="342" spans="1:11" x14ac:dyDescent="0.2">
      <c r="A342" t="s">
        <v>21</v>
      </c>
      <c r="B342" s="89">
        <v>1674</v>
      </c>
      <c r="C342" s="82">
        <v>1</v>
      </c>
      <c r="D342" s="83">
        <v>31925</v>
      </c>
      <c r="E342" s="84">
        <f t="shared" si="5"/>
        <v>1987</v>
      </c>
      <c r="F342" s="82" t="s">
        <v>22</v>
      </c>
      <c r="G342" s="82">
        <v>2</v>
      </c>
      <c r="H342" s="82">
        <v>12</v>
      </c>
      <c r="I342" s="82">
        <v>12</v>
      </c>
      <c r="J342" s="82">
        <v>8.5</v>
      </c>
      <c r="K342" s="89" t="s">
        <v>193</v>
      </c>
    </row>
    <row r="343" spans="1:11" x14ac:dyDescent="0.2">
      <c r="A343" t="s">
        <v>21</v>
      </c>
      <c r="B343" s="89">
        <v>1674</v>
      </c>
      <c r="C343" s="82">
        <v>1</v>
      </c>
      <c r="D343" s="83">
        <v>31925</v>
      </c>
      <c r="E343" s="84">
        <f t="shared" si="5"/>
        <v>1987</v>
      </c>
      <c r="F343" s="82" t="s">
        <v>22</v>
      </c>
      <c r="G343" s="82">
        <v>2</v>
      </c>
      <c r="H343" s="82">
        <v>12.5</v>
      </c>
      <c r="I343" s="82">
        <v>12</v>
      </c>
      <c r="J343" s="82">
        <v>7</v>
      </c>
      <c r="K343" s="89" t="s">
        <v>193</v>
      </c>
    </row>
    <row r="344" spans="1:11" x14ac:dyDescent="0.2">
      <c r="A344" t="s">
        <v>21</v>
      </c>
      <c r="B344" s="89">
        <v>1674</v>
      </c>
      <c r="C344" s="82">
        <v>1</v>
      </c>
      <c r="D344" s="83">
        <v>31937</v>
      </c>
      <c r="E344" s="84">
        <f t="shared" si="5"/>
        <v>1987</v>
      </c>
      <c r="F344" s="82" t="s">
        <v>22</v>
      </c>
      <c r="G344" s="82">
        <v>2</v>
      </c>
      <c r="H344" s="82">
        <v>0</v>
      </c>
      <c r="I344" s="82">
        <v>16.2</v>
      </c>
      <c r="J344" s="82">
        <v>9.4</v>
      </c>
      <c r="K344" s="89" t="s">
        <v>193</v>
      </c>
    </row>
    <row r="345" spans="1:11" x14ac:dyDescent="0.2">
      <c r="A345" t="s">
        <v>21</v>
      </c>
      <c r="B345" s="89">
        <v>1674</v>
      </c>
      <c r="C345" s="82">
        <v>1</v>
      </c>
      <c r="D345" s="83">
        <v>31937</v>
      </c>
      <c r="E345" s="84">
        <f t="shared" si="5"/>
        <v>1987</v>
      </c>
      <c r="F345" s="82" t="s">
        <v>22</v>
      </c>
      <c r="G345" s="82">
        <v>2</v>
      </c>
      <c r="H345" s="82">
        <v>1</v>
      </c>
      <c r="I345" s="82">
        <v>16.2</v>
      </c>
      <c r="J345" s="82">
        <v>9.4</v>
      </c>
      <c r="K345" s="89" t="s">
        <v>193</v>
      </c>
    </row>
    <row r="346" spans="1:11" x14ac:dyDescent="0.2">
      <c r="A346" t="s">
        <v>21</v>
      </c>
      <c r="B346" s="89">
        <v>1674</v>
      </c>
      <c r="C346" s="82">
        <v>1</v>
      </c>
      <c r="D346" s="83">
        <v>31937</v>
      </c>
      <c r="E346" s="84">
        <f t="shared" si="5"/>
        <v>1987</v>
      </c>
      <c r="F346" s="82" t="s">
        <v>22</v>
      </c>
      <c r="G346" s="82">
        <v>2</v>
      </c>
      <c r="H346" s="82">
        <v>2</v>
      </c>
      <c r="I346" s="82">
        <v>16.2</v>
      </c>
      <c r="J346" s="82">
        <v>9.3000000000000007</v>
      </c>
      <c r="K346" s="89" t="s">
        <v>193</v>
      </c>
    </row>
    <row r="347" spans="1:11" x14ac:dyDescent="0.2">
      <c r="A347" t="s">
        <v>21</v>
      </c>
      <c r="B347" s="89">
        <v>1674</v>
      </c>
      <c r="C347" s="82">
        <v>1</v>
      </c>
      <c r="D347" s="83">
        <v>31937</v>
      </c>
      <c r="E347" s="84">
        <f t="shared" si="5"/>
        <v>1987</v>
      </c>
      <c r="F347" s="82" t="s">
        <v>22</v>
      </c>
      <c r="G347" s="82">
        <v>2</v>
      </c>
      <c r="H347" s="82">
        <v>3</v>
      </c>
      <c r="I347" s="82">
        <v>16.2</v>
      </c>
      <c r="J347" s="82">
        <v>9.4</v>
      </c>
      <c r="K347" s="89" t="s">
        <v>193</v>
      </c>
    </row>
    <row r="348" spans="1:11" x14ac:dyDescent="0.2">
      <c r="A348" t="s">
        <v>21</v>
      </c>
      <c r="B348" s="89">
        <v>1674</v>
      </c>
      <c r="C348" s="82">
        <v>1</v>
      </c>
      <c r="D348" s="83">
        <v>31937</v>
      </c>
      <c r="E348" s="84">
        <f t="shared" si="5"/>
        <v>1987</v>
      </c>
      <c r="F348" s="82" t="s">
        <v>22</v>
      </c>
      <c r="G348" s="82">
        <v>2</v>
      </c>
      <c r="H348" s="82">
        <v>4</v>
      </c>
      <c r="I348" s="82">
        <v>16.2</v>
      </c>
      <c r="J348" s="82">
        <v>9.3000000000000007</v>
      </c>
      <c r="K348" s="89" t="s">
        <v>193</v>
      </c>
    </row>
    <row r="349" spans="1:11" x14ac:dyDescent="0.2">
      <c r="A349" t="s">
        <v>21</v>
      </c>
      <c r="B349" s="89">
        <v>1674</v>
      </c>
      <c r="C349" s="82">
        <v>1</v>
      </c>
      <c r="D349" s="83">
        <v>31937</v>
      </c>
      <c r="E349" s="84">
        <f t="shared" si="5"/>
        <v>1987</v>
      </c>
      <c r="F349" s="82" t="s">
        <v>22</v>
      </c>
      <c r="G349" s="82">
        <v>2</v>
      </c>
      <c r="H349" s="82">
        <v>5</v>
      </c>
      <c r="I349" s="82">
        <v>16.2</v>
      </c>
      <c r="J349" s="82">
        <v>9.3000000000000007</v>
      </c>
      <c r="K349" s="89" t="s">
        <v>193</v>
      </c>
    </row>
    <row r="350" spans="1:11" x14ac:dyDescent="0.2">
      <c r="A350" t="s">
        <v>21</v>
      </c>
      <c r="B350" s="89">
        <v>1674</v>
      </c>
      <c r="C350" s="82">
        <v>1</v>
      </c>
      <c r="D350" s="83">
        <v>31937</v>
      </c>
      <c r="E350" s="84">
        <f t="shared" si="5"/>
        <v>1987</v>
      </c>
      <c r="F350" s="82" t="s">
        <v>22</v>
      </c>
      <c r="G350" s="82">
        <v>2</v>
      </c>
      <c r="H350" s="82">
        <v>6</v>
      </c>
      <c r="I350" s="82">
        <v>16.100000000000001</v>
      </c>
      <c r="J350" s="82">
        <v>9.3000000000000007</v>
      </c>
      <c r="K350" s="89" t="s">
        <v>193</v>
      </c>
    </row>
    <row r="351" spans="1:11" x14ac:dyDescent="0.2">
      <c r="A351" t="s">
        <v>21</v>
      </c>
      <c r="B351" s="89">
        <v>1674</v>
      </c>
      <c r="C351" s="82">
        <v>1</v>
      </c>
      <c r="D351" s="83">
        <v>31937</v>
      </c>
      <c r="E351" s="84">
        <f t="shared" si="5"/>
        <v>1987</v>
      </c>
      <c r="F351" s="82" t="s">
        <v>22</v>
      </c>
      <c r="G351" s="82">
        <v>2</v>
      </c>
      <c r="H351" s="82">
        <v>7</v>
      </c>
      <c r="I351" s="82">
        <v>16</v>
      </c>
      <c r="J351" s="82">
        <v>9.1999999999999993</v>
      </c>
      <c r="K351" s="89" t="s">
        <v>193</v>
      </c>
    </row>
    <row r="352" spans="1:11" x14ac:dyDescent="0.2">
      <c r="A352" t="s">
        <v>21</v>
      </c>
      <c r="B352" s="89">
        <v>1674</v>
      </c>
      <c r="C352" s="82">
        <v>1</v>
      </c>
      <c r="D352" s="83">
        <v>31937</v>
      </c>
      <c r="E352" s="84">
        <f t="shared" si="5"/>
        <v>1987</v>
      </c>
      <c r="F352" s="82" t="s">
        <v>22</v>
      </c>
      <c r="G352" s="82">
        <v>2</v>
      </c>
      <c r="H352" s="82">
        <v>8</v>
      </c>
      <c r="I352" s="82">
        <v>15.9</v>
      </c>
      <c r="J352" s="82">
        <v>8.9</v>
      </c>
      <c r="K352" s="89" t="s">
        <v>193</v>
      </c>
    </row>
    <row r="353" spans="1:11" x14ac:dyDescent="0.2">
      <c r="A353" t="s">
        <v>21</v>
      </c>
      <c r="B353" s="89">
        <v>1674</v>
      </c>
      <c r="C353" s="82">
        <v>1</v>
      </c>
      <c r="D353" s="83">
        <v>31937</v>
      </c>
      <c r="E353" s="84">
        <f t="shared" si="5"/>
        <v>1987</v>
      </c>
      <c r="F353" s="82" t="s">
        <v>22</v>
      </c>
      <c r="G353" s="82">
        <v>2</v>
      </c>
      <c r="H353" s="82">
        <v>9</v>
      </c>
      <c r="I353" s="82">
        <v>15.7</v>
      </c>
      <c r="J353" s="82">
        <v>8.6</v>
      </c>
      <c r="K353" s="89" t="s">
        <v>193</v>
      </c>
    </row>
    <row r="354" spans="1:11" x14ac:dyDescent="0.2">
      <c r="A354" t="s">
        <v>21</v>
      </c>
      <c r="B354" s="89">
        <v>1674</v>
      </c>
      <c r="C354" s="82">
        <v>1</v>
      </c>
      <c r="D354" s="83">
        <v>31937</v>
      </c>
      <c r="E354" s="84">
        <f t="shared" si="5"/>
        <v>1987</v>
      </c>
      <c r="F354" s="82" t="s">
        <v>22</v>
      </c>
      <c r="G354" s="82">
        <v>2</v>
      </c>
      <c r="H354" s="82">
        <v>10</v>
      </c>
      <c r="I354" s="82">
        <v>15.3</v>
      </c>
      <c r="J354" s="82">
        <v>7.8</v>
      </c>
      <c r="K354" s="89" t="s">
        <v>193</v>
      </c>
    </row>
    <row r="355" spans="1:11" x14ac:dyDescent="0.2">
      <c r="A355" t="s">
        <v>21</v>
      </c>
      <c r="B355" s="89">
        <v>1674</v>
      </c>
      <c r="C355" s="82">
        <v>1</v>
      </c>
      <c r="D355" s="83">
        <v>31937</v>
      </c>
      <c r="E355" s="84">
        <f t="shared" si="5"/>
        <v>1987</v>
      </c>
      <c r="F355" s="82" t="s">
        <v>22</v>
      </c>
      <c r="G355" s="82">
        <v>2</v>
      </c>
      <c r="H355" s="82">
        <v>11</v>
      </c>
      <c r="I355" s="82">
        <v>15</v>
      </c>
      <c r="J355" s="82">
        <v>7.4</v>
      </c>
      <c r="K355" s="89" t="s">
        <v>193</v>
      </c>
    </row>
    <row r="356" spans="1:11" x14ac:dyDescent="0.2">
      <c r="A356" t="s">
        <v>21</v>
      </c>
      <c r="B356" s="89">
        <v>1674</v>
      </c>
      <c r="C356" s="82">
        <v>1</v>
      </c>
      <c r="D356" s="83">
        <v>31937</v>
      </c>
      <c r="E356" s="84">
        <f t="shared" si="5"/>
        <v>1987</v>
      </c>
      <c r="F356" s="82" t="s">
        <v>22</v>
      </c>
      <c r="G356" s="82">
        <v>2</v>
      </c>
      <c r="H356" s="82">
        <v>12</v>
      </c>
      <c r="I356" s="82">
        <v>14.6</v>
      </c>
      <c r="J356" s="82">
        <v>6.4</v>
      </c>
      <c r="K356" s="89" t="s">
        <v>193</v>
      </c>
    </row>
    <row r="357" spans="1:11" x14ac:dyDescent="0.2">
      <c r="A357" t="s">
        <v>21</v>
      </c>
      <c r="B357" s="89">
        <v>1674</v>
      </c>
      <c r="C357" s="82">
        <v>1</v>
      </c>
      <c r="D357" s="83">
        <v>31937</v>
      </c>
      <c r="E357" s="84">
        <f t="shared" si="5"/>
        <v>1987</v>
      </c>
      <c r="F357" s="82" t="s">
        <v>22</v>
      </c>
      <c r="G357" s="82">
        <v>2</v>
      </c>
      <c r="H357" s="82">
        <v>13</v>
      </c>
      <c r="I357" s="82">
        <v>13.3</v>
      </c>
      <c r="J357" s="82">
        <v>4.2</v>
      </c>
      <c r="K357" s="89" t="s">
        <v>193</v>
      </c>
    </row>
    <row r="358" spans="1:11" x14ac:dyDescent="0.2">
      <c r="A358" t="s">
        <v>21</v>
      </c>
      <c r="B358" s="89">
        <v>1674</v>
      </c>
      <c r="C358" s="82">
        <v>1</v>
      </c>
      <c r="D358" s="83">
        <v>31937</v>
      </c>
      <c r="E358" s="84">
        <f t="shared" si="5"/>
        <v>1987</v>
      </c>
      <c r="F358" s="82" t="s">
        <v>22</v>
      </c>
      <c r="G358" s="82">
        <v>2</v>
      </c>
      <c r="H358" s="82">
        <v>13.5</v>
      </c>
      <c r="I358" s="82">
        <v>12.8</v>
      </c>
      <c r="J358" s="82">
        <v>2.5</v>
      </c>
      <c r="K358" s="89" t="s">
        <v>193</v>
      </c>
    </row>
    <row r="359" spans="1:11" x14ac:dyDescent="0.2">
      <c r="A359" t="s">
        <v>21</v>
      </c>
      <c r="B359" s="89">
        <v>1674</v>
      </c>
      <c r="C359" s="82">
        <v>1</v>
      </c>
      <c r="D359" s="83">
        <v>31951</v>
      </c>
      <c r="E359" s="84">
        <f t="shared" si="5"/>
        <v>1987</v>
      </c>
      <c r="F359" s="82" t="s">
        <v>22</v>
      </c>
      <c r="G359" s="82">
        <v>2</v>
      </c>
      <c r="H359" s="82">
        <v>0</v>
      </c>
      <c r="I359" s="82">
        <v>20.8</v>
      </c>
      <c r="J359" s="82">
        <v>9.6</v>
      </c>
      <c r="K359" s="89" t="s">
        <v>193</v>
      </c>
    </row>
    <row r="360" spans="1:11" x14ac:dyDescent="0.2">
      <c r="A360" t="s">
        <v>21</v>
      </c>
      <c r="B360" s="89">
        <v>1674</v>
      </c>
      <c r="C360" s="82">
        <v>1</v>
      </c>
      <c r="D360" s="83">
        <v>31951</v>
      </c>
      <c r="E360" s="84">
        <f t="shared" si="5"/>
        <v>1987</v>
      </c>
      <c r="F360" s="82" t="s">
        <v>22</v>
      </c>
      <c r="G360" s="82">
        <v>2</v>
      </c>
      <c r="H360" s="82">
        <v>1</v>
      </c>
      <c r="I360" s="82">
        <v>20.8</v>
      </c>
      <c r="J360" s="82">
        <v>9.6999999999999993</v>
      </c>
      <c r="K360" s="89" t="s">
        <v>193</v>
      </c>
    </row>
    <row r="361" spans="1:11" x14ac:dyDescent="0.2">
      <c r="A361" t="s">
        <v>21</v>
      </c>
      <c r="B361" s="89">
        <v>1674</v>
      </c>
      <c r="C361" s="82">
        <v>1</v>
      </c>
      <c r="D361" s="83">
        <v>31951</v>
      </c>
      <c r="E361" s="84">
        <f t="shared" si="5"/>
        <v>1987</v>
      </c>
      <c r="F361" s="82" t="s">
        <v>22</v>
      </c>
      <c r="G361" s="82">
        <v>2</v>
      </c>
      <c r="H361" s="82">
        <v>2</v>
      </c>
      <c r="I361" s="82">
        <v>19.8</v>
      </c>
      <c r="J361" s="82">
        <v>10</v>
      </c>
      <c r="K361" s="89" t="s">
        <v>193</v>
      </c>
    </row>
    <row r="362" spans="1:11" x14ac:dyDescent="0.2">
      <c r="A362" t="s">
        <v>21</v>
      </c>
      <c r="B362" s="89">
        <v>1674</v>
      </c>
      <c r="C362" s="82">
        <v>1</v>
      </c>
      <c r="D362" s="83">
        <v>31951</v>
      </c>
      <c r="E362" s="84">
        <f t="shared" si="5"/>
        <v>1987</v>
      </c>
      <c r="F362" s="82" t="s">
        <v>22</v>
      </c>
      <c r="G362" s="82">
        <v>2</v>
      </c>
      <c r="H362" s="82">
        <v>3</v>
      </c>
      <c r="I362" s="82">
        <v>18.3</v>
      </c>
      <c r="J362" s="82">
        <v>9.6</v>
      </c>
      <c r="K362" s="89" t="s">
        <v>193</v>
      </c>
    </row>
    <row r="363" spans="1:11" x14ac:dyDescent="0.2">
      <c r="A363" t="s">
        <v>21</v>
      </c>
      <c r="B363" s="89">
        <v>1674</v>
      </c>
      <c r="C363" s="82">
        <v>1</v>
      </c>
      <c r="D363" s="83">
        <v>31951</v>
      </c>
      <c r="E363" s="84">
        <f t="shared" si="5"/>
        <v>1987</v>
      </c>
      <c r="F363" s="82" t="s">
        <v>22</v>
      </c>
      <c r="G363" s="82">
        <v>2</v>
      </c>
      <c r="H363" s="82">
        <v>4</v>
      </c>
      <c r="I363" s="82">
        <v>18.100000000000001</v>
      </c>
      <c r="J363" s="82">
        <v>9.1999999999999993</v>
      </c>
      <c r="K363" s="89" t="s">
        <v>193</v>
      </c>
    </row>
    <row r="364" spans="1:11" x14ac:dyDescent="0.2">
      <c r="A364" t="s">
        <v>21</v>
      </c>
      <c r="B364" s="89">
        <v>1674</v>
      </c>
      <c r="C364" s="82">
        <v>1</v>
      </c>
      <c r="D364" s="83">
        <v>31951</v>
      </c>
      <c r="E364" s="84">
        <f t="shared" si="5"/>
        <v>1987</v>
      </c>
      <c r="F364" s="82" t="s">
        <v>22</v>
      </c>
      <c r="G364" s="82">
        <v>2</v>
      </c>
      <c r="H364" s="82">
        <v>5</v>
      </c>
      <c r="I364" s="82">
        <v>17.899999999999999</v>
      </c>
      <c r="J364" s="82">
        <v>8.6</v>
      </c>
      <c r="K364" s="89" t="s">
        <v>193</v>
      </c>
    </row>
    <row r="365" spans="1:11" x14ac:dyDescent="0.2">
      <c r="A365" t="s">
        <v>21</v>
      </c>
      <c r="B365" s="89">
        <v>1674</v>
      </c>
      <c r="C365" s="82">
        <v>1</v>
      </c>
      <c r="D365" s="83">
        <v>31951</v>
      </c>
      <c r="E365" s="84">
        <f t="shared" si="5"/>
        <v>1987</v>
      </c>
      <c r="F365" s="82" t="s">
        <v>22</v>
      </c>
      <c r="G365" s="82">
        <v>2</v>
      </c>
      <c r="H365" s="82">
        <v>6</v>
      </c>
      <c r="I365" s="82">
        <v>17.600000000000001</v>
      </c>
      <c r="J365" s="82">
        <v>8.3000000000000007</v>
      </c>
      <c r="K365" s="89" t="s">
        <v>193</v>
      </c>
    </row>
    <row r="366" spans="1:11" x14ac:dyDescent="0.2">
      <c r="A366" t="s">
        <v>21</v>
      </c>
      <c r="B366" s="89">
        <v>1674</v>
      </c>
      <c r="C366" s="82">
        <v>1</v>
      </c>
      <c r="D366" s="83">
        <v>31951</v>
      </c>
      <c r="E366" s="84">
        <f t="shared" si="5"/>
        <v>1987</v>
      </c>
      <c r="F366" s="82" t="s">
        <v>22</v>
      </c>
      <c r="G366" s="82">
        <v>2</v>
      </c>
      <c r="H366" s="82">
        <v>7</v>
      </c>
      <c r="I366" s="82">
        <v>17.5</v>
      </c>
      <c r="J366" s="82">
        <v>8.1</v>
      </c>
      <c r="K366" s="89" t="s">
        <v>193</v>
      </c>
    </row>
    <row r="367" spans="1:11" x14ac:dyDescent="0.2">
      <c r="A367" t="s">
        <v>21</v>
      </c>
      <c r="B367" s="89">
        <v>1674</v>
      </c>
      <c r="C367" s="82">
        <v>1</v>
      </c>
      <c r="D367" s="83">
        <v>31951</v>
      </c>
      <c r="E367" s="84">
        <f t="shared" si="5"/>
        <v>1987</v>
      </c>
      <c r="F367" s="82" t="s">
        <v>22</v>
      </c>
      <c r="G367" s="82">
        <v>2</v>
      </c>
      <c r="H367" s="82">
        <v>8</v>
      </c>
      <c r="I367" s="82">
        <v>17.399999999999999</v>
      </c>
      <c r="J367" s="82">
        <v>7.8</v>
      </c>
      <c r="K367" s="89" t="s">
        <v>193</v>
      </c>
    </row>
    <row r="368" spans="1:11" x14ac:dyDescent="0.2">
      <c r="A368" t="s">
        <v>21</v>
      </c>
      <c r="B368" s="89">
        <v>1674</v>
      </c>
      <c r="C368" s="82">
        <v>1</v>
      </c>
      <c r="D368" s="83">
        <v>31951</v>
      </c>
      <c r="E368" s="84">
        <f t="shared" si="5"/>
        <v>1987</v>
      </c>
      <c r="F368" s="82" t="s">
        <v>22</v>
      </c>
      <c r="G368" s="82">
        <v>2</v>
      </c>
      <c r="H368" s="82">
        <v>9</v>
      </c>
      <c r="I368" s="82">
        <v>17.2</v>
      </c>
      <c r="J368" s="82">
        <v>7.7</v>
      </c>
      <c r="K368" s="89" t="s">
        <v>193</v>
      </c>
    </row>
    <row r="369" spans="1:11" x14ac:dyDescent="0.2">
      <c r="A369" t="s">
        <v>21</v>
      </c>
      <c r="B369" s="89">
        <v>1674</v>
      </c>
      <c r="C369" s="82">
        <v>1</v>
      </c>
      <c r="D369" s="83">
        <v>31951</v>
      </c>
      <c r="E369" s="84">
        <f t="shared" si="5"/>
        <v>1987</v>
      </c>
      <c r="F369" s="82" t="s">
        <v>22</v>
      </c>
      <c r="G369" s="82">
        <v>2</v>
      </c>
      <c r="H369" s="82">
        <v>10</v>
      </c>
      <c r="I369" s="82">
        <v>17.2</v>
      </c>
      <c r="J369" s="82">
        <v>7.3</v>
      </c>
      <c r="K369" s="89" t="s">
        <v>193</v>
      </c>
    </row>
    <row r="370" spans="1:11" x14ac:dyDescent="0.2">
      <c r="A370" t="s">
        <v>21</v>
      </c>
      <c r="B370" s="89">
        <v>1674</v>
      </c>
      <c r="C370" s="82">
        <v>1</v>
      </c>
      <c r="D370" s="83">
        <v>31951</v>
      </c>
      <c r="E370" s="84">
        <f t="shared" si="5"/>
        <v>1987</v>
      </c>
      <c r="F370" s="82" t="s">
        <v>22</v>
      </c>
      <c r="G370" s="82">
        <v>2</v>
      </c>
      <c r="H370" s="82">
        <v>11</v>
      </c>
      <c r="I370" s="82">
        <v>17</v>
      </c>
      <c r="J370" s="82">
        <v>6.8</v>
      </c>
      <c r="K370" s="89" t="s">
        <v>193</v>
      </c>
    </row>
    <row r="371" spans="1:11" x14ac:dyDescent="0.2">
      <c r="A371" t="s">
        <v>21</v>
      </c>
      <c r="B371" s="89">
        <v>1674</v>
      </c>
      <c r="C371" s="82">
        <v>1</v>
      </c>
      <c r="D371" s="83">
        <v>31951</v>
      </c>
      <c r="E371" s="84">
        <f t="shared" si="5"/>
        <v>1987</v>
      </c>
      <c r="F371" s="82" t="s">
        <v>22</v>
      </c>
      <c r="G371" s="82">
        <v>2</v>
      </c>
      <c r="H371" s="82">
        <v>12</v>
      </c>
      <c r="I371" s="82">
        <v>16.899999999999999</v>
      </c>
      <c r="J371" s="82">
        <v>5.9</v>
      </c>
      <c r="K371" s="89" t="s">
        <v>193</v>
      </c>
    </row>
    <row r="372" spans="1:11" x14ac:dyDescent="0.2">
      <c r="A372" t="s">
        <v>21</v>
      </c>
      <c r="B372" s="89">
        <v>1674</v>
      </c>
      <c r="C372" s="82">
        <v>1</v>
      </c>
      <c r="D372" s="83">
        <v>31951</v>
      </c>
      <c r="E372" s="84">
        <f t="shared" si="5"/>
        <v>1987</v>
      </c>
      <c r="F372" s="82" t="s">
        <v>22</v>
      </c>
      <c r="G372" s="82">
        <v>2</v>
      </c>
      <c r="H372" s="82">
        <v>13</v>
      </c>
      <c r="I372" s="82">
        <v>16.899999999999999</v>
      </c>
      <c r="J372" s="82">
        <v>5.8</v>
      </c>
      <c r="K372" s="89" t="s">
        <v>193</v>
      </c>
    </row>
    <row r="373" spans="1:11" x14ac:dyDescent="0.2">
      <c r="A373" t="s">
        <v>21</v>
      </c>
      <c r="B373" s="89">
        <v>1674</v>
      </c>
      <c r="C373" s="82">
        <v>1</v>
      </c>
      <c r="D373" s="83">
        <v>31951</v>
      </c>
      <c r="E373" s="84">
        <f t="shared" si="5"/>
        <v>1987</v>
      </c>
      <c r="F373" s="82" t="s">
        <v>22</v>
      </c>
      <c r="G373" s="82">
        <v>2</v>
      </c>
      <c r="H373" s="82">
        <v>14</v>
      </c>
      <c r="I373" s="82">
        <v>16.7</v>
      </c>
      <c r="J373" s="82">
        <v>3.1</v>
      </c>
      <c r="K373" s="89" t="s">
        <v>193</v>
      </c>
    </row>
    <row r="374" spans="1:11" x14ac:dyDescent="0.2">
      <c r="A374" t="s">
        <v>21</v>
      </c>
      <c r="B374" s="89">
        <v>1674</v>
      </c>
      <c r="C374" s="82">
        <v>1</v>
      </c>
      <c r="D374" s="83">
        <v>31972</v>
      </c>
      <c r="E374" s="84">
        <f t="shared" si="5"/>
        <v>1987</v>
      </c>
      <c r="F374" s="82" t="s">
        <v>22</v>
      </c>
      <c r="G374" s="82">
        <v>2</v>
      </c>
      <c r="H374" s="82">
        <v>0</v>
      </c>
      <c r="I374" s="82">
        <v>23</v>
      </c>
      <c r="J374" s="82">
        <v>8.8000000000000007</v>
      </c>
      <c r="K374" s="89" t="s">
        <v>193</v>
      </c>
    </row>
    <row r="375" spans="1:11" x14ac:dyDescent="0.2">
      <c r="A375" t="s">
        <v>21</v>
      </c>
      <c r="B375" s="89">
        <v>1674</v>
      </c>
      <c r="C375" s="82">
        <v>1</v>
      </c>
      <c r="D375" s="83">
        <v>31972</v>
      </c>
      <c r="E375" s="84">
        <f t="shared" si="5"/>
        <v>1987</v>
      </c>
      <c r="F375" s="82" t="s">
        <v>22</v>
      </c>
      <c r="G375" s="82">
        <v>2</v>
      </c>
      <c r="H375" s="82">
        <v>1</v>
      </c>
      <c r="I375" s="82">
        <v>23</v>
      </c>
      <c r="J375" s="82">
        <v>8.9</v>
      </c>
      <c r="K375" s="89" t="s">
        <v>193</v>
      </c>
    </row>
    <row r="376" spans="1:11" x14ac:dyDescent="0.2">
      <c r="A376" t="s">
        <v>21</v>
      </c>
      <c r="B376" s="89">
        <v>1674</v>
      </c>
      <c r="C376" s="82">
        <v>1</v>
      </c>
      <c r="D376" s="83">
        <v>31972</v>
      </c>
      <c r="E376" s="84">
        <f t="shared" si="5"/>
        <v>1987</v>
      </c>
      <c r="F376" s="82" t="s">
        <v>22</v>
      </c>
      <c r="G376" s="82">
        <v>2</v>
      </c>
      <c r="H376" s="82">
        <v>2</v>
      </c>
      <c r="I376" s="82">
        <v>22.8</v>
      </c>
      <c r="J376" s="82">
        <v>8.9</v>
      </c>
      <c r="K376" s="89" t="s">
        <v>193</v>
      </c>
    </row>
    <row r="377" spans="1:11" x14ac:dyDescent="0.2">
      <c r="A377" t="s">
        <v>21</v>
      </c>
      <c r="B377" s="89">
        <v>1674</v>
      </c>
      <c r="C377" s="82">
        <v>1</v>
      </c>
      <c r="D377" s="83">
        <v>31972</v>
      </c>
      <c r="E377" s="84">
        <f t="shared" si="5"/>
        <v>1987</v>
      </c>
      <c r="F377" s="82" t="s">
        <v>22</v>
      </c>
      <c r="G377" s="82">
        <v>2</v>
      </c>
      <c r="H377" s="82">
        <v>3</v>
      </c>
      <c r="I377" s="82">
        <v>22.5</v>
      </c>
      <c r="J377" s="82">
        <v>8.6999999999999993</v>
      </c>
      <c r="K377" s="89" t="s">
        <v>193</v>
      </c>
    </row>
    <row r="378" spans="1:11" x14ac:dyDescent="0.2">
      <c r="A378" t="s">
        <v>21</v>
      </c>
      <c r="B378" s="89">
        <v>1674</v>
      </c>
      <c r="C378" s="82">
        <v>1</v>
      </c>
      <c r="D378" s="83">
        <v>31972</v>
      </c>
      <c r="E378" s="84">
        <f t="shared" si="5"/>
        <v>1987</v>
      </c>
      <c r="F378" s="82" t="s">
        <v>22</v>
      </c>
      <c r="G378" s="82">
        <v>2</v>
      </c>
      <c r="H378" s="82">
        <v>4</v>
      </c>
      <c r="I378" s="82">
        <v>21.6</v>
      </c>
      <c r="J378" s="82">
        <v>8.1999999999999993</v>
      </c>
      <c r="K378" s="89" t="s">
        <v>193</v>
      </c>
    </row>
    <row r="379" spans="1:11" x14ac:dyDescent="0.2">
      <c r="A379" t="s">
        <v>21</v>
      </c>
      <c r="B379" s="89">
        <v>1674</v>
      </c>
      <c r="C379" s="82">
        <v>1</v>
      </c>
      <c r="D379" s="83">
        <v>31972</v>
      </c>
      <c r="E379" s="84">
        <f t="shared" si="5"/>
        <v>1987</v>
      </c>
      <c r="F379" s="82" t="s">
        <v>22</v>
      </c>
      <c r="G379" s="82">
        <v>2</v>
      </c>
      <c r="H379" s="82">
        <v>5</v>
      </c>
      <c r="I379" s="82">
        <v>20.5</v>
      </c>
      <c r="J379" s="82">
        <v>7.9</v>
      </c>
      <c r="K379" s="89" t="s">
        <v>193</v>
      </c>
    </row>
    <row r="380" spans="1:11" x14ac:dyDescent="0.2">
      <c r="A380" t="s">
        <v>21</v>
      </c>
      <c r="B380" s="89">
        <v>1674</v>
      </c>
      <c r="C380" s="82">
        <v>1</v>
      </c>
      <c r="D380" s="83">
        <v>31972</v>
      </c>
      <c r="E380" s="84">
        <f t="shared" si="5"/>
        <v>1987</v>
      </c>
      <c r="F380" s="82" t="s">
        <v>22</v>
      </c>
      <c r="G380" s="82">
        <v>2</v>
      </c>
      <c r="H380" s="82">
        <v>6</v>
      </c>
      <c r="I380" s="82">
        <v>19.899999999999999</v>
      </c>
      <c r="J380" s="82">
        <v>6.7</v>
      </c>
      <c r="K380" s="89" t="s">
        <v>193</v>
      </c>
    </row>
    <row r="381" spans="1:11" x14ac:dyDescent="0.2">
      <c r="A381" t="s">
        <v>21</v>
      </c>
      <c r="B381" s="89">
        <v>1674</v>
      </c>
      <c r="C381" s="82">
        <v>1</v>
      </c>
      <c r="D381" s="83">
        <v>31972</v>
      </c>
      <c r="E381" s="84">
        <f t="shared" si="5"/>
        <v>1987</v>
      </c>
      <c r="F381" s="82" t="s">
        <v>22</v>
      </c>
      <c r="G381" s="82">
        <v>2</v>
      </c>
      <c r="H381" s="82">
        <v>7</v>
      </c>
      <c r="I381" s="82">
        <v>19</v>
      </c>
      <c r="J381" s="82">
        <v>5.6</v>
      </c>
      <c r="K381" s="89" t="s">
        <v>193</v>
      </c>
    </row>
    <row r="382" spans="1:11" x14ac:dyDescent="0.2">
      <c r="A382" t="s">
        <v>21</v>
      </c>
      <c r="B382" s="89">
        <v>1674</v>
      </c>
      <c r="C382" s="82">
        <v>1</v>
      </c>
      <c r="D382" s="83">
        <v>31972</v>
      </c>
      <c r="E382" s="84">
        <f t="shared" si="5"/>
        <v>1987</v>
      </c>
      <c r="F382" s="82" t="s">
        <v>22</v>
      </c>
      <c r="G382" s="82">
        <v>2</v>
      </c>
      <c r="H382" s="82">
        <v>8</v>
      </c>
      <c r="I382" s="82">
        <v>18.3</v>
      </c>
      <c r="J382" s="82">
        <v>4.5</v>
      </c>
      <c r="K382" s="89" t="s">
        <v>193</v>
      </c>
    </row>
    <row r="383" spans="1:11" x14ac:dyDescent="0.2">
      <c r="A383" t="s">
        <v>21</v>
      </c>
      <c r="B383" s="89">
        <v>1674</v>
      </c>
      <c r="C383" s="82">
        <v>1</v>
      </c>
      <c r="D383" s="83">
        <v>31972</v>
      </c>
      <c r="E383" s="84">
        <f t="shared" si="5"/>
        <v>1987</v>
      </c>
      <c r="F383" s="82" t="s">
        <v>22</v>
      </c>
      <c r="G383" s="82">
        <v>2</v>
      </c>
      <c r="H383" s="82">
        <v>9</v>
      </c>
      <c r="I383" s="82">
        <v>18.100000000000001</v>
      </c>
      <c r="J383" s="82">
        <v>3.8</v>
      </c>
      <c r="K383" s="89" t="s">
        <v>193</v>
      </c>
    </row>
    <row r="384" spans="1:11" x14ac:dyDescent="0.2">
      <c r="A384" t="s">
        <v>21</v>
      </c>
      <c r="B384" s="89">
        <v>1674</v>
      </c>
      <c r="C384" s="82">
        <v>1</v>
      </c>
      <c r="D384" s="83">
        <v>31972</v>
      </c>
      <c r="E384" s="84">
        <f t="shared" si="5"/>
        <v>1987</v>
      </c>
      <c r="F384" s="82" t="s">
        <v>22</v>
      </c>
      <c r="G384" s="82">
        <v>2</v>
      </c>
      <c r="H384" s="82">
        <v>10</v>
      </c>
      <c r="I384" s="82">
        <v>18</v>
      </c>
      <c r="J384" s="82">
        <v>2.9</v>
      </c>
      <c r="K384" s="89" t="s">
        <v>193</v>
      </c>
    </row>
    <row r="385" spans="1:11" x14ac:dyDescent="0.2">
      <c r="A385" t="s">
        <v>21</v>
      </c>
      <c r="B385" s="89">
        <v>1674</v>
      </c>
      <c r="C385" s="82">
        <v>1</v>
      </c>
      <c r="D385" s="83">
        <v>31972</v>
      </c>
      <c r="E385" s="84">
        <f t="shared" si="5"/>
        <v>1987</v>
      </c>
      <c r="F385" s="82" t="s">
        <v>22</v>
      </c>
      <c r="G385" s="82">
        <v>2</v>
      </c>
      <c r="H385" s="82">
        <v>11</v>
      </c>
      <c r="I385" s="82">
        <v>17.8</v>
      </c>
      <c r="J385" s="82">
        <v>2.4</v>
      </c>
      <c r="K385" s="89" t="s">
        <v>193</v>
      </c>
    </row>
    <row r="386" spans="1:11" x14ac:dyDescent="0.2">
      <c r="A386" t="s">
        <v>21</v>
      </c>
      <c r="B386" s="89">
        <v>1674</v>
      </c>
      <c r="C386" s="82">
        <v>1</v>
      </c>
      <c r="D386" s="83">
        <v>31972</v>
      </c>
      <c r="E386" s="84">
        <f t="shared" ref="E386:E449" si="6">YEAR(D386)</f>
        <v>1987</v>
      </c>
      <c r="F386" s="82" t="s">
        <v>22</v>
      </c>
      <c r="G386" s="82">
        <v>2</v>
      </c>
      <c r="H386" s="82">
        <v>12</v>
      </c>
      <c r="I386" s="82">
        <v>17.600000000000001</v>
      </c>
      <c r="J386" s="82">
        <v>1.8</v>
      </c>
      <c r="K386" s="89" t="s">
        <v>193</v>
      </c>
    </row>
    <row r="387" spans="1:11" x14ac:dyDescent="0.2">
      <c r="A387" t="s">
        <v>21</v>
      </c>
      <c r="B387" s="89">
        <v>1674</v>
      </c>
      <c r="C387" s="82">
        <v>1</v>
      </c>
      <c r="D387" s="83">
        <v>31972</v>
      </c>
      <c r="E387" s="84">
        <f t="shared" si="6"/>
        <v>1987</v>
      </c>
      <c r="F387" s="82" t="s">
        <v>22</v>
      </c>
      <c r="G387" s="82">
        <v>2</v>
      </c>
      <c r="H387" s="82">
        <v>13</v>
      </c>
      <c r="I387" s="82">
        <v>17.5</v>
      </c>
      <c r="J387" s="82">
        <v>1.5</v>
      </c>
      <c r="K387" s="89" t="s">
        <v>193</v>
      </c>
    </row>
    <row r="388" spans="1:11" x14ac:dyDescent="0.2">
      <c r="A388" t="s">
        <v>21</v>
      </c>
      <c r="B388" s="89">
        <v>1674</v>
      </c>
      <c r="C388" s="82">
        <v>1</v>
      </c>
      <c r="D388" s="83">
        <v>31987</v>
      </c>
      <c r="E388" s="84">
        <f t="shared" si="6"/>
        <v>1987</v>
      </c>
      <c r="F388" s="82" t="s">
        <v>22</v>
      </c>
      <c r="G388" s="82">
        <v>2</v>
      </c>
      <c r="H388" s="82">
        <v>0</v>
      </c>
      <c r="I388" s="82">
        <v>21</v>
      </c>
      <c r="J388" s="82">
        <v>9</v>
      </c>
      <c r="K388" s="89" t="s">
        <v>193</v>
      </c>
    </row>
    <row r="389" spans="1:11" x14ac:dyDescent="0.2">
      <c r="A389" t="s">
        <v>21</v>
      </c>
      <c r="B389" s="89">
        <v>1674</v>
      </c>
      <c r="C389" s="82">
        <v>1</v>
      </c>
      <c r="D389" s="83">
        <v>31987</v>
      </c>
      <c r="E389" s="84">
        <f t="shared" si="6"/>
        <v>1987</v>
      </c>
      <c r="F389" s="82" t="s">
        <v>22</v>
      </c>
      <c r="G389" s="82">
        <v>2</v>
      </c>
      <c r="H389" s="82">
        <v>1</v>
      </c>
      <c r="I389" s="82">
        <v>21</v>
      </c>
      <c r="J389" s="82">
        <v>8.9</v>
      </c>
      <c r="K389" s="89" t="s">
        <v>193</v>
      </c>
    </row>
    <row r="390" spans="1:11" x14ac:dyDescent="0.2">
      <c r="A390" t="s">
        <v>21</v>
      </c>
      <c r="B390" s="89">
        <v>1674</v>
      </c>
      <c r="C390" s="82">
        <v>1</v>
      </c>
      <c r="D390" s="83">
        <v>31987</v>
      </c>
      <c r="E390" s="84">
        <f t="shared" si="6"/>
        <v>1987</v>
      </c>
      <c r="F390" s="82" t="s">
        <v>22</v>
      </c>
      <c r="G390" s="82">
        <v>2</v>
      </c>
      <c r="H390" s="82">
        <v>2</v>
      </c>
      <c r="I390" s="82">
        <v>21</v>
      </c>
      <c r="J390" s="82">
        <v>8.9</v>
      </c>
      <c r="K390" s="89" t="s">
        <v>193</v>
      </c>
    </row>
    <row r="391" spans="1:11" x14ac:dyDescent="0.2">
      <c r="A391" t="s">
        <v>21</v>
      </c>
      <c r="B391" s="89">
        <v>1674</v>
      </c>
      <c r="C391" s="82">
        <v>1</v>
      </c>
      <c r="D391" s="83">
        <v>31987</v>
      </c>
      <c r="E391" s="84">
        <f t="shared" si="6"/>
        <v>1987</v>
      </c>
      <c r="F391" s="82" t="s">
        <v>22</v>
      </c>
      <c r="G391" s="82">
        <v>2</v>
      </c>
      <c r="H391" s="82">
        <v>3</v>
      </c>
      <c r="I391" s="82">
        <v>21</v>
      </c>
      <c r="J391" s="82">
        <v>8.8000000000000007</v>
      </c>
      <c r="K391" s="89" t="s">
        <v>193</v>
      </c>
    </row>
    <row r="392" spans="1:11" x14ac:dyDescent="0.2">
      <c r="A392" t="s">
        <v>21</v>
      </c>
      <c r="B392" s="89">
        <v>1674</v>
      </c>
      <c r="C392" s="82">
        <v>1</v>
      </c>
      <c r="D392" s="83">
        <v>31987</v>
      </c>
      <c r="E392" s="84">
        <f t="shared" si="6"/>
        <v>1987</v>
      </c>
      <c r="F392" s="82" t="s">
        <v>22</v>
      </c>
      <c r="G392" s="82">
        <v>2</v>
      </c>
      <c r="H392" s="82">
        <v>4</v>
      </c>
      <c r="I392" s="82">
        <v>21</v>
      </c>
      <c r="J392" s="82">
        <v>8.8000000000000007</v>
      </c>
      <c r="K392" s="89" t="s">
        <v>193</v>
      </c>
    </row>
    <row r="393" spans="1:11" x14ac:dyDescent="0.2">
      <c r="A393" t="s">
        <v>21</v>
      </c>
      <c r="B393" s="89">
        <v>1674</v>
      </c>
      <c r="C393" s="82">
        <v>1</v>
      </c>
      <c r="D393" s="83">
        <v>31987</v>
      </c>
      <c r="E393" s="84">
        <f t="shared" si="6"/>
        <v>1987</v>
      </c>
      <c r="F393" s="82" t="s">
        <v>22</v>
      </c>
      <c r="G393" s="82">
        <v>2</v>
      </c>
      <c r="H393" s="82">
        <v>5</v>
      </c>
      <c r="I393" s="82">
        <v>21</v>
      </c>
      <c r="J393" s="82">
        <v>8.8000000000000007</v>
      </c>
      <c r="K393" s="89" t="s">
        <v>193</v>
      </c>
    </row>
    <row r="394" spans="1:11" x14ac:dyDescent="0.2">
      <c r="A394" t="s">
        <v>21</v>
      </c>
      <c r="B394" s="89">
        <v>1674</v>
      </c>
      <c r="C394" s="82">
        <v>1</v>
      </c>
      <c r="D394" s="83">
        <v>31987</v>
      </c>
      <c r="E394" s="84">
        <f t="shared" si="6"/>
        <v>1987</v>
      </c>
      <c r="F394" s="82" t="s">
        <v>22</v>
      </c>
      <c r="G394" s="82">
        <v>2</v>
      </c>
      <c r="H394" s="82">
        <v>6</v>
      </c>
      <c r="I394" s="82">
        <v>21</v>
      </c>
      <c r="J394" s="82">
        <v>8.6999999999999993</v>
      </c>
      <c r="K394" s="89" t="s">
        <v>193</v>
      </c>
    </row>
    <row r="395" spans="1:11" x14ac:dyDescent="0.2">
      <c r="A395" t="s">
        <v>21</v>
      </c>
      <c r="B395" s="89">
        <v>1674</v>
      </c>
      <c r="C395" s="82">
        <v>1</v>
      </c>
      <c r="D395" s="83">
        <v>31987</v>
      </c>
      <c r="E395" s="84">
        <f t="shared" si="6"/>
        <v>1987</v>
      </c>
      <c r="F395" s="82" t="s">
        <v>22</v>
      </c>
      <c r="G395" s="82">
        <v>2</v>
      </c>
      <c r="H395" s="82">
        <v>7</v>
      </c>
      <c r="I395" s="82">
        <v>21</v>
      </c>
      <c r="J395" s="82">
        <v>8.6999999999999993</v>
      </c>
      <c r="K395" s="89" t="s">
        <v>193</v>
      </c>
    </row>
    <row r="396" spans="1:11" x14ac:dyDescent="0.2">
      <c r="A396" t="s">
        <v>21</v>
      </c>
      <c r="B396" s="89">
        <v>1674</v>
      </c>
      <c r="C396" s="82">
        <v>1</v>
      </c>
      <c r="D396" s="83">
        <v>31987</v>
      </c>
      <c r="E396" s="84">
        <f t="shared" si="6"/>
        <v>1987</v>
      </c>
      <c r="F396" s="82" t="s">
        <v>22</v>
      </c>
      <c r="G396" s="82">
        <v>2</v>
      </c>
      <c r="H396" s="82">
        <v>8</v>
      </c>
      <c r="I396" s="82">
        <v>20.5</v>
      </c>
      <c r="J396" s="82">
        <v>4.9000000000000004</v>
      </c>
      <c r="K396" s="89" t="s">
        <v>193</v>
      </c>
    </row>
    <row r="397" spans="1:11" x14ac:dyDescent="0.2">
      <c r="A397" t="s">
        <v>21</v>
      </c>
      <c r="B397" s="89">
        <v>1674</v>
      </c>
      <c r="C397" s="82">
        <v>1</v>
      </c>
      <c r="D397" s="83">
        <v>31987</v>
      </c>
      <c r="E397" s="84">
        <f t="shared" si="6"/>
        <v>1987</v>
      </c>
      <c r="F397" s="82" t="s">
        <v>22</v>
      </c>
      <c r="G397" s="82">
        <v>2</v>
      </c>
      <c r="H397" s="82">
        <v>9</v>
      </c>
      <c r="I397" s="82">
        <v>20</v>
      </c>
      <c r="J397" s="82">
        <v>5.8</v>
      </c>
      <c r="K397" s="89" t="s">
        <v>193</v>
      </c>
    </row>
    <row r="398" spans="1:11" x14ac:dyDescent="0.2">
      <c r="A398" t="s">
        <v>21</v>
      </c>
      <c r="B398" s="89">
        <v>1674</v>
      </c>
      <c r="C398" s="82">
        <v>1</v>
      </c>
      <c r="D398" s="83">
        <v>31987</v>
      </c>
      <c r="E398" s="84">
        <f t="shared" si="6"/>
        <v>1987</v>
      </c>
      <c r="F398" s="82" t="s">
        <v>22</v>
      </c>
      <c r="G398" s="82">
        <v>2</v>
      </c>
      <c r="H398" s="82">
        <v>10</v>
      </c>
      <c r="I398" s="82">
        <v>19.899999999999999</v>
      </c>
      <c r="J398" s="82">
        <v>4.7</v>
      </c>
      <c r="K398" s="89" t="s">
        <v>193</v>
      </c>
    </row>
    <row r="399" spans="1:11" x14ac:dyDescent="0.2">
      <c r="A399" t="s">
        <v>21</v>
      </c>
      <c r="B399" s="89">
        <v>1674</v>
      </c>
      <c r="C399" s="82">
        <v>1</v>
      </c>
      <c r="D399" s="83">
        <v>31987</v>
      </c>
      <c r="E399" s="84">
        <f t="shared" si="6"/>
        <v>1987</v>
      </c>
      <c r="F399" s="82" t="s">
        <v>22</v>
      </c>
      <c r="G399" s="82">
        <v>2</v>
      </c>
      <c r="H399" s="82">
        <v>11</v>
      </c>
      <c r="I399" s="82">
        <v>18.5</v>
      </c>
      <c r="J399" s="82">
        <v>0.3</v>
      </c>
      <c r="K399" s="89" t="s">
        <v>193</v>
      </c>
    </row>
    <row r="400" spans="1:11" x14ac:dyDescent="0.2">
      <c r="A400" t="s">
        <v>21</v>
      </c>
      <c r="B400" s="89">
        <v>1674</v>
      </c>
      <c r="C400" s="82">
        <v>1</v>
      </c>
      <c r="D400" s="83">
        <v>31987</v>
      </c>
      <c r="E400" s="84">
        <f t="shared" si="6"/>
        <v>1987</v>
      </c>
      <c r="F400" s="82" t="s">
        <v>22</v>
      </c>
      <c r="G400" s="82">
        <v>2</v>
      </c>
      <c r="H400" s="82">
        <v>12</v>
      </c>
      <c r="I400" s="82">
        <v>18</v>
      </c>
      <c r="J400" s="82">
        <v>0.2</v>
      </c>
      <c r="K400" s="89" t="s">
        <v>193</v>
      </c>
    </row>
    <row r="401" spans="1:11" x14ac:dyDescent="0.2">
      <c r="A401" t="s">
        <v>21</v>
      </c>
      <c r="B401" s="89">
        <v>1674</v>
      </c>
      <c r="C401" s="82">
        <v>1</v>
      </c>
      <c r="D401" s="83">
        <v>31987</v>
      </c>
      <c r="E401" s="84">
        <f t="shared" si="6"/>
        <v>1987</v>
      </c>
      <c r="F401" s="82" t="s">
        <v>22</v>
      </c>
      <c r="G401" s="82">
        <v>2</v>
      </c>
      <c r="H401" s="82">
        <v>13</v>
      </c>
      <c r="I401" s="82">
        <v>17.2</v>
      </c>
      <c r="J401" s="82">
        <v>0.2</v>
      </c>
      <c r="K401" s="89" t="s">
        <v>193</v>
      </c>
    </row>
    <row r="402" spans="1:11" x14ac:dyDescent="0.2">
      <c r="A402" t="s">
        <v>21</v>
      </c>
      <c r="B402" s="89">
        <v>1674</v>
      </c>
      <c r="C402" s="82">
        <v>1</v>
      </c>
      <c r="D402" s="83">
        <v>32002</v>
      </c>
      <c r="E402" s="84">
        <f t="shared" si="6"/>
        <v>1987</v>
      </c>
      <c r="F402" s="82" t="s">
        <v>22</v>
      </c>
      <c r="G402" s="82">
        <v>2</v>
      </c>
      <c r="H402" s="82">
        <v>0</v>
      </c>
      <c r="I402" s="82">
        <v>23.7</v>
      </c>
      <c r="J402" s="82">
        <v>9.3000000000000007</v>
      </c>
      <c r="K402" s="89" t="s">
        <v>193</v>
      </c>
    </row>
    <row r="403" spans="1:11" x14ac:dyDescent="0.2">
      <c r="A403" t="s">
        <v>21</v>
      </c>
      <c r="B403" s="89">
        <v>1674</v>
      </c>
      <c r="C403" s="82">
        <v>1</v>
      </c>
      <c r="D403" s="83">
        <v>32002</v>
      </c>
      <c r="E403" s="84">
        <f t="shared" si="6"/>
        <v>1987</v>
      </c>
      <c r="F403" s="82" t="s">
        <v>22</v>
      </c>
      <c r="G403" s="82">
        <v>2</v>
      </c>
      <c r="H403" s="82">
        <v>1</v>
      </c>
      <c r="I403" s="82">
        <v>22.3</v>
      </c>
      <c r="J403" s="82">
        <v>10.1</v>
      </c>
      <c r="K403" s="89" t="s">
        <v>193</v>
      </c>
    </row>
    <row r="404" spans="1:11" x14ac:dyDescent="0.2">
      <c r="A404" t="s">
        <v>21</v>
      </c>
      <c r="B404" s="89">
        <v>1674</v>
      </c>
      <c r="C404" s="82">
        <v>1</v>
      </c>
      <c r="D404" s="83">
        <v>32002</v>
      </c>
      <c r="E404" s="84">
        <f t="shared" si="6"/>
        <v>1987</v>
      </c>
      <c r="F404" s="82" t="s">
        <v>22</v>
      </c>
      <c r="G404" s="82">
        <v>2</v>
      </c>
      <c r="H404" s="82">
        <v>2</v>
      </c>
      <c r="I404" s="82">
        <v>21.4</v>
      </c>
      <c r="J404" s="82">
        <v>10.3</v>
      </c>
      <c r="K404" s="89" t="s">
        <v>193</v>
      </c>
    </row>
    <row r="405" spans="1:11" x14ac:dyDescent="0.2">
      <c r="A405" t="s">
        <v>21</v>
      </c>
      <c r="B405" s="89">
        <v>1674</v>
      </c>
      <c r="C405" s="82">
        <v>1</v>
      </c>
      <c r="D405" s="83">
        <v>32002</v>
      </c>
      <c r="E405" s="84">
        <f t="shared" si="6"/>
        <v>1987</v>
      </c>
      <c r="F405" s="82" t="s">
        <v>22</v>
      </c>
      <c r="G405" s="82">
        <v>2</v>
      </c>
      <c r="H405" s="82">
        <v>3</v>
      </c>
      <c r="I405" s="82">
        <v>20.3</v>
      </c>
      <c r="J405" s="82">
        <v>9.5</v>
      </c>
      <c r="K405" s="89" t="s">
        <v>193</v>
      </c>
    </row>
    <row r="406" spans="1:11" x14ac:dyDescent="0.2">
      <c r="A406" t="s">
        <v>21</v>
      </c>
      <c r="B406" s="89">
        <v>1674</v>
      </c>
      <c r="C406" s="82">
        <v>1</v>
      </c>
      <c r="D406" s="83">
        <v>32002</v>
      </c>
      <c r="E406" s="84">
        <f t="shared" si="6"/>
        <v>1987</v>
      </c>
      <c r="F406" s="82" t="s">
        <v>22</v>
      </c>
      <c r="G406" s="82">
        <v>2</v>
      </c>
      <c r="H406" s="82">
        <v>4</v>
      </c>
      <c r="I406" s="82">
        <v>20.100000000000001</v>
      </c>
      <c r="J406" s="82">
        <v>9.1</v>
      </c>
      <c r="K406" s="89" t="s">
        <v>193</v>
      </c>
    </row>
    <row r="407" spans="1:11" x14ac:dyDescent="0.2">
      <c r="A407" t="s">
        <v>21</v>
      </c>
      <c r="B407" s="89">
        <v>1674</v>
      </c>
      <c r="C407" s="82">
        <v>1</v>
      </c>
      <c r="D407" s="83">
        <v>32002</v>
      </c>
      <c r="E407" s="84">
        <f t="shared" si="6"/>
        <v>1987</v>
      </c>
      <c r="F407" s="82" t="s">
        <v>22</v>
      </c>
      <c r="G407" s="82">
        <v>2</v>
      </c>
      <c r="H407" s="82">
        <v>5</v>
      </c>
      <c r="I407" s="82">
        <v>19.8</v>
      </c>
      <c r="J407" s="82">
        <v>8.8000000000000007</v>
      </c>
      <c r="K407" s="89" t="s">
        <v>193</v>
      </c>
    </row>
    <row r="408" spans="1:11" x14ac:dyDescent="0.2">
      <c r="A408" t="s">
        <v>21</v>
      </c>
      <c r="B408" s="89">
        <v>1674</v>
      </c>
      <c r="C408" s="82">
        <v>1</v>
      </c>
      <c r="D408" s="83">
        <v>32002</v>
      </c>
      <c r="E408" s="84">
        <f t="shared" si="6"/>
        <v>1987</v>
      </c>
      <c r="F408" s="82" t="s">
        <v>22</v>
      </c>
      <c r="G408" s="82">
        <v>2</v>
      </c>
      <c r="H408" s="82">
        <v>6</v>
      </c>
      <c r="I408" s="82">
        <v>19.8</v>
      </c>
      <c r="J408" s="82">
        <v>8.6999999999999993</v>
      </c>
      <c r="K408" s="89" t="s">
        <v>193</v>
      </c>
    </row>
    <row r="409" spans="1:11" x14ac:dyDescent="0.2">
      <c r="A409" t="s">
        <v>21</v>
      </c>
      <c r="B409" s="89">
        <v>1674</v>
      </c>
      <c r="C409" s="82">
        <v>1</v>
      </c>
      <c r="D409" s="83">
        <v>32002</v>
      </c>
      <c r="E409" s="84">
        <f t="shared" si="6"/>
        <v>1987</v>
      </c>
      <c r="F409" s="82" t="s">
        <v>22</v>
      </c>
      <c r="G409" s="82">
        <v>2</v>
      </c>
      <c r="H409" s="82">
        <v>7</v>
      </c>
      <c r="I409" s="82">
        <v>19.600000000000001</v>
      </c>
      <c r="J409" s="82">
        <v>8.6999999999999993</v>
      </c>
      <c r="K409" s="89" t="s">
        <v>193</v>
      </c>
    </row>
    <row r="410" spans="1:11" x14ac:dyDescent="0.2">
      <c r="A410" t="s">
        <v>21</v>
      </c>
      <c r="B410" s="89">
        <v>1674</v>
      </c>
      <c r="C410" s="82">
        <v>1</v>
      </c>
      <c r="D410" s="83">
        <v>32002</v>
      </c>
      <c r="E410" s="84">
        <f t="shared" si="6"/>
        <v>1987</v>
      </c>
      <c r="F410" s="82" t="s">
        <v>22</v>
      </c>
      <c r="G410" s="82">
        <v>2</v>
      </c>
      <c r="H410" s="82">
        <v>8</v>
      </c>
      <c r="I410" s="82">
        <v>19.5</v>
      </c>
      <c r="J410" s="82">
        <v>8.6</v>
      </c>
      <c r="K410" s="89" t="s">
        <v>193</v>
      </c>
    </row>
    <row r="411" spans="1:11" x14ac:dyDescent="0.2">
      <c r="A411" t="s">
        <v>21</v>
      </c>
      <c r="B411" s="89">
        <v>1674</v>
      </c>
      <c r="C411" s="82">
        <v>1</v>
      </c>
      <c r="D411" s="83">
        <v>32002</v>
      </c>
      <c r="E411" s="84">
        <f t="shared" si="6"/>
        <v>1987</v>
      </c>
      <c r="F411" s="82" t="s">
        <v>22</v>
      </c>
      <c r="G411" s="82">
        <v>2</v>
      </c>
      <c r="H411" s="82">
        <v>9</v>
      </c>
      <c r="I411" s="82">
        <v>19.2</v>
      </c>
      <c r="J411" s="82">
        <v>8.5</v>
      </c>
      <c r="K411" s="89" t="s">
        <v>193</v>
      </c>
    </row>
    <row r="412" spans="1:11" x14ac:dyDescent="0.2">
      <c r="A412" t="s">
        <v>21</v>
      </c>
      <c r="B412" s="89">
        <v>1674</v>
      </c>
      <c r="C412" s="82">
        <v>1</v>
      </c>
      <c r="D412" s="83">
        <v>32002</v>
      </c>
      <c r="E412" s="84">
        <f t="shared" si="6"/>
        <v>1987</v>
      </c>
      <c r="F412" s="82" t="s">
        <v>22</v>
      </c>
      <c r="G412" s="82">
        <v>2</v>
      </c>
      <c r="H412" s="82">
        <v>10</v>
      </c>
      <c r="I412" s="82">
        <v>19.2</v>
      </c>
      <c r="J412" s="82">
        <v>8.1</v>
      </c>
      <c r="K412" s="89" t="s">
        <v>193</v>
      </c>
    </row>
    <row r="413" spans="1:11" x14ac:dyDescent="0.2">
      <c r="A413" t="s">
        <v>21</v>
      </c>
      <c r="B413" s="89">
        <v>1674</v>
      </c>
      <c r="C413" s="82">
        <v>1</v>
      </c>
      <c r="D413" s="83">
        <v>32002</v>
      </c>
      <c r="E413" s="84">
        <f t="shared" si="6"/>
        <v>1987</v>
      </c>
      <c r="F413" s="82" t="s">
        <v>22</v>
      </c>
      <c r="G413" s="82">
        <v>2</v>
      </c>
      <c r="H413" s="82">
        <v>11</v>
      </c>
      <c r="I413" s="82">
        <v>19.100000000000001</v>
      </c>
      <c r="J413" s="82">
        <v>7.8</v>
      </c>
      <c r="K413" s="89" t="s">
        <v>193</v>
      </c>
    </row>
    <row r="414" spans="1:11" x14ac:dyDescent="0.2">
      <c r="A414" t="s">
        <v>21</v>
      </c>
      <c r="B414" s="89">
        <v>1674</v>
      </c>
      <c r="C414" s="82">
        <v>1</v>
      </c>
      <c r="D414" s="83">
        <v>32002</v>
      </c>
      <c r="E414" s="84">
        <f t="shared" si="6"/>
        <v>1987</v>
      </c>
      <c r="F414" s="82" t="s">
        <v>22</v>
      </c>
      <c r="G414" s="82">
        <v>2</v>
      </c>
      <c r="H414" s="82">
        <v>12</v>
      </c>
      <c r="I414" s="82">
        <v>19</v>
      </c>
      <c r="J414" s="82">
        <v>7.7</v>
      </c>
      <c r="K414" s="89" t="s">
        <v>193</v>
      </c>
    </row>
    <row r="415" spans="1:11" x14ac:dyDescent="0.2">
      <c r="A415" t="s">
        <v>21</v>
      </c>
      <c r="B415" s="89">
        <v>1674</v>
      </c>
      <c r="C415" s="82">
        <v>1</v>
      </c>
      <c r="D415" s="83">
        <v>32002</v>
      </c>
      <c r="E415" s="84">
        <f t="shared" si="6"/>
        <v>1987</v>
      </c>
      <c r="F415" s="82" t="s">
        <v>22</v>
      </c>
      <c r="G415" s="82">
        <v>2</v>
      </c>
      <c r="H415" s="82">
        <v>13</v>
      </c>
      <c r="I415" s="82">
        <v>18.8</v>
      </c>
      <c r="J415" s="82">
        <v>5</v>
      </c>
      <c r="K415" s="89" t="s">
        <v>193</v>
      </c>
    </row>
    <row r="416" spans="1:11" x14ac:dyDescent="0.2">
      <c r="A416" t="s">
        <v>21</v>
      </c>
      <c r="B416" s="89">
        <v>1674</v>
      </c>
      <c r="C416" s="82">
        <v>1</v>
      </c>
      <c r="D416" s="83">
        <v>32002</v>
      </c>
      <c r="E416" s="84">
        <f t="shared" si="6"/>
        <v>1987</v>
      </c>
      <c r="F416" s="82" t="s">
        <v>22</v>
      </c>
      <c r="G416" s="82">
        <v>2</v>
      </c>
      <c r="H416" s="82">
        <v>13.5</v>
      </c>
      <c r="I416" s="82">
        <v>18.600000000000001</v>
      </c>
      <c r="J416" s="82">
        <v>2</v>
      </c>
      <c r="K416" s="89" t="s">
        <v>193</v>
      </c>
    </row>
    <row r="417" spans="1:11" x14ac:dyDescent="0.2">
      <c r="A417" t="s">
        <v>21</v>
      </c>
      <c r="B417" s="89">
        <v>1674</v>
      </c>
      <c r="C417" s="82">
        <v>1</v>
      </c>
      <c r="D417" s="83">
        <v>32014</v>
      </c>
      <c r="E417" s="84">
        <f t="shared" si="6"/>
        <v>1987</v>
      </c>
      <c r="F417" s="82" t="s">
        <v>22</v>
      </c>
      <c r="G417" s="82">
        <v>2</v>
      </c>
      <c r="H417" s="82">
        <v>0</v>
      </c>
      <c r="I417" s="82">
        <v>18.7</v>
      </c>
      <c r="J417" s="82">
        <v>8.1</v>
      </c>
      <c r="K417" s="89" t="s">
        <v>193</v>
      </c>
    </row>
    <row r="418" spans="1:11" x14ac:dyDescent="0.2">
      <c r="A418" t="s">
        <v>21</v>
      </c>
      <c r="B418" s="89">
        <v>1674</v>
      </c>
      <c r="C418" s="82">
        <v>1</v>
      </c>
      <c r="D418" s="83">
        <v>32014</v>
      </c>
      <c r="E418" s="84">
        <f t="shared" si="6"/>
        <v>1987</v>
      </c>
      <c r="F418" s="82" t="s">
        <v>22</v>
      </c>
      <c r="G418" s="82">
        <v>2</v>
      </c>
      <c r="H418" s="82">
        <v>1</v>
      </c>
      <c r="I418" s="82">
        <v>18.7</v>
      </c>
      <c r="J418" s="82">
        <v>7.9</v>
      </c>
      <c r="K418" s="89" t="s">
        <v>193</v>
      </c>
    </row>
    <row r="419" spans="1:11" x14ac:dyDescent="0.2">
      <c r="A419" t="s">
        <v>21</v>
      </c>
      <c r="B419" s="89">
        <v>1674</v>
      </c>
      <c r="C419" s="82">
        <v>1</v>
      </c>
      <c r="D419" s="83">
        <v>32014</v>
      </c>
      <c r="E419" s="84">
        <f t="shared" si="6"/>
        <v>1987</v>
      </c>
      <c r="F419" s="82" t="s">
        <v>22</v>
      </c>
      <c r="G419" s="82">
        <v>2</v>
      </c>
      <c r="H419" s="82">
        <v>2</v>
      </c>
      <c r="I419" s="82">
        <v>18.7</v>
      </c>
      <c r="J419" s="82">
        <v>7.9</v>
      </c>
      <c r="K419" s="89" t="s">
        <v>193</v>
      </c>
    </row>
    <row r="420" spans="1:11" x14ac:dyDescent="0.2">
      <c r="A420" t="s">
        <v>21</v>
      </c>
      <c r="B420" s="89">
        <v>1674</v>
      </c>
      <c r="C420" s="82">
        <v>1</v>
      </c>
      <c r="D420" s="83">
        <v>32014</v>
      </c>
      <c r="E420" s="84">
        <f t="shared" si="6"/>
        <v>1987</v>
      </c>
      <c r="F420" s="82" t="s">
        <v>22</v>
      </c>
      <c r="G420" s="82">
        <v>2</v>
      </c>
      <c r="H420" s="82">
        <v>3</v>
      </c>
      <c r="I420" s="82">
        <v>18.7</v>
      </c>
      <c r="J420" s="82">
        <v>7.9</v>
      </c>
      <c r="K420" s="89" t="s">
        <v>193</v>
      </c>
    </row>
    <row r="421" spans="1:11" x14ac:dyDescent="0.2">
      <c r="A421" t="s">
        <v>21</v>
      </c>
      <c r="B421" s="89">
        <v>1674</v>
      </c>
      <c r="C421" s="82">
        <v>1</v>
      </c>
      <c r="D421" s="83">
        <v>32014</v>
      </c>
      <c r="E421" s="84">
        <f t="shared" si="6"/>
        <v>1987</v>
      </c>
      <c r="F421" s="82" t="s">
        <v>22</v>
      </c>
      <c r="G421" s="82">
        <v>2</v>
      </c>
      <c r="H421" s="82">
        <v>4</v>
      </c>
      <c r="I421" s="82">
        <v>18.7</v>
      </c>
      <c r="J421" s="82">
        <v>7.8</v>
      </c>
      <c r="K421" s="89" t="s">
        <v>193</v>
      </c>
    </row>
    <row r="422" spans="1:11" x14ac:dyDescent="0.2">
      <c r="A422" t="s">
        <v>21</v>
      </c>
      <c r="B422" s="89">
        <v>1674</v>
      </c>
      <c r="C422" s="82">
        <v>1</v>
      </c>
      <c r="D422" s="83">
        <v>32014</v>
      </c>
      <c r="E422" s="84">
        <f t="shared" si="6"/>
        <v>1987</v>
      </c>
      <c r="F422" s="82" t="s">
        <v>22</v>
      </c>
      <c r="G422" s="82">
        <v>2</v>
      </c>
      <c r="H422" s="82">
        <v>5</v>
      </c>
      <c r="I422" s="82">
        <v>18.7</v>
      </c>
      <c r="J422" s="82">
        <v>7.8</v>
      </c>
      <c r="K422" s="89" t="s">
        <v>193</v>
      </c>
    </row>
    <row r="423" spans="1:11" x14ac:dyDescent="0.2">
      <c r="A423" t="s">
        <v>21</v>
      </c>
      <c r="B423" s="89">
        <v>1674</v>
      </c>
      <c r="C423" s="82">
        <v>1</v>
      </c>
      <c r="D423" s="83">
        <v>32014</v>
      </c>
      <c r="E423" s="84">
        <f t="shared" si="6"/>
        <v>1987</v>
      </c>
      <c r="F423" s="82" t="s">
        <v>22</v>
      </c>
      <c r="G423" s="82">
        <v>2</v>
      </c>
      <c r="H423" s="82">
        <v>6</v>
      </c>
      <c r="I423" s="82">
        <v>18.7</v>
      </c>
      <c r="J423" s="82">
        <v>7.7</v>
      </c>
      <c r="K423" s="89" t="s">
        <v>193</v>
      </c>
    </row>
    <row r="424" spans="1:11" x14ac:dyDescent="0.2">
      <c r="A424" t="s">
        <v>21</v>
      </c>
      <c r="B424" s="89">
        <v>1674</v>
      </c>
      <c r="C424" s="82">
        <v>1</v>
      </c>
      <c r="D424" s="83">
        <v>32014</v>
      </c>
      <c r="E424" s="84">
        <f t="shared" si="6"/>
        <v>1987</v>
      </c>
      <c r="F424" s="82" t="s">
        <v>22</v>
      </c>
      <c r="G424" s="82">
        <v>2</v>
      </c>
      <c r="H424" s="82">
        <v>7</v>
      </c>
      <c r="I424" s="82">
        <v>18.7</v>
      </c>
      <c r="J424" s="82">
        <v>7.7</v>
      </c>
      <c r="K424" s="89" t="s">
        <v>193</v>
      </c>
    </row>
    <row r="425" spans="1:11" x14ac:dyDescent="0.2">
      <c r="A425" t="s">
        <v>21</v>
      </c>
      <c r="B425" s="89">
        <v>1674</v>
      </c>
      <c r="C425" s="82">
        <v>1</v>
      </c>
      <c r="D425" s="83">
        <v>32014</v>
      </c>
      <c r="E425" s="84">
        <f t="shared" si="6"/>
        <v>1987</v>
      </c>
      <c r="F425" s="82" t="s">
        <v>22</v>
      </c>
      <c r="G425" s="82">
        <v>2</v>
      </c>
      <c r="H425" s="82">
        <v>8</v>
      </c>
      <c r="I425" s="82">
        <v>18.7</v>
      </c>
      <c r="J425" s="82">
        <v>7.7</v>
      </c>
      <c r="K425" s="89" t="s">
        <v>193</v>
      </c>
    </row>
    <row r="426" spans="1:11" x14ac:dyDescent="0.2">
      <c r="A426" t="s">
        <v>21</v>
      </c>
      <c r="B426" s="89">
        <v>1674</v>
      </c>
      <c r="C426" s="82">
        <v>1</v>
      </c>
      <c r="D426" s="83">
        <v>32014</v>
      </c>
      <c r="E426" s="84">
        <f t="shared" si="6"/>
        <v>1987</v>
      </c>
      <c r="F426" s="82" t="s">
        <v>22</v>
      </c>
      <c r="G426" s="82">
        <v>2</v>
      </c>
      <c r="H426" s="82">
        <v>9</v>
      </c>
      <c r="I426" s="82">
        <v>18.7</v>
      </c>
      <c r="J426" s="82">
        <v>7.6</v>
      </c>
      <c r="K426" s="89" t="s">
        <v>193</v>
      </c>
    </row>
    <row r="427" spans="1:11" x14ac:dyDescent="0.2">
      <c r="A427" t="s">
        <v>21</v>
      </c>
      <c r="B427" s="89">
        <v>1674</v>
      </c>
      <c r="C427" s="82">
        <v>1</v>
      </c>
      <c r="D427" s="83">
        <v>32014</v>
      </c>
      <c r="E427" s="84">
        <f t="shared" si="6"/>
        <v>1987</v>
      </c>
      <c r="F427" s="82" t="s">
        <v>22</v>
      </c>
      <c r="G427" s="82">
        <v>2</v>
      </c>
      <c r="H427" s="82">
        <v>10</v>
      </c>
      <c r="I427" s="82">
        <v>18.7</v>
      </c>
      <c r="J427" s="82">
        <v>7.6</v>
      </c>
      <c r="K427" s="89" t="s">
        <v>193</v>
      </c>
    </row>
    <row r="428" spans="1:11" x14ac:dyDescent="0.2">
      <c r="A428" t="s">
        <v>21</v>
      </c>
      <c r="B428" s="89">
        <v>1674</v>
      </c>
      <c r="C428" s="82">
        <v>1</v>
      </c>
      <c r="D428" s="83">
        <v>32014</v>
      </c>
      <c r="E428" s="84">
        <f t="shared" si="6"/>
        <v>1987</v>
      </c>
      <c r="F428" s="82" t="s">
        <v>22</v>
      </c>
      <c r="G428" s="82">
        <v>2</v>
      </c>
      <c r="H428" s="82">
        <v>11</v>
      </c>
      <c r="I428" s="82">
        <v>18.7</v>
      </c>
      <c r="J428" s="82">
        <v>7.5</v>
      </c>
      <c r="K428" s="89" t="s">
        <v>193</v>
      </c>
    </row>
    <row r="429" spans="1:11" x14ac:dyDescent="0.2">
      <c r="A429" t="s">
        <v>21</v>
      </c>
      <c r="B429" s="89">
        <v>1674</v>
      </c>
      <c r="C429" s="82">
        <v>1</v>
      </c>
      <c r="D429" s="83">
        <v>32014</v>
      </c>
      <c r="E429" s="84">
        <f t="shared" si="6"/>
        <v>1987</v>
      </c>
      <c r="F429" s="82" t="s">
        <v>22</v>
      </c>
      <c r="G429" s="82">
        <v>2</v>
      </c>
      <c r="H429" s="82">
        <v>12</v>
      </c>
      <c r="I429" s="82">
        <v>18.7</v>
      </c>
      <c r="J429" s="82">
        <v>7.5</v>
      </c>
      <c r="K429" s="89" t="s">
        <v>193</v>
      </c>
    </row>
    <row r="430" spans="1:11" x14ac:dyDescent="0.2">
      <c r="A430" t="s">
        <v>21</v>
      </c>
      <c r="B430" s="89">
        <v>1674</v>
      </c>
      <c r="C430" s="82">
        <v>1</v>
      </c>
      <c r="D430" s="83">
        <v>32014</v>
      </c>
      <c r="E430" s="84">
        <f t="shared" si="6"/>
        <v>1987</v>
      </c>
      <c r="F430" s="82" t="s">
        <v>22</v>
      </c>
      <c r="G430" s="82">
        <v>2</v>
      </c>
      <c r="H430" s="82">
        <v>13</v>
      </c>
      <c r="I430" s="82">
        <v>18.100000000000001</v>
      </c>
      <c r="J430" s="82">
        <v>7.3</v>
      </c>
      <c r="K430" s="89" t="s">
        <v>193</v>
      </c>
    </row>
    <row r="431" spans="1:11" x14ac:dyDescent="0.2">
      <c r="A431" t="s">
        <v>21</v>
      </c>
      <c r="B431" s="89">
        <v>1674</v>
      </c>
      <c r="C431" s="82">
        <v>1</v>
      </c>
      <c r="D431" s="83">
        <v>32035</v>
      </c>
      <c r="E431" s="84">
        <f t="shared" si="6"/>
        <v>1987</v>
      </c>
      <c r="F431" s="82" t="s">
        <v>22</v>
      </c>
      <c r="G431" s="82">
        <v>2</v>
      </c>
      <c r="H431" s="82">
        <v>0</v>
      </c>
      <c r="I431" s="82">
        <v>17.5</v>
      </c>
      <c r="J431" s="82">
        <v>7.8</v>
      </c>
      <c r="K431" s="89" t="s">
        <v>193</v>
      </c>
    </row>
    <row r="432" spans="1:11" x14ac:dyDescent="0.2">
      <c r="A432" t="s">
        <v>21</v>
      </c>
      <c r="B432" s="89">
        <v>1674</v>
      </c>
      <c r="C432" s="82">
        <v>1</v>
      </c>
      <c r="D432" s="83">
        <v>32035</v>
      </c>
      <c r="E432" s="84">
        <f t="shared" si="6"/>
        <v>1987</v>
      </c>
      <c r="F432" s="82" t="s">
        <v>22</v>
      </c>
      <c r="G432" s="82">
        <v>2</v>
      </c>
      <c r="H432" s="82">
        <v>1</v>
      </c>
      <c r="I432" s="82">
        <v>17.5</v>
      </c>
      <c r="J432" s="82">
        <v>7.8</v>
      </c>
      <c r="K432" s="89" t="s">
        <v>193</v>
      </c>
    </row>
    <row r="433" spans="1:11" x14ac:dyDescent="0.2">
      <c r="A433" t="s">
        <v>21</v>
      </c>
      <c r="B433" s="89">
        <v>1674</v>
      </c>
      <c r="C433" s="82">
        <v>1</v>
      </c>
      <c r="D433" s="83">
        <v>32035</v>
      </c>
      <c r="E433" s="84">
        <f t="shared" si="6"/>
        <v>1987</v>
      </c>
      <c r="F433" s="82" t="s">
        <v>22</v>
      </c>
      <c r="G433" s="82">
        <v>2</v>
      </c>
      <c r="H433" s="82">
        <v>2</v>
      </c>
      <c r="I433" s="82">
        <v>17.5</v>
      </c>
      <c r="J433" s="82">
        <v>7.7</v>
      </c>
      <c r="K433" s="89" t="s">
        <v>193</v>
      </c>
    </row>
    <row r="434" spans="1:11" x14ac:dyDescent="0.2">
      <c r="A434" t="s">
        <v>21</v>
      </c>
      <c r="B434" s="89">
        <v>1674</v>
      </c>
      <c r="C434" s="82">
        <v>1</v>
      </c>
      <c r="D434" s="83">
        <v>32035</v>
      </c>
      <c r="E434" s="84">
        <f t="shared" si="6"/>
        <v>1987</v>
      </c>
      <c r="F434" s="82" t="s">
        <v>22</v>
      </c>
      <c r="G434" s="82">
        <v>2</v>
      </c>
      <c r="H434" s="82">
        <v>3</v>
      </c>
      <c r="I434" s="82">
        <v>17.5</v>
      </c>
      <c r="J434" s="82">
        <v>7.6</v>
      </c>
      <c r="K434" s="89" t="s">
        <v>193</v>
      </c>
    </row>
    <row r="435" spans="1:11" x14ac:dyDescent="0.2">
      <c r="A435" t="s">
        <v>21</v>
      </c>
      <c r="B435" s="89">
        <v>1674</v>
      </c>
      <c r="C435" s="82">
        <v>1</v>
      </c>
      <c r="D435" s="83">
        <v>32035</v>
      </c>
      <c r="E435" s="84">
        <f t="shared" si="6"/>
        <v>1987</v>
      </c>
      <c r="F435" s="82" t="s">
        <v>22</v>
      </c>
      <c r="G435" s="82">
        <v>2</v>
      </c>
      <c r="H435" s="82">
        <v>4</v>
      </c>
      <c r="I435" s="82">
        <v>17.5</v>
      </c>
      <c r="J435" s="82">
        <v>7.3</v>
      </c>
      <c r="K435" s="89" t="s">
        <v>193</v>
      </c>
    </row>
    <row r="436" spans="1:11" x14ac:dyDescent="0.2">
      <c r="A436" t="s">
        <v>21</v>
      </c>
      <c r="B436" s="89">
        <v>1674</v>
      </c>
      <c r="C436" s="82">
        <v>1</v>
      </c>
      <c r="D436" s="83">
        <v>32035</v>
      </c>
      <c r="E436" s="84">
        <f t="shared" si="6"/>
        <v>1987</v>
      </c>
      <c r="F436" s="82" t="s">
        <v>22</v>
      </c>
      <c r="G436" s="82">
        <v>2</v>
      </c>
      <c r="H436" s="82">
        <v>5</v>
      </c>
      <c r="I436" s="82">
        <v>17.5</v>
      </c>
      <c r="J436" s="82">
        <v>7.2</v>
      </c>
      <c r="K436" s="89" t="s">
        <v>193</v>
      </c>
    </row>
    <row r="437" spans="1:11" x14ac:dyDescent="0.2">
      <c r="A437" t="s">
        <v>21</v>
      </c>
      <c r="B437" s="89">
        <v>1674</v>
      </c>
      <c r="C437" s="82">
        <v>1</v>
      </c>
      <c r="D437" s="83">
        <v>32035</v>
      </c>
      <c r="E437" s="84">
        <f t="shared" si="6"/>
        <v>1987</v>
      </c>
      <c r="F437" s="82" t="s">
        <v>22</v>
      </c>
      <c r="G437" s="82">
        <v>2</v>
      </c>
      <c r="H437" s="82">
        <v>6</v>
      </c>
      <c r="I437" s="82">
        <v>17.5</v>
      </c>
      <c r="J437" s="82">
        <v>7</v>
      </c>
      <c r="K437" s="89" t="s">
        <v>193</v>
      </c>
    </row>
    <row r="438" spans="1:11" x14ac:dyDescent="0.2">
      <c r="A438" t="s">
        <v>21</v>
      </c>
      <c r="B438" s="89">
        <v>1674</v>
      </c>
      <c r="C438" s="82">
        <v>1</v>
      </c>
      <c r="D438" s="83">
        <v>32035</v>
      </c>
      <c r="E438" s="84">
        <f t="shared" si="6"/>
        <v>1987</v>
      </c>
      <c r="F438" s="82" t="s">
        <v>22</v>
      </c>
      <c r="G438" s="82">
        <v>2</v>
      </c>
      <c r="H438" s="82">
        <v>7</v>
      </c>
      <c r="I438" s="82">
        <v>17.3</v>
      </c>
      <c r="J438" s="82">
        <v>6.9</v>
      </c>
      <c r="K438" s="89" t="s">
        <v>193</v>
      </c>
    </row>
    <row r="439" spans="1:11" x14ac:dyDescent="0.2">
      <c r="A439" t="s">
        <v>21</v>
      </c>
      <c r="B439" s="89">
        <v>1674</v>
      </c>
      <c r="C439" s="82">
        <v>1</v>
      </c>
      <c r="D439" s="83">
        <v>32035</v>
      </c>
      <c r="E439" s="84">
        <f t="shared" si="6"/>
        <v>1987</v>
      </c>
      <c r="F439" s="82" t="s">
        <v>22</v>
      </c>
      <c r="G439" s="82">
        <v>2</v>
      </c>
      <c r="H439" s="82">
        <v>8</v>
      </c>
      <c r="I439" s="82">
        <v>17.2</v>
      </c>
      <c r="J439" s="82">
        <v>6.8</v>
      </c>
      <c r="K439" s="89" t="s">
        <v>193</v>
      </c>
    </row>
    <row r="440" spans="1:11" x14ac:dyDescent="0.2">
      <c r="A440" t="s">
        <v>21</v>
      </c>
      <c r="B440" s="89">
        <v>1674</v>
      </c>
      <c r="C440" s="82">
        <v>1</v>
      </c>
      <c r="D440" s="83">
        <v>32035</v>
      </c>
      <c r="E440" s="84">
        <f t="shared" si="6"/>
        <v>1987</v>
      </c>
      <c r="F440" s="82" t="s">
        <v>22</v>
      </c>
      <c r="G440" s="82">
        <v>2</v>
      </c>
      <c r="H440" s="82">
        <v>9</v>
      </c>
      <c r="I440" s="82">
        <v>17.2</v>
      </c>
      <c r="J440" s="82">
        <v>6.8</v>
      </c>
      <c r="K440" s="89" t="s">
        <v>193</v>
      </c>
    </row>
    <row r="441" spans="1:11" x14ac:dyDescent="0.2">
      <c r="A441" t="s">
        <v>21</v>
      </c>
      <c r="B441" s="89">
        <v>1674</v>
      </c>
      <c r="C441" s="82">
        <v>1</v>
      </c>
      <c r="D441" s="83">
        <v>32035</v>
      </c>
      <c r="E441" s="84">
        <f t="shared" si="6"/>
        <v>1987</v>
      </c>
      <c r="F441" s="82" t="s">
        <v>22</v>
      </c>
      <c r="G441" s="82">
        <v>2</v>
      </c>
      <c r="H441" s="82">
        <v>10</v>
      </c>
      <c r="I441" s="82">
        <v>17.2</v>
      </c>
      <c r="J441" s="82">
        <v>6.7</v>
      </c>
      <c r="K441" s="89" t="s">
        <v>193</v>
      </c>
    </row>
    <row r="442" spans="1:11" x14ac:dyDescent="0.2">
      <c r="A442" t="s">
        <v>21</v>
      </c>
      <c r="B442" s="89">
        <v>1674</v>
      </c>
      <c r="C442" s="82">
        <v>1</v>
      </c>
      <c r="D442" s="83">
        <v>32035</v>
      </c>
      <c r="E442" s="84">
        <f t="shared" si="6"/>
        <v>1987</v>
      </c>
      <c r="F442" s="82" t="s">
        <v>22</v>
      </c>
      <c r="G442" s="82">
        <v>2</v>
      </c>
      <c r="H442" s="82">
        <v>11</v>
      </c>
      <c r="I442" s="82">
        <v>17</v>
      </c>
      <c r="J442" s="82">
        <v>6.7</v>
      </c>
      <c r="K442" s="89" t="s">
        <v>193</v>
      </c>
    </row>
    <row r="443" spans="1:11" x14ac:dyDescent="0.2">
      <c r="A443" t="s">
        <v>21</v>
      </c>
      <c r="B443" s="89">
        <v>1674</v>
      </c>
      <c r="C443" s="82">
        <v>1</v>
      </c>
      <c r="D443" s="83">
        <v>32035</v>
      </c>
      <c r="E443" s="84">
        <f t="shared" si="6"/>
        <v>1987</v>
      </c>
      <c r="F443" s="82" t="s">
        <v>22</v>
      </c>
      <c r="G443" s="82">
        <v>2</v>
      </c>
      <c r="H443" s="82">
        <v>12</v>
      </c>
      <c r="I443" s="82">
        <v>17</v>
      </c>
      <c r="J443" s="82">
        <v>6.7</v>
      </c>
      <c r="K443" s="89" t="s">
        <v>193</v>
      </c>
    </row>
    <row r="444" spans="1:11" x14ac:dyDescent="0.2">
      <c r="A444" t="s">
        <v>21</v>
      </c>
      <c r="B444" s="89">
        <v>1674</v>
      </c>
      <c r="C444" s="82">
        <v>1</v>
      </c>
      <c r="D444" s="83">
        <v>32035</v>
      </c>
      <c r="E444" s="84">
        <f t="shared" si="6"/>
        <v>1987</v>
      </c>
      <c r="F444" s="82" t="s">
        <v>22</v>
      </c>
      <c r="G444" s="82">
        <v>2</v>
      </c>
      <c r="H444" s="82">
        <v>13</v>
      </c>
      <c r="I444" s="82">
        <v>17</v>
      </c>
      <c r="J444" s="82">
        <v>6.3</v>
      </c>
      <c r="K444" s="89" t="s">
        <v>193</v>
      </c>
    </row>
    <row r="445" spans="1:11" x14ac:dyDescent="0.2">
      <c r="A445" t="s">
        <v>21</v>
      </c>
      <c r="B445" s="89">
        <v>1674</v>
      </c>
      <c r="C445" s="82">
        <v>1</v>
      </c>
      <c r="D445" s="83">
        <v>32048</v>
      </c>
      <c r="E445" s="84">
        <f t="shared" si="6"/>
        <v>1987</v>
      </c>
      <c r="F445" s="82" t="s">
        <v>22</v>
      </c>
      <c r="G445" s="82">
        <v>2</v>
      </c>
      <c r="H445" s="82">
        <v>0</v>
      </c>
      <c r="I445" s="82">
        <v>12.3</v>
      </c>
      <c r="J445" s="82">
        <v>9.4</v>
      </c>
      <c r="K445" s="89" t="s">
        <v>193</v>
      </c>
    </row>
    <row r="446" spans="1:11" x14ac:dyDescent="0.2">
      <c r="A446" t="s">
        <v>21</v>
      </c>
      <c r="B446" s="89">
        <v>1674</v>
      </c>
      <c r="C446" s="82">
        <v>1</v>
      </c>
      <c r="D446" s="83">
        <v>32048</v>
      </c>
      <c r="E446" s="84">
        <f t="shared" si="6"/>
        <v>1987</v>
      </c>
      <c r="F446" s="82" t="s">
        <v>22</v>
      </c>
      <c r="G446" s="82">
        <v>2</v>
      </c>
      <c r="H446" s="82">
        <v>1</v>
      </c>
      <c r="I446" s="82">
        <v>12.3</v>
      </c>
      <c r="J446" s="82">
        <v>9.3000000000000007</v>
      </c>
      <c r="K446" s="89" t="s">
        <v>193</v>
      </c>
    </row>
    <row r="447" spans="1:11" x14ac:dyDescent="0.2">
      <c r="A447" t="s">
        <v>21</v>
      </c>
      <c r="B447" s="89">
        <v>1674</v>
      </c>
      <c r="C447" s="82">
        <v>1</v>
      </c>
      <c r="D447" s="83">
        <v>32048</v>
      </c>
      <c r="E447" s="84">
        <f t="shared" si="6"/>
        <v>1987</v>
      </c>
      <c r="F447" s="82" t="s">
        <v>22</v>
      </c>
      <c r="G447" s="82">
        <v>2</v>
      </c>
      <c r="H447" s="82">
        <v>2</v>
      </c>
      <c r="I447" s="82">
        <v>12.3</v>
      </c>
      <c r="J447" s="82">
        <v>9.3000000000000007</v>
      </c>
      <c r="K447" s="89" t="s">
        <v>193</v>
      </c>
    </row>
    <row r="448" spans="1:11" x14ac:dyDescent="0.2">
      <c r="A448" t="s">
        <v>21</v>
      </c>
      <c r="B448" s="89">
        <v>1674</v>
      </c>
      <c r="C448" s="82">
        <v>1</v>
      </c>
      <c r="D448" s="83">
        <v>32048</v>
      </c>
      <c r="E448" s="84">
        <f t="shared" si="6"/>
        <v>1987</v>
      </c>
      <c r="F448" s="82" t="s">
        <v>22</v>
      </c>
      <c r="G448" s="82">
        <v>2</v>
      </c>
      <c r="H448" s="82">
        <v>3</v>
      </c>
      <c r="I448" s="82">
        <v>12.3</v>
      </c>
      <c r="J448" s="82">
        <v>9.3000000000000007</v>
      </c>
      <c r="K448" s="89" t="s">
        <v>193</v>
      </c>
    </row>
    <row r="449" spans="1:11" x14ac:dyDescent="0.2">
      <c r="A449" t="s">
        <v>21</v>
      </c>
      <c r="B449" s="89">
        <v>1674</v>
      </c>
      <c r="C449" s="82">
        <v>1</v>
      </c>
      <c r="D449" s="83">
        <v>32048</v>
      </c>
      <c r="E449" s="84">
        <f t="shared" si="6"/>
        <v>1987</v>
      </c>
      <c r="F449" s="82" t="s">
        <v>22</v>
      </c>
      <c r="G449" s="82">
        <v>2</v>
      </c>
      <c r="H449" s="82">
        <v>4</v>
      </c>
      <c r="I449" s="82">
        <v>12.3</v>
      </c>
      <c r="J449" s="82">
        <v>9.3000000000000007</v>
      </c>
      <c r="K449" s="89" t="s">
        <v>193</v>
      </c>
    </row>
    <row r="450" spans="1:11" x14ac:dyDescent="0.2">
      <c r="A450" t="s">
        <v>21</v>
      </c>
      <c r="B450" s="89">
        <v>1674</v>
      </c>
      <c r="C450" s="82">
        <v>1</v>
      </c>
      <c r="D450" s="83">
        <v>32048</v>
      </c>
      <c r="E450" s="84">
        <f t="shared" ref="E450:E513" si="7">YEAR(D450)</f>
        <v>1987</v>
      </c>
      <c r="F450" s="82" t="s">
        <v>22</v>
      </c>
      <c r="G450" s="82">
        <v>2</v>
      </c>
      <c r="H450" s="82">
        <v>5</v>
      </c>
      <c r="I450" s="82">
        <v>12.3</v>
      </c>
      <c r="J450" s="82">
        <v>9.3000000000000007</v>
      </c>
      <c r="K450" s="89" t="s">
        <v>193</v>
      </c>
    </row>
    <row r="451" spans="1:11" x14ac:dyDescent="0.2">
      <c r="A451" t="s">
        <v>21</v>
      </c>
      <c r="B451" s="89">
        <v>1674</v>
      </c>
      <c r="C451" s="82">
        <v>1</v>
      </c>
      <c r="D451" s="83">
        <v>32048</v>
      </c>
      <c r="E451" s="84">
        <f t="shared" si="7"/>
        <v>1987</v>
      </c>
      <c r="F451" s="82" t="s">
        <v>22</v>
      </c>
      <c r="G451" s="82">
        <v>2</v>
      </c>
      <c r="H451" s="82">
        <v>6</v>
      </c>
      <c r="I451" s="82">
        <v>12.3</v>
      </c>
      <c r="J451" s="82">
        <v>9.3000000000000007</v>
      </c>
      <c r="K451" s="89" t="s">
        <v>193</v>
      </c>
    </row>
    <row r="452" spans="1:11" x14ac:dyDescent="0.2">
      <c r="A452" t="s">
        <v>21</v>
      </c>
      <c r="B452" s="89">
        <v>1674</v>
      </c>
      <c r="C452" s="82">
        <v>1</v>
      </c>
      <c r="D452" s="83">
        <v>32048</v>
      </c>
      <c r="E452" s="84">
        <f t="shared" si="7"/>
        <v>1987</v>
      </c>
      <c r="F452" s="82" t="s">
        <v>22</v>
      </c>
      <c r="G452" s="82">
        <v>2</v>
      </c>
      <c r="H452" s="82">
        <v>7</v>
      </c>
      <c r="I452" s="82">
        <v>12.2</v>
      </c>
      <c r="J452" s="82">
        <v>9.1999999999999993</v>
      </c>
      <c r="K452" s="89" t="s">
        <v>193</v>
      </c>
    </row>
    <row r="453" spans="1:11" x14ac:dyDescent="0.2">
      <c r="A453" t="s">
        <v>21</v>
      </c>
      <c r="B453" s="89">
        <v>1674</v>
      </c>
      <c r="C453" s="82">
        <v>1</v>
      </c>
      <c r="D453" s="83">
        <v>32048</v>
      </c>
      <c r="E453" s="84">
        <f t="shared" si="7"/>
        <v>1987</v>
      </c>
      <c r="F453" s="82" t="s">
        <v>22</v>
      </c>
      <c r="G453" s="82">
        <v>2</v>
      </c>
      <c r="H453" s="82">
        <v>8</v>
      </c>
      <c r="I453" s="82">
        <v>12.2</v>
      </c>
      <c r="J453" s="82">
        <v>9.1999999999999993</v>
      </c>
      <c r="K453" s="89" t="s">
        <v>193</v>
      </c>
    </row>
    <row r="454" spans="1:11" x14ac:dyDescent="0.2">
      <c r="A454" t="s">
        <v>21</v>
      </c>
      <c r="B454" s="89">
        <v>1674</v>
      </c>
      <c r="C454" s="82">
        <v>1</v>
      </c>
      <c r="D454" s="83">
        <v>32048</v>
      </c>
      <c r="E454" s="84">
        <f t="shared" si="7"/>
        <v>1987</v>
      </c>
      <c r="F454" s="82" t="s">
        <v>22</v>
      </c>
      <c r="G454" s="82">
        <v>2</v>
      </c>
      <c r="H454" s="82">
        <v>9</v>
      </c>
      <c r="I454" s="82">
        <v>12.1</v>
      </c>
      <c r="J454" s="82">
        <v>9.1999999999999993</v>
      </c>
      <c r="K454" s="89" t="s">
        <v>193</v>
      </c>
    </row>
    <row r="455" spans="1:11" x14ac:dyDescent="0.2">
      <c r="A455" t="s">
        <v>21</v>
      </c>
      <c r="B455" s="89">
        <v>1674</v>
      </c>
      <c r="C455" s="82">
        <v>1</v>
      </c>
      <c r="D455" s="83">
        <v>32048</v>
      </c>
      <c r="E455" s="84">
        <f t="shared" si="7"/>
        <v>1987</v>
      </c>
      <c r="F455" s="82" t="s">
        <v>22</v>
      </c>
      <c r="G455" s="82">
        <v>2</v>
      </c>
      <c r="H455" s="82">
        <v>10</v>
      </c>
      <c r="I455" s="82">
        <v>12.1</v>
      </c>
      <c r="J455" s="82">
        <v>9.1999999999999993</v>
      </c>
      <c r="K455" s="89" t="s">
        <v>193</v>
      </c>
    </row>
    <row r="456" spans="1:11" x14ac:dyDescent="0.2">
      <c r="A456" t="s">
        <v>21</v>
      </c>
      <c r="B456" s="89">
        <v>1674</v>
      </c>
      <c r="C456" s="82">
        <v>1</v>
      </c>
      <c r="D456" s="83">
        <v>32048</v>
      </c>
      <c r="E456" s="84">
        <f t="shared" si="7"/>
        <v>1987</v>
      </c>
      <c r="F456" s="82" t="s">
        <v>22</v>
      </c>
      <c r="G456" s="82">
        <v>2</v>
      </c>
      <c r="H456" s="82">
        <v>11</v>
      </c>
      <c r="I456" s="82">
        <v>12.1</v>
      </c>
      <c r="J456" s="82">
        <v>9.1999999999999993</v>
      </c>
      <c r="K456" s="89" t="s">
        <v>193</v>
      </c>
    </row>
    <row r="457" spans="1:11" x14ac:dyDescent="0.2">
      <c r="A457" t="s">
        <v>21</v>
      </c>
      <c r="B457" s="89">
        <v>1674</v>
      </c>
      <c r="C457" s="82">
        <v>1</v>
      </c>
      <c r="D457" s="83">
        <v>32048</v>
      </c>
      <c r="E457" s="84">
        <f t="shared" si="7"/>
        <v>1987</v>
      </c>
      <c r="F457" s="82" t="s">
        <v>22</v>
      </c>
      <c r="G457" s="82">
        <v>2</v>
      </c>
      <c r="H457" s="82">
        <v>12</v>
      </c>
      <c r="I457" s="82">
        <v>12.1</v>
      </c>
      <c r="J457" s="82">
        <v>9.1999999999999993</v>
      </c>
      <c r="K457" s="89" t="s">
        <v>193</v>
      </c>
    </row>
    <row r="458" spans="1:11" x14ac:dyDescent="0.2">
      <c r="A458" t="s">
        <v>21</v>
      </c>
      <c r="B458" s="89">
        <v>1674</v>
      </c>
      <c r="C458" s="82">
        <v>1</v>
      </c>
      <c r="D458" s="83">
        <v>32048</v>
      </c>
      <c r="E458" s="84">
        <f t="shared" si="7"/>
        <v>1987</v>
      </c>
      <c r="F458" s="82" t="s">
        <v>22</v>
      </c>
      <c r="G458" s="82">
        <v>2</v>
      </c>
      <c r="H458" s="82">
        <v>13</v>
      </c>
      <c r="I458" s="82">
        <v>12.1</v>
      </c>
      <c r="J458" s="82">
        <v>9.1999999999999993</v>
      </c>
      <c r="K458" s="89" t="s">
        <v>193</v>
      </c>
    </row>
    <row r="459" spans="1:11" x14ac:dyDescent="0.2">
      <c r="A459" t="s">
        <v>21</v>
      </c>
      <c r="B459" s="89">
        <v>1674</v>
      </c>
      <c r="C459" s="82">
        <v>1</v>
      </c>
      <c r="D459" s="83">
        <v>32065</v>
      </c>
      <c r="E459" s="84">
        <f t="shared" si="7"/>
        <v>1987</v>
      </c>
      <c r="F459" s="82" t="s">
        <v>22</v>
      </c>
      <c r="G459" s="82">
        <v>2</v>
      </c>
      <c r="H459" s="82">
        <v>0</v>
      </c>
      <c r="I459" s="82">
        <v>10.5</v>
      </c>
      <c r="J459" s="82">
        <v>10.4</v>
      </c>
      <c r="K459" s="89" t="s">
        <v>193</v>
      </c>
    </row>
    <row r="460" spans="1:11" x14ac:dyDescent="0.2">
      <c r="A460" t="s">
        <v>21</v>
      </c>
      <c r="B460" s="89">
        <v>1674</v>
      </c>
      <c r="C460" s="82">
        <v>1</v>
      </c>
      <c r="D460" s="83">
        <v>32065</v>
      </c>
      <c r="E460" s="84">
        <f t="shared" si="7"/>
        <v>1987</v>
      </c>
      <c r="F460" s="82" t="s">
        <v>22</v>
      </c>
      <c r="G460" s="82">
        <v>2</v>
      </c>
      <c r="H460" s="82">
        <v>2</v>
      </c>
      <c r="I460" s="82">
        <v>10</v>
      </c>
      <c r="J460" s="82">
        <v>10.3</v>
      </c>
      <c r="K460" s="89" t="s">
        <v>193</v>
      </c>
    </row>
    <row r="461" spans="1:11" x14ac:dyDescent="0.2">
      <c r="A461" t="s">
        <v>21</v>
      </c>
      <c r="B461" s="89">
        <v>1674</v>
      </c>
      <c r="C461" s="82">
        <v>1</v>
      </c>
      <c r="D461" s="83">
        <v>32065</v>
      </c>
      <c r="E461" s="84">
        <f t="shared" si="7"/>
        <v>1987</v>
      </c>
      <c r="F461" s="82" t="s">
        <v>22</v>
      </c>
      <c r="G461" s="82">
        <v>2</v>
      </c>
      <c r="H461" s="82">
        <v>4</v>
      </c>
      <c r="I461" s="82">
        <v>10</v>
      </c>
      <c r="J461" s="82">
        <v>10.199999999999999</v>
      </c>
      <c r="K461" s="89" t="s">
        <v>193</v>
      </c>
    </row>
    <row r="462" spans="1:11" x14ac:dyDescent="0.2">
      <c r="A462" t="s">
        <v>21</v>
      </c>
      <c r="B462" s="89">
        <v>1674</v>
      </c>
      <c r="C462" s="82">
        <v>1</v>
      </c>
      <c r="D462" s="83">
        <v>32065</v>
      </c>
      <c r="E462" s="84">
        <f t="shared" si="7"/>
        <v>1987</v>
      </c>
      <c r="F462" s="82" t="s">
        <v>22</v>
      </c>
      <c r="G462" s="82">
        <v>2</v>
      </c>
      <c r="H462" s="82">
        <v>6</v>
      </c>
      <c r="I462" s="82">
        <v>10</v>
      </c>
      <c r="J462" s="82">
        <v>10.199999999999999</v>
      </c>
      <c r="K462" s="89" t="s">
        <v>193</v>
      </c>
    </row>
    <row r="463" spans="1:11" x14ac:dyDescent="0.2">
      <c r="A463" t="s">
        <v>21</v>
      </c>
      <c r="B463" s="89">
        <v>1674</v>
      </c>
      <c r="C463" s="82">
        <v>1</v>
      </c>
      <c r="D463" s="83">
        <v>32065</v>
      </c>
      <c r="E463" s="84">
        <f t="shared" si="7"/>
        <v>1987</v>
      </c>
      <c r="F463" s="82" t="s">
        <v>22</v>
      </c>
      <c r="G463" s="82">
        <v>2</v>
      </c>
      <c r="H463" s="82">
        <v>8</v>
      </c>
      <c r="I463" s="82">
        <v>10</v>
      </c>
      <c r="J463" s="82">
        <v>10.199999999999999</v>
      </c>
      <c r="K463" s="89" t="s">
        <v>193</v>
      </c>
    </row>
    <row r="464" spans="1:11" x14ac:dyDescent="0.2">
      <c r="A464" t="s">
        <v>21</v>
      </c>
      <c r="B464" s="89">
        <v>1674</v>
      </c>
      <c r="C464" s="82">
        <v>1</v>
      </c>
      <c r="D464" s="83">
        <v>32065</v>
      </c>
      <c r="E464" s="84">
        <f t="shared" si="7"/>
        <v>1987</v>
      </c>
      <c r="F464" s="82" t="s">
        <v>22</v>
      </c>
      <c r="G464" s="82">
        <v>2</v>
      </c>
      <c r="H464" s="82">
        <v>10</v>
      </c>
      <c r="I464" s="82">
        <v>10</v>
      </c>
      <c r="J464" s="82">
        <v>10</v>
      </c>
      <c r="K464" s="89" t="s">
        <v>193</v>
      </c>
    </row>
    <row r="465" spans="1:11" x14ac:dyDescent="0.2">
      <c r="A465" t="s">
        <v>21</v>
      </c>
      <c r="B465" s="89">
        <v>1674</v>
      </c>
      <c r="C465" s="82">
        <v>1</v>
      </c>
      <c r="D465" s="83">
        <v>32065</v>
      </c>
      <c r="E465" s="84">
        <f t="shared" si="7"/>
        <v>1987</v>
      </c>
      <c r="F465" s="82" t="s">
        <v>22</v>
      </c>
      <c r="G465" s="82">
        <v>2</v>
      </c>
      <c r="H465" s="82">
        <v>12</v>
      </c>
      <c r="I465" s="82">
        <v>10</v>
      </c>
      <c r="J465" s="82">
        <v>10</v>
      </c>
      <c r="K465" s="89" t="s">
        <v>193</v>
      </c>
    </row>
    <row r="466" spans="1:11" x14ac:dyDescent="0.2">
      <c r="A466" t="s">
        <v>21</v>
      </c>
      <c r="B466" s="89">
        <v>1674</v>
      </c>
      <c r="C466" s="82">
        <v>1</v>
      </c>
      <c r="D466" s="83">
        <v>32078</v>
      </c>
      <c r="E466" s="84">
        <f t="shared" si="7"/>
        <v>1987</v>
      </c>
      <c r="F466" s="82" t="s">
        <v>22</v>
      </c>
      <c r="G466" s="82">
        <v>2</v>
      </c>
      <c r="H466" s="82">
        <v>0</v>
      </c>
      <c r="I466" s="82">
        <v>7.8</v>
      </c>
      <c r="J466" s="82">
        <v>10.8</v>
      </c>
      <c r="K466" s="89" t="s">
        <v>193</v>
      </c>
    </row>
    <row r="467" spans="1:11" x14ac:dyDescent="0.2">
      <c r="A467" t="s">
        <v>21</v>
      </c>
      <c r="B467" s="89">
        <v>1674</v>
      </c>
      <c r="C467" s="82">
        <v>1</v>
      </c>
      <c r="D467" s="83">
        <v>32078</v>
      </c>
      <c r="E467" s="84">
        <f t="shared" si="7"/>
        <v>1987</v>
      </c>
      <c r="F467" s="82" t="s">
        <v>22</v>
      </c>
      <c r="G467" s="82">
        <v>2</v>
      </c>
      <c r="H467" s="82">
        <v>2</v>
      </c>
      <c r="I467" s="82">
        <v>7.8</v>
      </c>
      <c r="J467" s="82">
        <v>10.8</v>
      </c>
      <c r="K467" s="89" t="s">
        <v>193</v>
      </c>
    </row>
    <row r="468" spans="1:11" x14ac:dyDescent="0.2">
      <c r="A468" t="s">
        <v>21</v>
      </c>
      <c r="B468" s="89">
        <v>1674</v>
      </c>
      <c r="C468" s="82">
        <v>1</v>
      </c>
      <c r="D468" s="83">
        <v>32078</v>
      </c>
      <c r="E468" s="84">
        <f t="shared" si="7"/>
        <v>1987</v>
      </c>
      <c r="F468" s="82" t="s">
        <v>22</v>
      </c>
      <c r="G468" s="82">
        <v>2</v>
      </c>
      <c r="H468" s="82">
        <v>4</v>
      </c>
      <c r="I468" s="82">
        <v>7.8</v>
      </c>
      <c r="J468" s="82">
        <v>10.8</v>
      </c>
      <c r="K468" s="89" t="s">
        <v>193</v>
      </c>
    </row>
    <row r="469" spans="1:11" x14ac:dyDescent="0.2">
      <c r="A469" t="s">
        <v>21</v>
      </c>
      <c r="B469" s="89">
        <v>1674</v>
      </c>
      <c r="C469" s="82">
        <v>1</v>
      </c>
      <c r="D469" s="83">
        <v>32078</v>
      </c>
      <c r="E469" s="84">
        <f t="shared" si="7"/>
        <v>1987</v>
      </c>
      <c r="F469" s="82" t="s">
        <v>22</v>
      </c>
      <c r="G469" s="82">
        <v>2</v>
      </c>
      <c r="H469" s="82">
        <v>6</v>
      </c>
      <c r="I469" s="82">
        <v>7.8</v>
      </c>
      <c r="J469" s="82">
        <v>10.8</v>
      </c>
      <c r="K469" s="89" t="s">
        <v>193</v>
      </c>
    </row>
    <row r="470" spans="1:11" x14ac:dyDescent="0.2">
      <c r="A470" t="s">
        <v>21</v>
      </c>
      <c r="B470" s="89">
        <v>1674</v>
      </c>
      <c r="C470" s="82">
        <v>1</v>
      </c>
      <c r="D470" s="83">
        <v>32078</v>
      </c>
      <c r="E470" s="84">
        <f t="shared" si="7"/>
        <v>1987</v>
      </c>
      <c r="F470" s="82" t="s">
        <v>22</v>
      </c>
      <c r="G470" s="82">
        <v>2</v>
      </c>
      <c r="H470" s="82">
        <v>8</v>
      </c>
      <c r="I470" s="82">
        <v>7.8</v>
      </c>
      <c r="J470" s="82">
        <v>10.8</v>
      </c>
      <c r="K470" s="89" t="s">
        <v>193</v>
      </c>
    </row>
    <row r="471" spans="1:11" x14ac:dyDescent="0.2">
      <c r="A471" t="s">
        <v>21</v>
      </c>
      <c r="B471" s="89">
        <v>1674</v>
      </c>
      <c r="C471" s="82">
        <v>1</v>
      </c>
      <c r="D471" s="83">
        <v>32078</v>
      </c>
      <c r="E471" s="84">
        <f t="shared" si="7"/>
        <v>1987</v>
      </c>
      <c r="F471" s="82" t="s">
        <v>22</v>
      </c>
      <c r="G471" s="82">
        <v>2</v>
      </c>
      <c r="H471" s="82">
        <v>10</v>
      </c>
      <c r="I471" s="82">
        <v>7.6</v>
      </c>
      <c r="J471" s="82">
        <v>10.4</v>
      </c>
      <c r="K471" s="89" t="s">
        <v>193</v>
      </c>
    </row>
    <row r="472" spans="1:11" x14ac:dyDescent="0.2">
      <c r="A472" t="s">
        <v>21</v>
      </c>
      <c r="B472" s="89">
        <v>1674</v>
      </c>
      <c r="C472" s="82">
        <v>1</v>
      </c>
      <c r="D472" s="83">
        <v>32078</v>
      </c>
      <c r="E472" s="84">
        <f t="shared" si="7"/>
        <v>1987</v>
      </c>
      <c r="F472" s="82" t="s">
        <v>22</v>
      </c>
      <c r="G472" s="82">
        <v>2</v>
      </c>
      <c r="H472" s="82">
        <v>12</v>
      </c>
      <c r="I472" s="82">
        <v>7.5</v>
      </c>
      <c r="J472" s="82">
        <v>10.4</v>
      </c>
      <c r="K472" s="89" t="s">
        <v>193</v>
      </c>
    </row>
    <row r="473" spans="1:11" x14ac:dyDescent="0.2">
      <c r="A473" t="s">
        <v>21</v>
      </c>
      <c r="B473" s="89">
        <v>1674</v>
      </c>
      <c r="C473" s="82">
        <v>1</v>
      </c>
      <c r="D473" s="83">
        <v>32078</v>
      </c>
      <c r="E473" s="84">
        <f t="shared" si="7"/>
        <v>1987</v>
      </c>
      <c r="F473" s="82" t="s">
        <v>22</v>
      </c>
      <c r="G473" s="82">
        <v>2</v>
      </c>
      <c r="H473" s="82">
        <v>13</v>
      </c>
      <c r="I473" s="82">
        <v>7.5</v>
      </c>
      <c r="J473" s="82">
        <v>10.199999999999999</v>
      </c>
      <c r="K473" s="89" t="s">
        <v>193</v>
      </c>
    </row>
    <row r="474" spans="1:11" x14ac:dyDescent="0.2">
      <c r="A474" t="s">
        <v>21</v>
      </c>
      <c r="B474" s="89">
        <v>1674</v>
      </c>
      <c r="C474" s="82">
        <v>1</v>
      </c>
      <c r="D474" s="83">
        <v>32235</v>
      </c>
      <c r="E474" s="84">
        <f t="shared" si="7"/>
        <v>1988</v>
      </c>
      <c r="F474" s="82" t="s">
        <v>22</v>
      </c>
      <c r="G474" s="82">
        <v>2</v>
      </c>
      <c r="H474" s="82">
        <v>1</v>
      </c>
      <c r="I474" s="82">
        <v>0</v>
      </c>
      <c r="J474" s="82">
        <v>11.2</v>
      </c>
      <c r="K474" s="89" t="s">
        <v>193</v>
      </c>
    </row>
    <row r="475" spans="1:11" x14ac:dyDescent="0.2">
      <c r="A475" t="s">
        <v>21</v>
      </c>
      <c r="B475" s="89">
        <v>1674</v>
      </c>
      <c r="C475" s="82">
        <v>1</v>
      </c>
      <c r="D475" s="83">
        <v>32235</v>
      </c>
      <c r="E475" s="84">
        <f t="shared" si="7"/>
        <v>1988</v>
      </c>
      <c r="F475" s="82" t="s">
        <v>22</v>
      </c>
      <c r="G475" s="82">
        <v>2</v>
      </c>
      <c r="H475" s="82">
        <v>2</v>
      </c>
      <c r="I475" s="82">
        <v>0.3</v>
      </c>
      <c r="J475" s="82">
        <v>10.8</v>
      </c>
      <c r="K475" s="89" t="s">
        <v>193</v>
      </c>
    </row>
    <row r="476" spans="1:11" x14ac:dyDescent="0.2">
      <c r="A476" t="s">
        <v>21</v>
      </c>
      <c r="B476" s="89">
        <v>1674</v>
      </c>
      <c r="C476" s="82">
        <v>1</v>
      </c>
      <c r="D476" s="83">
        <v>32235</v>
      </c>
      <c r="E476" s="84">
        <f t="shared" si="7"/>
        <v>1988</v>
      </c>
      <c r="F476" s="82" t="s">
        <v>22</v>
      </c>
      <c r="G476" s="82">
        <v>2</v>
      </c>
      <c r="H476" s="82">
        <v>3</v>
      </c>
      <c r="I476" s="82">
        <v>0.3</v>
      </c>
      <c r="J476" s="82">
        <v>10.199999999999999</v>
      </c>
      <c r="K476" s="89" t="s">
        <v>193</v>
      </c>
    </row>
    <row r="477" spans="1:11" x14ac:dyDescent="0.2">
      <c r="A477" t="s">
        <v>21</v>
      </c>
      <c r="B477" s="89">
        <v>1674</v>
      </c>
      <c r="C477" s="82">
        <v>1</v>
      </c>
      <c r="D477" s="83">
        <v>32235</v>
      </c>
      <c r="E477" s="84">
        <f t="shared" si="7"/>
        <v>1988</v>
      </c>
      <c r="F477" s="82" t="s">
        <v>22</v>
      </c>
      <c r="G477" s="82">
        <v>2</v>
      </c>
      <c r="H477" s="82">
        <v>4</v>
      </c>
      <c r="I477" s="82">
        <v>1</v>
      </c>
      <c r="J477" s="82">
        <v>9.3000000000000007</v>
      </c>
      <c r="K477" s="89" t="s">
        <v>193</v>
      </c>
    </row>
    <row r="478" spans="1:11" x14ac:dyDescent="0.2">
      <c r="A478" t="s">
        <v>21</v>
      </c>
      <c r="B478" s="89">
        <v>1674</v>
      </c>
      <c r="C478" s="82">
        <v>1</v>
      </c>
      <c r="D478" s="83">
        <v>32235</v>
      </c>
      <c r="E478" s="84">
        <f t="shared" si="7"/>
        <v>1988</v>
      </c>
      <c r="F478" s="82" t="s">
        <v>22</v>
      </c>
      <c r="G478" s="82">
        <v>2</v>
      </c>
      <c r="H478" s="82">
        <v>5</v>
      </c>
      <c r="I478" s="82">
        <v>1.2</v>
      </c>
      <c r="J478" s="82">
        <v>8</v>
      </c>
      <c r="K478" s="89" t="s">
        <v>193</v>
      </c>
    </row>
    <row r="479" spans="1:11" x14ac:dyDescent="0.2">
      <c r="A479" t="s">
        <v>21</v>
      </c>
      <c r="B479" s="89">
        <v>1674</v>
      </c>
      <c r="C479" s="82">
        <v>1</v>
      </c>
      <c r="D479" s="83">
        <v>32235</v>
      </c>
      <c r="E479" s="84">
        <f t="shared" si="7"/>
        <v>1988</v>
      </c>
      <c r="F479" s="82" t="s">
        <v>22</v>
      </c>
      <c r="G479" s="82">
        <v>2</v>
      </c>
      <c r="H479" s="82">
        <v>6</v>
      </c>
      <c r="I479" s="82">
        <v>1.7</v>
      </c>
      <c r="J479" s="82">
        <v>7.4</v>
      </c>
      <c r="K479" s="89" t="s">
        <v>193</v>
      </c>
    </row>
    <row r="480" spans="1:11" x14ac:dyDescent="0.2">
      <c r="A480" t="s">
        <v>21</v>
      </c>
      <c r="B480" s="89">
        <v>1674</v>
      </c>
      <c r="C480" s="82">
        <v>1</v>
      </c>
      <c r="D480" s="83">
        <v>32235</v>
      </c>
      <c r="E480" s="84">
        <f t="shared" si="7"/>
        <v>1988</v>
      </c>
      <c r="F480" s="82" t="s">
        <v>22</v>
      </c>
      <c r="G480" s="82">
        <v>2</v>
      </c>
      <c r="H480" s="82">
        <v>7</v>
      </c>
      <c r="I480" s="82">
        <v>2</v>
      </c>
      <c r="J480" s="82">
        <v>5.9</v>
      </c>
      <c r="K480" s="89" t="s">
        <v>193</v>
      </c>
    </row>
    <row r="481" spans="1:11" x14ac:dyDescent="0.2">
      <c r="A481" t="s">
        <v>21</v>
      </c>
      <c r="B481" s="89">
        <v>1674</v>
      </c>
      <c r="C481" s="82">
        <v>1</v>
      </c>
      <c r="D481" s="83">
        <v>32235</v>
      </c>
      <c r="E481" s="84">
        <f t="shared" si="7"/>
        <v>1988</v>
      </c>
      <c r="F481" s="82" t="s">
        <v>22</v>
      </c>
      <c r="G481" s="82">
        <v>2</v>
      </c>
      <c r="H481" s="82">
        <v>8</v>
      </c>
      <c r="I481" s="82">
        <v>2.5</v>
      </c>
      <c r="J481" s="82">
        <v>3.8</v>
      </c>
      <c r="K481" s="89" t="s">
        <v>193</v>
      </c>
    </row>
    <row r="482" spans="1:11" x14ac:dyDescent="0.2">
      <c r="A482" t="s">
        <v>21</v>
      </c>
      <c r="B482" s="89">
        <v>1674</v>
      </c>
      <c r="C482" s="82">
        <v>1</v>
      </c>
      <c r="D482" s="83">
        <v>32235</v>
      </c>
      <c r="E482" s="84">
        <f t="shared" si="7"/>
        <v>1988</v>
      </c>
      <c r="F482" s="82" t="s">
        <v>22</v>
      </c>
      <c r="G482" s="82">
        <v>2</v>
      </c>
      <c r="H482" s="82">
        <v>9</v>
      </c>
      <c r="I482" s="82">
        <v>2.9</v>
      </c>
      <c r="J482" s="82">
        <v>2.7</v>
      </c>
      <c r="K482" s="89" t="s">
        <v>193</v>
      </c>
    </row>
    <row r="483" spans="1:11" x14ac:dyDescent="0.2">
      <c r="A483" t="s">
        <v>21</v>
      </c>
      <c r="B483" s="89">
        <v>1674</v>
      </c>
      <c r="C483" s="82">
        <v>1</v>
      </c>
      <c r="D483" s="83">
        <v>32235</v>
      </c>
      <c r="E483" s="84">
        <f t="shared" si="7"/>
        <v>1988</v>
      </c>
      <c r="F483" s="82" t="s">
        <v>22</v>
      </c>
      <c r="G483" s="82">
        <v>2</v>
      </c>
      <c r="H483" s="82">
        <v>10</v>
      </c>
      <c r="I483" s="82">
        <v>3</v>
      </c>
      <c r="J483" s="82">
        <v>2.6</v>
      </c>
      <c r="K483" s="89" t="s">
        <v>193</v>
      </c>
    </row>
    <row r="484" spans="1:11" x14ac:dyDescent="0.2">
      <c r="A484" t="s">
        <v>21</v>
      </c>
      <c r="B484" s="89">
        <v>1674</v>
      </c>
      <c r="C484" s="82">
        <v>1</v>
      </c>
      <c r="D484" s="83">
        <v>32235</v>
      </c>
      <c r="E484" s="84">
        <f t="shared" si="7"/>
        <v>1988</v>
      </c>
      <c r="F484" s="82" t="s">
        <v>22</v>
      </c>
      <c r="G484" s="82">
        <v>2</v>
      </c>
      <c r="H484" s="82">
        <v>11</v>
      </c>
      <c r="I484" s="82">
        <v>3</v>
      </c>
      <c r="J484" s="82">
        <v>2.6</v>
      </c>
      <c r="K484" s="89" t="s">
        <v>193</v>
      </c>
    </row>
    <row r="485" spans="1:11" x14ac:dyDescent="0.2">
      <c r="A485" t="s">
        <v>21</v>
      </c>
      <c r="B485" s="89">
        <v>1674</v>
      </c>
      <c r="C485" s="82">
        <v>1</v>
      </c>
      <c r="D485" s="83">
        <v>32235</v>
      </c>
      <c r="E485" s="84">
        <f t="shared" si="7"/>
        <v>1988</v>
      </c>
      <c r="F485" s="82" t="s">
        <v>22</v>
      </c>
      <c r="G485" s="82">
        <v>2</v>
      </c>
      <c r="H485" s="82">
        <v>12</v>
      </c>
      <c r="I485" s="82">
        <v>3.1</v>
      </c>
      <c r="J485" s="82">
        <v>2.2999999999999998</v>
      </c>
      <c r="K485" s="89" t="s">
        <v>193</v>
      </c>
    </row>
    <row r="486" spans="1:11" x14ac:dyDescent="0.2">
      <c r="A486" t="s">
        <v>21</v>
      </c>
      <c r="B486" s="89">
        <v>1674</v>
      </c>
      <c r="C486" s="82">
        <v>1</v>
      </c>
      <c r="D486" s="83">
        <v>32273</v>
      </c>
      <c r="E486" s="84">
        <f t="shared" si="7"/>
        <v>1988</v>
      </c>
      <c r="F486" s="82" t="s">
        <v>22</v>
      </c>
      <c r="G486" s="82">
        <v>2</v>
      </c>
      <c r="H486" s="82">
        <v>0</v>
      </c>
      <c r="I486" s="82">
        <v>8.1999999999999993</v>
      </c>
      <c r="J486" s="82">
        <v>11.9</v>
      </c>
      <c r="K486" s="89" t="s">
        <v>193</v>
      </c>
    </row>
    <row r="487" spans="1:11" x14ac:dyDescent="0.2">
      <c r="A487" t="s">
        <v>21</v>
      </c>
      <c r="B487" s="89">
        <v>1674</v>
      </c>
      <c r="C487" s="82">
        <v>1</v>
      </c>
      <c r="D487" s="83">
        <v>32273</v>
      </c>
      <c r="E487" s="84">
        <f t="shared" si="7"/>
        <v>1988</v>
      </c>
      <c r="F487" s="82" t="s">
        <v>22</v>
      </c>
      <c r="G487" s="82">
        <v>2</v>
      </c>
      <c r="H487" s="82">
        <v>1</v>
      </c>
      <c r="I487" s="82">
        <v>8</v>
      </c>
      <c r="J487" s="82">
        <v>11.9</v>
      </c>
      <c r="K487" s="89" t="s">
        <v>193</v>
      </c>
    </row>
    <row r="488" spans="1:11" x14ac:dyDescent="0.2">
      <c r="A488" t="s">
        <v>21</v>
      </c>
      <c r="B488" s="89">
        <v>1674</v>
      </c>
      <c r="C488" s="82">
        <v>1</v>
      </c>
      <c r="D488" s="83">
        <v>32273</v>
      </c>
      <c r="E488" s="84">
        <f t="shared" si="7"/>
        <v>1988</v>
      </c>
      <c r="F488" s="82" t="s">
        <v>22</v>
      </c>
      <c r="G488" s="82">
        <v>2</v>
      </c>
      <c r="H488" s="82">
        <v>2</v>
      </c>
      <c r="I488" s="82">
        <v>8</v>
      </c>
      <c r="J488" s="82">
        <v>11.9</v>
      </c>
      <c r="K488" s="89" t="s">
        <v>193</v>
      </c>
    </row>
    <row r="489" spans="1:11" x14ac:dyDescent="0.2">
      <c r="A489" t="s">
        <v>21</v>
      </c>
      <c r="B489" s="89">
        <v>1674</v>
      </c>
      <c r="C489" s="82">
        <v>1</v>
      </c>
      <c r="D489" s="83">
        <v>32273</v>
      </c>
      <c r="E489" s="84">
        <f t="shared" si="7"/>
        <v>1988</v>
      </c>
      <c r="F489" s="82" t="s">
        <v>22</v>
      </c>
      <c r="G489" s="82">
        <v>2</v>
      </c>
      <c r="H489" s="82">
        <v>3</v>
      </c>
      <c r="I489" s="82">
        <v>7.9</v>
      </c>
      <c r="J489" s="82">
        <v>11.8</v>
      </c>
      <c r="K489" s="89" t="s">
        <v>193</v>
      </c>
    </row>
    <row r="490" spans="1:11" x14ac:dyDescent="0.2">
      <c r="A490" t="s">
        <v>21</v>
      </c>
      <c r="B490" s="89">
        <v>1674</v>
      </c>
      <c r="C490" s="82">
        <v>1</v>
      </c>
      <c r="D490" s="83">
        <v>32273</v>
      </c>
      <c r="E490" s="84">
        <f t="shared" si="7"/>
        <v>1988</v>
      </c>
      <c r="F490" s="82" t="s">
        <v>22</v>
      </c>
      <c r="G490" s="82">
        <v>2</v>
      </c>
      <c r="H490" s="82">
        <v>4</v>
      </c>
      <c r="I490" s="82">
        <v>7.9</v>
      </c>
      <c r="J490" s="82">
        <v>11.8</v>
      </c>
      <c r="K490" s="89" t="s">
        <v>193</v>
      </c>
    </row>
    <row r="491" spans="1:11" x14ac:dyDescent="0.2">
      <c r="A491" t="s">
        <v>21</v>
      </c>
      <c r="B491" s="89">
        <v>1674</v>
      </c>
      <c r="C491" s="82">
        <v>1</v>
      </c>
      <c r="D491" s="83">
        <v>32273</v>
      </c>
      <c r="E491" s="84">
        <f t="shared" si="7"/>
        <v>1988</v>
      </c>
      <c r="F491" s="82" t="s">
        <v>22</v>
      </c>
      <c r="G491" s="82">
        <v>2</v>
      </c>
      <c r="H491" s="82">
        <v>5</v>
      </c>
      <c r="I491" s="82">
        <v>7.8</v>
      </c>
      <c r="J491" s="82">
        <v>11.8</v>
      </c>
      <c r="K491" s="89" t="s">
        <v>193</v>
      </c>
    </row>
    <row r="492" spans="1:11" x14ac:dyDescent="0.2">
      <c r="A492" t="s">
        <v>21</v>
      </c>
      <c r="B492" s="89">
        <v>1674</v>
      </c>
      <c r="C492" s="82">
        <v>1</v>
      </c>
      <c r="D492" s="83">
        <v>32273</v>
      </c>
      <c r="E492" s="84">
        <f t="shared" si="7"/>
        <v>1988</v>
      </c>
      <c r="F492" s="82" t="s">
        <v>22</v>
      </c>
      <c r="G492" s="82">
        <v>2</v>
      </c>
      <c r="H492" s="82">
        <v>6</v>
      </c>
      <c r="I492" s="82">
        <v>7.7</v>
      </c>
      <c r="J492" s="82">
        <v>11.8</v>
      </c>
      <c r="K492" s="89" t="s">
        <v>193</v>
      </c>
    </row>
    <row r="493" spans="1:11" x14ac:dyDescent="0.2">
      <c r="A493" t="s">
        <v>21</v>
      </c>
      <c r="B493" s="89">
        <v>1674</v>
      </c>
      <c r="C493" s="82">
        <v>1</v>
      </c>
      <c r="D493" s="83">
        <v>32273</v>
      </c>
      <c r="E493" s="84">
        <f t="shared" si="7"/>
        <v>1988</v>
      </c>
      <c r="F493" s="82" t="s">
        <v>22</v>
      </c>
      <c r="G493" s="82">
        <v>2</v>
      </c>
      <c r="H493" s="82">
        <v>7</v>
      </c>
      <c r="I493" s="82">
        <v>7.6</v>
      </c>
      <c r="J493" s="82">
        <v>11.7</v>
      </c>
      <c r="K493" s="89" t="s">
        <v>193</v>
      </c>
    </row>
    <row r="494" spans="1:11" x14ac:dyDescent="0.2">
      <c r="A494" t="s">
        <v>21</v>
      </c>
      <c r="B494" s="89">
        <v>1674</v>
      </c>
      <c r="C494" s="82">
        <v>1</v>
      </c>
      <c r="D494" s="83">
        <v>32273</v>
      </c>
      <c r="E494" s="84">
        <f t="shared" si="7"/>
        <v>1988</v>
      </c>
      <c r="F494" s="82" t="s">
        <v>22</v>
      </c>
      <c r="G494" s="82">
        <v>2</v>
      </c>
      <c r="H494" s="82">
        <v>8</v>
      </c>
      <c r="I494" s="82">
        <v>7.7</v>
      </c>
      <c r="J494" s="82">
        <v>11.8</v>
      </c>
      <c r="K494" s="89" t="s">
        <v>193</v>
      </c>
    </row>
    <row r="495" spans="1:11" x14ac:dyDescent="0.2">
      <c r="A495" t="s">
        <v>21</v>
      </c>
      <c r="B495" s="89">
        <v>1674</v>
      </c>
      <c r="C495" s="82">
        <v>1</v>
      </c>
      <c r="D495" s="83">
        <v>32273</v>
      </c>
      <c r="E495" s="84">
        <f t="shared" si="7"/>
        <v>1988</v>
      </c>
      <c r="F495" s="82" t="s">
        <v>22</v>
      </c>
      <c r="G495" s="82">
        <v>2</v>
      </c>
      <c r="H495" s="82">
        <v>9</v>
      </c>
      <c r="I495" s="82">
        <v>7.7</v>
      </c>
      <c r="J495" s="82">
        <v>11.8</v>
      </c>
      <c r="K495" s="89" t="s">
        <v>193</v>
      </c>
    </row>
    <row r="496" spans="1:11" x14ac:dyDescent="0.2">
      <c r="A496" t="s">
        <v>21</v>
      </c>
      <c r="B496" s="89">
        <v>1674</v>
      </c>
      <c r="C496" s="82">
        <v>1</v>
      </c>
      <c r="D496" s="83">
        <v>32273</v>
      </c>
      <c r="E496" s="84">
        <f t="shared" si="7"/>
        <v>1988</v>
      </c>
      <c r="F496" s="82" t="s">
        <v>22</v>
      </c>
      <c r="G496" s="82">
        <v>2</v>
      </c>
      <c r="H496" s="82">
        <v>10</v>
      </c>
      <c r="I496" s="82">
        <v>7.6</v>
      </c>
      <c r="J496" s="82">
        <v>11.6</v>
      </c>
      <c r="K496" s="89" t="s">
        <v>193</v>
      </c>
    </row>
    <row r="497" spans="1:11" x14ac:dyDescent="0.2">
      <c r="A497" t="s">
        <v>21</v>
      </c>
      <c r="B497" s="89">
        <v>1674</v>
      </c>
      <c r="C497" s="82">
        <v>1</v>
      </c>
      <c r="D497" s="83">
        <v>32273</v>
      </c>
      <c r="E497" s="84">
        <f t="shared" si="7"/>
        <v>1988</v>
      </c>
      <c r="F497" s="82" t="s">
        <v>22</v>
      </c>
      <c r="G497" s="82">
        <v>2</v>
      </c>
      <c r="H497" s="82">
        <v>11</v>
      </c>
      <c r="I497" s="82">
        <v>7.5</v>
      </c>
      <c r="J497" s="82">
        <v>11.6</v>
      </c>
      <c r="K497" s="89" t="s">
        <v>193</v>
      </c>
    </row>
    <row r="498" spans="1:11" x14ac:dyDescent="0.2">
      <c r="A498" t="s">
        <v>21</v>
      </c>
      <c r="B498" s="89">
        <v>1674</v>
      </c>
      <c r="C498" s="82">
        <v>1</v>
      </c>
      <c r="D498" s="83">
        <v>32273</v>
      </c>
      <c r="E498" s="84">
        <f t="shared" si="7"/>
        <v>1988</v>
      </c>
      <c r="F498" s="82" t="s">
        <v>22</v>
      </c>
      <c r="G498" s="82">
        <v>2</v>
      </c>
      <c r="H498" s="82">
        <v>12</v>
      </c>
      <c r="I498" s="82">
        <v>7.5</v>
      </c>
      <c r="J498" s="82">
        <v>11.4</v>
      </c>
      <c r="K498" s="89" t="s">
        <v>193</v>
      </c>
    </row>
    <row r="499" spans="1:11" x14ac:dyDescent="0.2">
      <c r="A499" t="s">
        <v>21</v>
      </c>
      <c r="B499" s="89">
        <v>1674</v>
      </c>
      <c r="C499" s="82">
        <v>1</v>
      </c>
      <c r="D499" s="83">
        <v>32273</v>
      </c>
      <c r="E499" s="84">
        <f t="shared" si="7"/>
        <v>1988</v>
      </c>
      <c r="F499" s="82" t="s">
        <v>22</v>
      </c>
      <c r="G499" s="82">
        <v>2</v>
      </c>
      <c r="H499" s="82">
        <v>13</v>
      </c>
      <c r="I499" s="82">
        <v>7.2</v>
      </c>
      <c r="J499" s="82">
        <v>11.5</v>
      </c>
      <c r="K499" s="89" t="s">
        <v>193</v>
      </c>
    </row>
    <row r="500" spans="1:11" x14ac:dyDescent="0.2">
      <c r="A500" t="s">
        <v>21</v>
      </c>
      <c r="B500" s="89">
        <v>1674</v>
      </c>
      <c r="C500" s="82">
        <v>1</v>
      </c>
      <c r="D500" s="83">
        <v>32296</v>
      </c>
      <c r="E500" s="84">
        <f t="shared" si="7"/>
        <v>1988</v>
      </c>
      <c r="F500" s="82" t="s">
        <v>22</v>
      </c>
      <c r="G500" s="82">
        <v>2</v>
      </c>
      <c r="H500" s="82">
        <v>0</v>
      </c>
      <c r="I500" s="82">
        <v>12.8</v>
      </c>
      <c r="J500" s="82">
        <v>10.1</v>
      </c>
      <c r="K500" s="89" t="s">
        <v>193</v>
      </c>
    </row>
    <row r="501" spans="1:11" x14ac:dyDescent="0.2">
      <c r="A501" t="s">
        <v>21</v>
      </c>
      <c r="B501" s="89">
        <v>1674</v>
      </c>
      <c r="C501" s="82">
        <v>1</v>
      </c>
      <c r="D501" s="83">
        <v>32296</v>
      </c>
      <c r="E501" s="84">
        <f t="shared" si="7"/>
        <v>1988</v>
      </c>
      <c r="F501" s="82" t="s">
        <v>22</v>
      </c>
      <c r="G501" s="82">
        <v>2</v>
      </c>
      <c r="H501" s="82">
        <v>1</v>
      </c>
      <c r="I501" s="82">
        <v>12.8</v>
      </c>
      <c r="J501" s="82">
        <v>10.1</v>
      </c>
      <c r="K501" s="89" t="s">
        <v>193</v>
      </c>
    </row>
    <row r="502" spans="1:11" x14ac:dyDescent="0.2">
      <c r="A502" t="s">
        <v>21</v>
      </c>
      <c r="B502" s="89">
        <v>1674</v>
      </c>
      <c r="C502" s="82">
        <v>1</v>
      </c>
      <c r="D502" s="83">
        <v>32296</v>
      </c>
      <c r="E502" s="84">
        <f t="shared" si="7"/>
        <v>1988</v>
      </c>
      <c r="F502" s="82" t="s">
        <v>22</v>
      </c>
      <c r="G502" s="82">
        <v>2</v>
      </c>
      <c r="H502" s="82">
        <v>2</v>
      </c>
      <c r="I502" s="82">
        <v>12.8</v>
      </c>
      <c r="J502" s="82">
        <v>10</v>
      </c>
      <c r="K502" s="89" t="s">
        <v>193</v>
      </c>
    </row>
    <row r="503" spans="1:11" x14ac:dyDescent="0.2">
      <c r="A503" t="s">
        <v>21</v>
      </c>
      <c r="B503" s="89">
        <v>1674</v>
      </c>
      <c r="C503" s="82">
        <v>1</v>
      </c>
      <c r="D503" s="83">
        <v>32296</v>
      </c>
      <c r="E503" s="84">
        <f t="shared" si="7"/>
        <v>1988</v>
      </c>
      <c r="F503" s="82" t="s">
        <v>22</v>
      </c>
      <c r="G503" s="82">
        <v>2</v>
      </c>
      <c r="H503" s="82">
        <v>3</v>
      </c>
      <c r="I503" s="82">
        <v>12.8</v>
      </c>
      <c r="J503" s="82">
        <v>10</v>
      </c>
      <c r="K503" s="89" t="s">
        <v>193</v>
      </c>
    </row>
    <row r="504" spans="1:11" x14ac:dyDescent="0.2">
      <c r="A504" t="s">
        <v>21</v>
      </c>
      <c r="B504" s="89">
        <v>1674</v>
      </c>
      <c r="C504" s="82">
        <v>1</v>
      </c>
      <c r="D504" s="83">
        <v>32296</v>
      </c>
      <c r="E504" s="84">
        <f t="shared" si="7"/>
        <v>1988</v>
      </c>
      <c r="F504" s="82" t="s">
        <v>22</v>
      </c>
      <c r="G504" s="82">
        <v>2</v>
      </c>
      <c r="H504" s="82">
        <v>4</v>
      </c>
      <c r="I504" s="82">
        <v>12.8</v>
      </c>
      <c r="J504" s="82">
        <v>10</v>
      </c>
      <c r="K504" s="89" t="s">
        <v>193</v>
      </c>
    </row>
    <row r="505" spans="1:11" x14ac:dyDescent="0.2">
      <c r="A505" t="s">
        <v>21</v>
      </c>
      <c r="B505" s="89">
        <v>1674</v>
      </c>
      <c r="C505" s="82">
        <v>1</v>
      </c>
      <c r="D505" s="83">
        <v>32296</v>
      </c>
      <c r="E505" s="84">
        <f t="shared" si="7"/>
        <v>1988</v>
      </c>
      <c r="F505" s="82" t="s">
        <v>22</v>
      </c>
      <c r="G505" s="82">
        <v>2</v>
      </c>
      <c r="H505" s="82">
        <v>5</v>
      </c>
      <c r="I505" s="82">
        <v>12.8</v>
      </c>
      <c r="J505" s="82">
        <v>10</v>
      </c>
      <c r="K505" s="89" t="s">
        <v>193</v>
      </c>
    </row>
    <row r="506" spans="1:11" x14ac:dyDescent="0.2">
      <c r="A506" t="s">
        <v>21</v>
      </c>
      <c r="B506" s="89">
        <v>1674</v>
      </c>
      <c r="C506" s="82">
        <v>1</v>
      </c>
      <c r="D506" s="83">
        <v>32296</v>
      </c>
      <c r="E506" s="84">
        <f t="shared" si="7"/>
        <v>1988</v>
      </c>
      <c r="F506" s="82" t="s">
        <v>22</v>
      </c>
      <c r="G506" s="82">
        <v>2</v>
      </c>
      <c r="H506" s="82">
        <v>6</v>
      </c>
      <c r="I506" s="82">
        <v>12.7</v>
      </c>
      <c r="J506" s="82">
        <v>10</v>
      </c>
      <c r="K506" s="89" t="s">
        <v>193</v>
      </c>
    </row>
    <row r="507" spans="1:11" x14ac:dyDescent="0.2">
      <c r="A507" t="s">
        <v>21</v>
      </c>
      <c r="B507" s="89">
        <v>1674</v>
      </c>
      <c r="C507" s="82">
        <v>1</v>
      </c>
      <c r="D507" s="83">
        <v>32296</v>
      </c>
      <c r="E507" s="84">
        <f t="shared" si="7"/>
        <v>1988</v>
      </c>
      <c r="F507" s="82" t="s">
        <v>22</v>
      </c>
      <c r="G507" s="82">
        <v>2</v>
      </c>
      <c r="H507" s="82">
        <v>7</v>
      </c>
      <c r="I507" s="82">
        <v>12.7</v>
      </c>
      <c r="J507" s="82">
        <v>10</v>
      </c>
      <c r="K507" s="89" t="s">
        <v>193</v>
      </c>
    </row>
    <row r="508" spans="1:11" x14ac:dyDescent="0.2">
      <c r="A508" t="s">
        <v>21</v>
      </c>
      <c r="B508" s="89">
        <v>1674</v>
      </c>
      <c r="C508" s="82">
        <v>1</v>
      </c>
      <c r="D508" s="83">
        <v>32296</v>
      </c>
      <c r="E508" s="84">
        <f t="shared" si="7"/>
        <v>1988</v>
      </c>
      <c r="F508" s="82" t="s">
        <v>22</v>
      </c>
      <c r="G508" s="82">
        <v>2</v>
      </c>
      <c r="H508" s="82">
        <v>8</v>
      </c>
      <c r="I508" s="82">
        <v>12.7</v>
      </c>
      <c r="J508" s="82">
        <v>10</v>
      </c>
      <c r="K508" s="89" t="s">
        <v>193</v>
      </c>
    </row>
    <row r="509" spans="1:11" x14ac:dyDescent="0.2">
      <c r="A509" t="s">
        <v>21</v>
      </c>
      <c r="B509" s="89">
        <v>1674</v>
      </c>
      <c r="C509" s="82">
        <v>1</v>
      </c>
      <c r="D509" s="83">
        <v>32296</v>
      </c>
      <c r="E509" s="84">
        <f t="shared" si="7"/>
        <v>1988</v>
      </c>
      <c r="F509" s="82" t="s">
        <v>22</v>
      </c>
      <c r="G509" s="82">
        <v>2</v>
      </c>
      <c r="H509" s="82">
        <v>9</v>
      </c>
      <c r="I509" s="82">
        <v>12.7</v>
      </c>
      <c r="J509" s="82">
        <v>10</v>
      </c>
      <c r="K509" s="89" t="s">
        <v>193</v>
      </c>
    </row>
    <row r="510" spans="1:11" x14ac:dyDescent="0.2">
      <c r="A510" t="s">
        <v>21</v>
      </c>
      <c r="B510" s="89">
        <v>1674</v>
      </c>
      <c r="C510" s="82">
        <v>1</v>
      </c>
      <c r="D510" s="83">
        <v>32296</v>
      </c>
      <c r="E510" s="84">
        <f t="shared" si="7"/>
        <v>1988</v>
      </c>
      <c r="F510" s="82" t="s">
        <v>22</v>
      </c>
      <c r="G510" s="82">
        <v>2</v>
      </c>
      <c r="H510" s="82">
        <v>10</v>
      </c>
      <c r="I510" s="82">
        <v>12.7</v>
      </c>
      <c r="J510" s="82">
        <v>10</v>
      </c>
      <c r="K510" s="89" t="s">
        <v>193</v>
      </c>
    </row>
    <row r="511" spans="1:11" x14ac:dyDescent="0.2">
      <c r="A511" t="s">
        <v>21</v>
      </c>
      <c r="B511" s="89">
        <v>1674</v>
      </c>
      <c r="C511" s="82">
        <v>1</v>
      </c>
      <c r="D511" s="83">
        <v>32296</v>
      </c>
      <c r="E511" s="84">
        <f t="shared" si="7"/>
        <v>1988</v>
      </c>
      <c r="F511" s="82" t="s">
        <v>22</v>
      </c>
      <c r="G511" s="82">
        <v>2</v>
      </c>
      <c r="H511" s="82">
        <v>11</v>
      </c>
      <c r="I511" s="82">
        <v>12.5</v>
      </c>
      <c r="J511" s="82">
        <v>10</v>
      </c>
      <c r="K511" s="89" t="s">
        <v>193</v>
      </c>
    </row>
    <row r="512" spans="1:11" x14ac:dyDescent="0.2">
      <c r="A512" t="s">
        <v>21</v>
      </c>
      <c r="B512" s="89">
        <v>1674</v>
      </c>
      <c r="C512" s="82">
        <v>1</v>
      </c>
      <c r="D512" s="83">
        <v>32296</v>
      </c>
      <c r="E512" s="84">
        <f t="shared" si="7"/>
        <v>1988</v>
      </c>
      <c r="F512" s="82" t="s">
        <v>22</v>
      </c>
      <c r="G512" s="82">
        <v>2</v>
      </c>
      <c r="H512" s="82">
        <v>12</v>
      </c>
      <c r="I512" s="82">
        <v>12.5</v>
      </c>
      <c r="J512" s="82">
        <v>10</v>
      </c>
      <c r="K512" s="89" t="s">
        <v>193</v>
      </c>
    </row>
    <row r="513" spans="1:11" x14ac:dyDescent="0.2">
      <c r="A513" t="s">
        <v>21</v>
      </c>
      <c r="B513" s="89">
        <v>1674</v>
      </c>
      <c r="C513" s="82">
        <v>1</v>
      </c>
      <c r="D513" s="83">
        <v>32296</v>
      </c>
      <c r="E513" s="84">
        <f t="shared" si="7"/>
        <v>1988</v>
      </c>
      <c r="F513" s="82" t="s">
        <v>22</v>
      </c>
      <c r="G513" s="82">
        <v>2</v>
      </c>
      <c r="H513" s="82">
        <v>13</v>
      </c>
      <c r="I513" s="82">
        <v>12.2</v>
      </c>
      <c r="J513" s="82">
        <v>10</v>
      </c>
      <c r="K513" s="89" t="s">
        <v>193</v>
      </c>
    </row>
    <row r="514" spans="1:11" x14ac:dyDescent="0.2">
      <c r="A514" t="s">
        <v>21</v>
      </c>
      <c r="B514" s="89">
        <v>1674</v>
      </c>
      <c r="C514" s="82">
        <v>1</v>
      </c>
      <c r="D514" s="83">
        <v>32310</v>
      </c>
      <c r="E514" s="84">
        <f t="shared" ref="E514:E577" si="8">YEAR(D514)</f>
        <v>1988</v>
      </c>
      <c r="F514" s="82" t="s">
        <v>22</v>
      </c>
      <c r="G514" s="82">
        <v>2</v>
      </c>
      <c r="H514" s="82">
        <v>0</v>
      </c>
      <c r="I514" s="82">
        <v>18.899999999999999</v>
      </c>
      <c r="J514" s="82">
        <v>10.199999999999999</v>
      </c>
      <c r="K514" s="89" t="s">
        <v>193</v>
      </c>
    </row>
    <row r="515" spans="1:11" x14ac:dyDescent="0.2">
      <c r="A515" t="s">
        <v>21</v>
      </c>
      <c r="B515" s="89">
        <v>1674</v>
      </c>
      <c r="C515" s="82">
        <v>1</v>
      </c>
      <c r="D515" s="83">
        <v>32310</v>
      </c>
      <c r="E515" s="84">
        <f t="shared" si="8"/>
        <v>1988</v>
      </c>
      <c r="F515" s="82" t="s">
        <v>22</v>
      </c>
      <c r="G515" s="82">
        <v>2</v>
      </c>
      <c r="H515" s="82">
        <v>1</v>
      </c>
      <c r="I515" s="82">
        <v>18.3</v>
      </c>
      <c r="J515" s="82">
        <v>10.4</v>
      </c>
      <c r="K515" s="89" t="s">
        <v>193</v>
      </c>
    </row>
    <row r="516" spans="1:11" x14ac:dyDescent="0.2">
      <c r="A516" t="s">
        <v>21</v>
      </c>
      <c r="B516" s="89">
        <v>1674</v>
      </c>
      <c r="C516" s="82">
        <v>1</v>
      </c>
      <c r="D516" s="83">
        <v>32310</v>
      </c>
      <c r="E516" s="84">
        <f t="shared" si="8"/>
        <v>1988</v>
      </c>
      <c r="F516" s="82" t="s">
        <v>22</v>
      </c>
      <c r="G516" s="82">
        <v>2</v>
      </c>
      <c r="H516" s="82">
        <v>2</v>
      </c>
      <c r="I516" s="82">
        <v>18.3</v>
      </c>
      <c r="J516" s="82">
        <v>10.5</v>
      </c>
      <c r="K516" s="89" t="s">
        <v>193</v>
      </c>
    </row>
    <row r="517" spans="1:11" x14ac:dyDescent="0.2">
      <c r="A517" t="s">
        <v>21</v>
      </c>
      <c r="B517" s="89">
        <v>1674</v>
      </c>
      <c r="C517" s="82">
        <v>1</v>
      </c>
      <c r="D517" s="83">
        <v>32310</v>
      </c>
      <c r="E517" s="84">
        <f t="shared" si="8"/>
        <v>1988</v>
      </c>
      <c r="F517" s="82" t="s">
        <v>22</v>
      </c>
      <c r="G517" s="82">
        <v>2</v>
      </c>
      <c r="H517" s="82">
        <v>3</v>
      </c>
      <c r="I517" s="82">
        <v>18.100000000000001</v>
      </c>
      <c r="J517" s="82">
        <v>10.5</v>
      </c>
      <c r="K517" s="89" t="s">
        <v>193</v>
      </c>
    </row>
    <row r="518" spans="1:11" x14ac:dyDescent="0.2">
      <c r="A518" t="s">
        <v>21</v>
      </c>
      <c r="B518" s="89">
        <v>1674</v>
      </c>
      <c r="C518" s="82">
        <v>1</v>
      </c>
      <c r="D518" s="83">
        <v>32310</v>
      </c>
      <c r="E518" s="84">
        <f t="shared" si="8"/>
        <v>1988</v>
      </c>
      <c r="F518" s="82" t="s">
        <v>22</v>
      </c>
      <c r="G518" s="82">
        <v>2</v>
      </c>
      <c r="H518" s="82">
        <v>4</v>
      </c>
      <c r="I518" s="82">
        <v>16.3</v>
      </c>
      <c r="J518" s="82">
        <v>10.4</v>
      </c>
      <c r="K518" s="89" t="s">
        <v>193</v>
      </c>
    </row>
    <row r="519" spans="1:11" x14ac:dyDescent="0.2">
      <c r="A519" t="s">
        <v>21</v>
      </c>
      <c r="B519" s="89">
        <v>1674</v>
      </c>
      <c r="C519" s="82">
        <v>1</v>
      </c>
      <c r="D519" s="83">
        <v>32310</v>
      </c>
      <c r="E519" s="84">
        <f t="shared" si="8"/>
        <v>1988</v>
      </c>
      <c r="F519" s="82" t="s">
        <v>22</v>
      </c>
      <c r="G519" s="82">
        <v>2</v>
      </c>
      <c r="H519" s="82">
        <v>5</v>
      </c>
      <c r="I519" s="82">
        <v>15.6</v>
      </c>
      <c r="J519" s="82">
        <v>10.199999999999999</v>
      </c>
      <c r="K519" s="89" t="s">
        <v>193</v>
      </c>
    </row>
    <row r="520" spans="1:11" x14ac:dyDescent="0.2">
      <c r="A520" t="s">
        <v>21</v>
      </c>
      <c r="B520" s="89">
        <v>1674</v>
      </c>
      <c r="C520" s="82">
        <v>1</v>
      </c>
      <c r="D520" s="83">
        <v>32310</v>
      </c>
      <c r="E520" s="84">
        <f t="shared" si="8"/>
        <v>1988</v>
      </c>
      <c r="F520" s="82" t="s">
        <v>22</v>
      </c>
      <c r="G520" s="82">
        <v>2</v>
      </c>
      <c r="H520" s="82">
        <v>6</v>
      </c>
      <c r="I520" s="82">
        <v>14.7</v>
      </c>
      <c r="J520" s="82">
        <v>9.8000000000000007</v>
      </c>
      <c r="K520" s="89" t="s">
        <v>193</v>
      </c>
    </row>
    <row r="521" spans="1:11" x14ac:dyDescent="0.2">
      <c r="A521" t="s">
        <v>21</v>
      </c>
      <c r="B521" s="89">
        <v>1674</v>
      </c>
      <c r="C521" s="82">
        <v>1</v>
      </c>
      <c r="D521" s="83">
        <v>32310</v>
      </c>
      <c r="E521" s="84">
        <f t="shared" si="8"/>
        <v>1988</v>
      </c>
      <c r="F521" s="82" t="s">
        <v>22</v>
      </c>
      <c r="G521" s="82">
        <v>2</v>
      </c>
      <c r="H521" s="82">
        <v>7</v>
      </c>
      <c r="I521" s="82">
        <v>14.3</v>
      </c>
      <c r="J521" s="82">
        <v>9.6999999999999993</v>
      </c>
      <c r="K521" s="89" t="s">
        <v>193</v>
      </c>
    </row>
    <row r="522" spans="1:11" x14ac:dyDescent="0.2">
      <c r="A522" t="s">
        <v>21</v>
      </c>
      <c r="B522" s="89">
        <v>1674</v>
      </c>
      <c r="C522" s="82">
        <v>1</v>
      </c>
      <c r="D522" s="83">
        <v>32310</v>
      </c>
      <c r="E522" s="84">
        <f t="shared" si="8"/>
        <v>1988</v>
      </c>
      <c r="F522" s="82" t="s">
        <v>22</v>
      </c>
      <c r="G522" s="82">
        <v>2</v>
      </c>
      <c r="H522" s="82">
        <v>8</v>
      </c>
      <c r="I522" s="82">
        <v>14.2</v>
      </c>
      <c r="J522" s="82">
        <v>9.3000000000000007</v>
      </c>
      <c r="K522" s="89" t="s">
        <v>193</v>
      </c>
    </row>
    <row r="523" spans="1:11" x14ac:dyDescent="0.2">
      <c r="A523" t="s">
        <v>21</v>
      </c>
      <c r="B523" s="89">
        <v>1674</v>
      </c>
      <c r="C523" s="82">
        <v>1</v>
      </c>
      <c r="D523" s="83">
        <v>32310</v>
      </c>
      <c r="E523" s="84">
        <f t="shared" si="8"/>
        <v>1988</v>
      </c>
      <c r="F523" s="82" t="s">
        <v>22</v>
      </c>
      <c r="G523" s="82">
        <v>2</v>
      </c>
      <c r="H523" s="82">
        <v>9</v>
      </c>
      <c r="I523" s="82">
        <v>14</v>
      </c>
      <c r="J523" s="82">
        <v>9</v>
      </c>
      <c r="K523" s="89" t="s">
        <v>193</v>
      </c>
    </row>
    <row r="524" spans="1:11" x14ac:dyDescent="0.2">
      <c r="A524" t="s">
        <v>21</v>
      </c>
      <c r="B524" s="89">
        <v>1674</v>
      </c>
      <c r="C524" s="82">
        <v>1</v>
      </c>
      <c r="D524" s="83">
        <v>32310</v>
      </c>
      <c r="E524" s="84">
        <f t="shared" si="8"/>
        <v>1988</v>
      </c>
      <c r="F524" s="82" t="s">
        <v>22</v>
      </c>
      <c r="G524" s="82">
        <v>2</v>
      </c>
      <c r="H524" s="82">
        <v>10</v>
      </c>
      <c r="I524" s="82">
        <v>13.8</v>
      </c>
      <c r="J524" s="82">
        <v>8.9</v>
      </c>
      <c r="K524" s="89" t="s">
        <v>193</v>
      </c>
    </row>
    <row r="525" spans="1:11" x14ac:dyDescent="0.2">
      <c r="A525" t="s">
        <v>21</v>
      </c>
      <c r="B525" s="89">
        <v>1674</v>
      </c>
      <c r="C525" s="82">
        <v>1</v>
      </c>
      <c r="D525" s="83">
        <v>32310</v>
      </c>
      <c r="E525" s="84">
        <f t="shared" si="8"/>
        <v>1988</v>
      </c>
      <c r="F525" s="82" t="s">
        <v>22</v>
      </c>
      <c r="G525" s="82">
        <v>2</v>
      </c>
      <c r="H525" s="82">
        <v>11</v>
      </c>
      <c r="I525" s="82">
        <v>13.7</v>
      </c>
      <c r="J525" s="82">
        <v>8.5</v>
      </c>
      <c r="K525" s="89" t="s">
        <v>193</v>
      </c>
    </row>
    <row r="526" spans="1:11" x14ac:dyDescent="0.2">
      <c r="A526" t="s">
        <v>21</v>
      </c>
      <c r="B526" s="89">
        <v>1674</v>
      </c>
      <c r="C526" s="82">
        <v>1</v>
      </c>
      <c r="D526" s="83">
        <v>32322</v>
      </c>
      <c r="E526" s="84">
        <f t="shared" si="8"/>
        <v>1988</v>
      </c>
      <c r="F526" s="82" t="s">
        <v>22</v>
      </c>
      <c r="G526" s="82">
        <v>2</v>
      </c>
      <c r="H526" s="82">
        <v>0</v>
      </c>
      <c r="I526" s="82">
        <v>18</v>
      </c>
      <c r="J526" s="82">
        <v>9.6</v>
      </c>
      <c r="K526" s="89" t="s">
        <v>193</v>
      </c>
    </row>
    <row r="527" spans="1:11" x14ac:dyDescent="0.2">
      <c r="A527" t="s">
        <v>21</v>
      </c>
      <c r="B527" s="89">
        <v>1674</v>
      </c>
      <c r="C527" s="82">
        <v>1</v>
      </c>
      <c r="D527" s="83">
        <v>32322</v>
      </c>
      <c r="E527" s="84">
        <f t="shared" si="8"/>
        <v>1988</v>
      </c>
      <c r="F527" s="82" t="s">
        <v>22</v>
      </c>
      <c r="G527" s="82">
        <v>2</v>
      </c>
      <c r="H527" s="82">
        <v>1</v>
      </c>
      <c r="I527" s="82">
        <v>17.899999999999999</v>
      </c>
      <c r="J527" s="82">
        <v>9.6</v>
      </c>
      <c r="K527" s="89" t="s">
        <v>193</v>
      </c>
    </row>
    <row r="528" spans="1:11" x14ac:dyDescent="0.2">
      <c r="A528" t="s">
        <v>21</v>
      </c>
      <c r="B528" s="89">
        <v>1674</v>
      </c>
      <c r="C528" s="82">
        <v>1</v>
      </c>
      <c r="D528" s="83">
        <v>32322</v>
      </c>
      <c r="E528" s="84">
        <f t="shared" si="8"/>
        <v>1988</v>
      </c>
      <c r="F528" s="82" t="s">
        <v>22</v>
      </c>
      <c r="G528" s="82">
        <v>2</v>
      </c>
      <c r="H528" s="82">
        <v>2</v>
      </c>
      <c r="I528" s="82">
        <v>17.8</v>
      </c>
      <c r="J528" s="82">
        <v>9.6</v>
      </c>
      <c r="K528" s="89" t="s">
        <v>193</v>
      </c>
    </row>
    <row r="529" spans="1:11" x14ac:dyDescent="0.2">
      <c r="A529" t="s">
        <v>21</v>
      </c>
      <c r="B529" s="89">
        <v>1674</v>
      </c>
      <c r="C529" s="82">
        <v>1</v>
      </c>
      <c r="D529" s="83">
        <v>32322</v>
      </c>
      <c r="E529" s="84">
        <f t="shared" si="8"/>
        <v>1988</v>
      </c>
      <c r="F529" s="82" t="s">
        <v>22</v>
      </c>
      <c r="G529" s="82">
        <v>2</v>
      </c>
      <c r="H529" s="82">
        <v>3</v>
      </c>
      <c r="I529" s="82">
        <v>17.8</v>
      </c>
      <c r="J529" s="82">
        <v>9.6</v>
      </c>
      <c r="K529" s="89" t="s">
        <v>193</v>
      </c>
    </row>
    <row r="530" spans="1:11" x14ac:dyDescent="0.2">
      <c r="A530" t="s">
        <v>21</v>
      </c>
      <c r="B530" s="89">
        <v>1674</v>
      </c>
      <c r="C530" s="82">
        <v>1</v>
      </c>
      <c r="D530" s="83">
        <v>32322</v>
      </c>
      <c r="E530" s="84">
        <f t="shared" si="8"/>
        <v>1988</v>
      </c>
      <c r="F530" s="82" t="s">
        <v>22</v>
      </c>
      <c r="G530" s="82">
        <v>2</v>
      </c>
      <c r="H530" s="82">
        <v>4</v>
      </c>
      <c r="I530" s="82">
        <v>17.8</v>
      </c>
      <c r="J530" s="82">
        <v>9.6999999999999993</v>
      </c>
      <c r="K530" s="89" t="s">
        <v>193</v>
      </c>
    </row>
    <row r="531" spans="1:11" x14ac:dyDescent="0.2">
      <c r="A531" t="s">
        <v>21</v>
      </c>
      <c r="B531" s="89">
        <v>1674</v>
      </c>
      <c r="C531" s="82">
        <v>1</v>
      </c>
      <c r="D531" s="83">
        <v>32322</v>
      </c>
      <c r="E531" s="84">
        <f t="shared" si="8"/>
        <v>1988</v>
      </c>
      <c r="F531" s="82" t="s">
        <v>22</v>
      </c>
      <c r="G531" s="82">
        <v>2</v>
      </c>
      <c r="H531" s="82">
        <v>5</v>
      </c>
      <c r="I531" s="82">
        <v>17.5</v>
      </c>
      <c r="J531" s="82">
        <v>9.4</v>
      </c>
      <c r="K531" s="89" t="s">
        <v>193</v>
      </c>
    </row>
    <row r="532" spans="1:11" x14ac:dyDescent="0.2">
      <c r="A532" t="s">
        <v>21</v>
      </c>
      <c r="B532" s="89">
        <v>1674</v>
      </c>
      <c r="C532" s="82">
        <v>1</v>
      </c>
      <c r="D532" s="83">
        <v>32322</v>
      </c>
      <c r="E532" s="84">
        <f t="shared" si="8"/>
        <v>1988</v>
      </c>
      <c r="F532" s="82" t="s">
        <v>22</v>
      </c>
      <c r="G532" s="82">
        <v>2</v>
      </c>
      <c r="H532" s="82">
        <v>6</v>
      </c>
      <c r="I532" s="82">
        <v>16.5</v>
      </c>
      <c r="J532" s="82">
        <v>8.9</v>
      </c>
      <c r="K532" s="89" t="s">
        <v>193</v>
      </c>
    </row>
    <row r="533" spans="1:11" x14ac:dyDescent="0.2">
      <c r="A533" t="s">
        <v>21</v>
      </c>
      <c r="B533" s="89">
        <v>1674</v>
      </c>
      <c r="C533" s="82">
        <v>1</v>
      </c>
      <c r="D533" s="83">
        <v>32322</v>
      </c>
      <c r="E533" s="84">
        <f t="shared" si="8"/>
        <v>1988</v>
      </c>
      <c r="F533" s="82" t="s">
        <v>22</v>
      </c>
      <c r="G533" s="82">
        <v>2</v>
      </c>
      <c r="H533" s="82">
        <v>7</v>
      </c>
      <c r="I533" s="82">
        <v>16.2</v>
      </c>
      <c r="J533" s="82">
        <v>8.8000000000000007</v>
      </c>
      <c r="K533" s="89" t="s">
        <v>193</v>
      </c>
    </row>
    <row r="534" spans="1:11" x14ac:dyDescent="0.2">
      <c r="A534" t="s">
        <v>21</v>
      </c>
      <c r="B534" s="89">
        <v>1674</v>
      </c>
      <c r="C534" s="82">
        <v>1</v>
      </c>
      <c r="D534" s="83">
        <v>32322</v>
      </c>
      <c r="E534" s="84">
        <f t="shared" si="8"/>
        <v>1988</v>
      </c>
      <c r="F534" s="82" t="s">
        <v>22</v>
      </c>
      <c r="G534" s="82">
        <v>2</v>
      </c>
      <c r="H534" s="82">
        <v>8</v>
      </c>
      <c r="I534" s="82">
        <v>16.100000000000001</v>
      </c>
      <c r="J534" s="82">
        <v>8.6999999999999993</v>
      </c>
      <c r="K534" s="89" t="s">
        <v>193</v>
      </c>
    </row>
    <row r="535" spans="1:11" x14ac:dyDescent="0.2">
      <c r="A535" t="s">
        <v>21</v>
      </c>
      <c r="B535" s="89">
        <v>1674</v>
      </c>
      <c r="C535" s="82">
        <v>1</v>
      </c>
      <c r="D535" s="83">
        <v>32322</v>
      </c>
      <c r="E535" s="84">
        <f t="shared" si="8"/>
        <v>1988</v>
      </c>
      <c r="F535" s="82" t="s">
        <v>22</v>
      </c>
      <c r="G535" s="82">
        <v>2</v>
      </c>
      <c r="H535" s="82">
        <v>9</v>
      </c>
      <c r="I535" s="82">
        <v>15.9</v>
      </c>
      <c r="J535" s="82">
        <v>8.4</v>
      </c>
      <c r="K535" s="89" t="s">
        <v>193</v>
      </c>
    </row>
    <row r="536" spans="1:11" x14ac:dyDescent="0.2">
      <c r="A536" t="s">
        <v>21</v>
      </c>
      <c r="B536" s="89">
        <v>1674</v>
      </c>
      <c r="C536" s="82">
        <v>1</v>
      </c>
      <c r="D536" s="83">
        <v>32322</v>
      </c>
      <c r="E536" s="84">
        <f t="shared" si="8"/>
        <v>1988</v>
      </c>
      <c r="F536" s="82" t="s">
        <v>22</v>
      </c>
      <c r="G536" s="82">
        <v>2</v>
      </c>
      <c r="H536" s="82">
        <v>10</v>
      </c>
      <c r="I536" s="82">
        <v>15.7</v>
      </c>
      <c r="J536" s="82">
        <v>8.1999999999999993</v>
      </c>
      <c r="K536" s="89" t="s">
        <v>193</v>
      </c>
    </row>
    <row r="537" spans="1:11" x14ac:dyDescent="0.2">
      <c r="A537" t="s">
        <v>21</v>
      </c>
      <c r="B537" s="89">
        <v>1674</v>
      </c>
      <c r="C537" s="82">
        <v>1</v>
      </c>
      <c r="D537" s="83">
        <v>32322</v>
      </c>
      <c r="E537" s="84">
        <f t="shared" si="8"/>
        <v>1988</v>
      </c>
      <c r="F537" s="82" t="s">
        <v>22</v>
      </c>
      <c r="G537" s="82">
        <v>2</v>
      </c>
      <c r="H537" s="82">
        <v>11</v>
      </c>
      <c r="I537" s="82">
        <v>15.7</v>
      </c>
      <c r="J537" s="82">
        <v>8</v>
      </c>
      <c r="K537" s="89" t="s">
        <v>193</v>
      </c>
    </row>
    <row r="538" spans="1:11" x14ac:dyDescent="0.2">
      <c r="A538" t="s">
        <v>21</v>
      </c>
      <c r="B538" s="89">
        <v>1674</v>
      </c>
      <c r="C538" s="82">
        <v>1</v>
      </c>
      <c r="D538" s="83">
        <v>32346</v>
      </c>
      <c r="E538" s="84">
        <f t="shared" si="8"/>
        <v>1988</v>
      </c>
      <c r="F538" s="82" t="s">
        <v>22</v>
      </c>
      <c r="G538" s="82">
        <v>2</v>
      </c>
      <c r="H538" s="82">
        <v>0</v>
      </c>
      <c r="I538" s="82">
        <v>22.5</v>
      </c>
      <c r="J538" s="82">
        <v>9</v>
      </c>
      <c r="K538" s="89" t="s">
        <v>193</v>
      </c>
    </row>
    <row r="539" spans="1:11" x14ac:dyDescent="0.2">
      <c r="A539" t="s">
        <v>21</v>
      </c>
      <c r="B539" s="89">
        <v>1674</v>
      </c>
      <c r="C539" s="82">
        <v>1</v>
      </c>
      <c r="D539" s="83">
        <v>32346</v>
      </c>
      <c r="E539" s="84">
        <f t="shared" si="8"/>
        <v>1988</v>
      </c>
      <c r="F539" s="82" t="s">
        <v>22</v>
      </c>
      <c r="G539" s="82">
        <v>2</v>
      </c>
      <c r="H539" s="82">
        <v>1</v>
      </c>
      <c r="I539" s="82">
        <v>21.8</v>
      </c>
      <c r="J539" s="82">
        <v>8.9</v>
      </c>
      <c r="K539" s="89" t="s">
        <v>193</v>
      </c>
    </row>
    <row r="540" spans="1:11" x14ac:dyDescent="0.2">
      <c r="A540" t="s">
        <v>21</v>
      </c>
      <c r="B540" s="89">
        <v>1674</v>
      </c>
      <c r="C540" s="82">
        <v>1</v>
      </c>
      <c r="D540" s="83">
        <v>32346</v>
      </c>
      <c r="E540" s="84">
        <f t="shared" si="8"/>
        <v>1988</v>
      </c>
      <c r="F540" s="82" t="s">
        <v>22</v>
      </c>
      <c r="G540" s="82">
        <v>2</v>
      </c>
      <c r="H540" s="82">
        <v>3</v>
      </c>
      <c r="I540" s="82">
        <v>20</v>
      </c>
      <c r="J540" s="82">
        <v>6.2</v>
      </c>
      <c r="K540" s="89" t="s">
        <v>193</v>
      </c>
    </row>
    <row r="541" spans="1:11" x14ac:dyDescent="0.2">
      <c r="A541" t="s">
        <v>21</v>
      </c>
      <c r="B541" s="89">
        <v>1674</v>
      </c>
      <c r="C541" s="82">
        <v>1</v>
      </c>
      <c r="D541" s="83">
        <v>32346</v>
      </c>
      <c r="E541" s="84">
        <f t="shared" si="8"/>
        <v>1988</v>
      </c>
      <c r="F541" s="82" t="s">
        <v>22</v>
      </c>
      <c r="G541" s="82">
        <v>2</v>
      </c>
      <c r="H541" s="82">
        <v>5</v>
      </c>
      <c r="I541" s="82">
        <v>18.5</v>
      </c>
      <c r="J541" s="82">
        <v>4.5</v>
      </c>
      <c r="K541" s="89" t="s">
        <v>193</v>
      </c>
    </row>
    <row r="542" spans="1:11" x14ac:dyDescent="0.2">
      <c r="A542" t="s">
        <v>21</v>
      </c>
      <c r="B542" s="89">
        <v>1674</v>
      </c>
      <c r="C542" s="82">
        <v>1</v>
      </c>
      <c r="D542" s="83">
        <v>32346</v>
      </c>
      <c r="E542" s="84">
        <f t="shared" si="8"/>
        <v>1988</v>
      </c>
      <c r="F542" s="82" t="s">
        <v>22</v>
      </c>
      <c r="G542" s="82">
        <v>2</v>
      </c>
      <c r="H542" s="82">
        <v>7</v>
      </c>
      <c r="I542" s="82">
        <v>17.399999999999999</v>
      </c>
      <c r="J542" s="82">
        <v>3.2</v>
      </c>
      <c r="K542" s="89" t="s">
        <v>193</v>
      </c>
    </row>
    <row r="543" spans="1:11" x14ac:dyDescent="0.2">
      <c r="A543" t="s">
        <v>21</v>
      </c>
      <c r="B543" s="89">
        <v>1674</v>
      </c>
      <c r="C543" s="82">
        <v>1</v>
      </c>
      <c r="D543" s="83">
        <v>32346</v>
      </c>
      <c r="E543" s="84">
        <f t="shared" si="8"/>
        <v>1988</v>
      </c>
      <c r="F543" s="82" t="s">
        <v>22</v>
      </c>
      <c r="G543" s="82">
        <v>2</v>
      </c>
      <c r="H543" s="82">
        <v>9</v>
      </c>
      <c r="I543" s="82">
        <v>17</v>
      </c>
      <c r="J543" s="82">
        <v>2.8</v>
      </c>
      <c r="K543" s="89" t="s">
        <v>193</v>
      </c>
    </row>
    <row r="544" spans="1:11" x14ac:dyDescent="0.2">
      <c r="A544" t="s">
        <v>21</v>
      </c>
      <c r="B544" s="89">
        <v>1674</v>
      </c>
      <c r="C544" s="82">
        <v>1</v>
      </c>
      <c r="D544" s="83">
        <v>32346</v>
      </c>
      <c r="E544" s="84">
        <f t="shared" si="8"/>
        <v>1988</v>
      </c>
      <c r="F544" s="82" t="s">
        <v>22</v>
      </c>
      <c r="G544" s="82">
        <v>2</v>
      </c>
      <c r="H544" s="82">
        <v>10</v>
      </c>
      <c r="I544" s="82">
        <v>16.899999999999999</v>
      </c>
      <c r="J544" s="82">
        <v>2.7</v>
      </c>
      <c r="K544" s="89" t="s">
        <v>193</v>
      </c>
    </row>
    <row r="545" spans="1:11" x14ac:dyDescent="0.2">
      <c r="A545" t="s">
        <v>21</v>
      </c>
      <c r="B545" s="89">
        <v>1674</v>
      </c>
      <c r="C545" s="82">
        <v>1</v>
      </c>
      <c r="D545" s="83">
        <v>32346</v>
      </c>
      <c r="E545" s="84">
        <f t="shared" si="8"/>
        <v>1988</v>
      </c>
      <c r="F545" s="82" t="s">
        <v>22</v>
      </c>
      <c r="G545" s="82">
        <v>2</v>
      </c>
      <c r="H545" s="82">
        <v>11</v>
      </c>
      <c r="I545" s="82">
        <v>16.5</v>
      </c>
      <c r="J545" s="82">
        <v>2.2999999999999998</v>
      </c>
      <c r="K545" s="89" t="s">
        <v>193</v>
      </c>
    </row>
    <row r="546" spans="1:11" x14ac:dyDescent="0.2">
      <c r="A546" t="s">
        <v>21</v>
      </c>
      <c r="B546" s="89">
        <v>1674</v>
      </c>
      <c r="C546" s="82">
        <v>1</v>
      </c>
      <c r="D546" s="83">
        <v>32346</v>
      </c>
      <c r="E546" s="84">
        <f t="shared" si="8"/>
        <v>1988</v>
      </c>
      <c r="F546" s="82" t="s">
        <v>22</v>
      </c>
      <c r="G546" s="82">
        <v>2</v>
      </c>
      <c r="H546" s="82">
        <v>12</v>
      </c>
      <c r="I546" s="82">
        <v>16.399999999999999</v>
      </c>
      <c r="J546" s="82">
        <v>1.8</v>
      </c>
      <c r="K546" s="89" t="s">
        <v>193</v>
      </c>
    </row>
    <row r="547" spans="1:11" x14ac:dyDescent="0.2">
      <c r="A547" t="s">
        <v>21</v>
      </c>
      <c r="B547" s="89">
        <v>1674</v>
      </c>
      <c r="C547" s="82">
        <v>1</v>
      </c>
      <c r="D547" s="83">
        <v>32357</v>
      </c>
      <c r="E547" s="84">
        <f t="shared" si="8"/>
        <v>1988</v>
      </c>
      <c r="F547" s="82" t="s">
        <v>22</v>
      </c>
      <c r="G547" s="82">
        <v>2</v>
      </c>
      <c r="H547" s="82">
        <v>0</v>
      </c>
      <c r="I547" s="82">
        <v>22.8</v>
      </c>
      <c r="J547" s="82">
        <v>10.4</v>
      </c>
      <c r="K547" s="89" t="s">
        <v>193</v>
      </c>
    </row>
    <row r="548" spans="1:11" x14ac:dyDescent="0.2">
      <c r="A548" t="s">
        <v>21</v>
      </c>
      <c r="B548" s="89">
        <v>1674</v>
      </c>
      <c r="C548" s="82">
        <v>1</v>
      </c>
      <c r="D548" s="83">
        <v>32357</v>
      </c>
      <c r="E548" s="84">
        <f t="shared" si="8"/>
        <v>1988</v>
      </c>
      <c r="F548" s="82" t="s">
        <v>22</v>
      </c>
      <c r="G548" s="82">
        <v>2</v>
      </c>
      <c r="H548" s="82">
        <v>1</v>
      </c>
      <c r="I548" s="82">
        <v>22.5</v>
      </c>
      <c r="J548" s="82">
        <v>10.4</v>
      </c>
      <c r="K548" s="89" t="s">
        <v>193</v>
      </c>
    </row>
    <row r="549" spans="1:11" x14ac:dyDescent="0.2">
      <c r="A549" t="s">
        <v>21</v>
      </c>
      <c r="B549" s="89">
        <v>1674</v>
      </c>
      <c r="C549" s="82">
        <v>1</v>
      </c>
      <c r="D549" s="83">
        <v>32357</v>
      </c>
      <c r="E549" s="84">
        <f t="shared" si="8"/>
        <v>1988</v>
      </c>
      <c r="F549" s="82" t="s">
        <v>22</v>
      </c>
      <c r="G549" s="82">
        <v>2</v>
      </c>
      <c r="H549" s="82">
        <v>2</v>
      </c>
      <c r="I549" s="82">
        <v>22.5</v>
      </c>
      <c r="J549" s="82">
        <v>10.4</v>
      </c>
      <c r="K549" s="89" t="s">
        <v>193</v>
      </c>
    </row>
    <row r="550" spans="1:11" x14ac:dyDescent="0.2">
      <c r="A550" t="s">
        <v>21</v>
      </c>
      <c r="B550" s="89">
        <v>1674</v>
      </c>
      <c r="C550" s="82">
        <v>1</v>
      </c>
      <c r="D550" s="83">
        <v>32357</v>
      </c>
      <c r="E550" s="84">
        <f t="shared" si="8"/>
        <v>1988</v>
      </c>
      <c r="F550" s="82" t="s">
        <v>22</v>
      </c>
      <c r="G550" s="82">
        <v>2</v>
      </c>
      <c r="H550" s="82">
        <v>3</v>
      </c>
      <c r="I550" s="82">
        <v>22.5</v>
      </c>
      <c r="J550" s="82">
        <v>10.4</v>
      </c>
      <c r="K550" s="89" t="s">
        <v>193</v>
      </c>
    </row>
    <row r="551" spans="1:11" x14ac:dyDescent="0.2">
      <c r="A551" t="s">
        <v>21</v>
      </c>
      <c r="B551" s="89">
        <v>1674</v>
      </c>
      <c r="C551" s="82">
        <v>1</v>
      </c>
      <c r="D551" s="83">
        <v>32357</v>
      </c>
      <c r="E551" s="84">
        <f t="shared" si="8"/>
        <v>1988</v>
      </c>
      <c r="F551" s="82" t="s">
        <v>22</v>
      </c>
      <c r="G551" s="82">
        <v>2</v>
      </c>
      <c r="H551" s="82">
        <v>4</v>
      </c>
      <c r="I551" s="82">
        <v>22.5</v>
      </c>
      <c r="J551" s="82">
        <v>10.4</v>
      </c>
      <c r="K551" s="89" t="s">
        <v>193</v>
      </c>
    </row>
    <row r="552" spans="1:11" x14ac:dyDescent="0.2">
      <c r="A552" t="s">
        <v>21</v>
      </c>
      <c r="B552" s="89">
        <v>1674</v>
      </c>
      <c r="C552" s="82">
        <v>1</v>
      </c>
      <c r="D552" s="83">
        <v>32357</v>
      </c>
      <c r="E552" s="84">
        <f t="shared" si="8"/>
        <v>1988</v>
      </c>
      <c r="F552" s="82" t="s">
        <v>22</v>
      </c>
      <c r="G552" s="82">
        <v>2</v>
      </c>
      <c r="H552" s="82">
        <v>5</v>
      </c>
      <c r="I552" s="82">
        <v>22.5</v>
      </c>
      <c r="J552" s="82">
        <v>10.4</v>
      </c>
      <c r="K552" s="89" t="s">
        <v>193</v>
      </c>
    </row>
    <row r="553" spans="1:11" x14ac:dyDescent="0.2">
      <c r="A553" t="s">
        <v>21</v>
      </c>
      <c r="B553" s="89">
        <v>1674</v>
      </c>
      <c r="C553" s="82">
        <v>1</v>
      </c>
      <c r="D553" s="83">
        <v>32357</v>
      </c>
      <c r="E553" s="84">
        <f t="shared" si="8"/>
        <v>1988</v>
      </c>
      <c r="F553" s="82" t="s">
        <v>22</v>
      </c>
      <c r="G553" s="82">
        <v>2</v>
      </c>
      <c r="H553" s="82">
        <v>6</v>
      </c>
      <c r="I553" s="82">
        <v>22.2</v>
      </c>
      <c r="J553" s="82">
        <v>10.199999999999999</v>
      </c>
      <c r="K553" s="89" t="s">
        <v>193</v>
      </c>
    </row>
    <row r="554" spans="1:11" x14ac:dyDescent="0.2">
      <c r="A554" t="s">
        <v>21</v>
      </c>
      <c r="B554" s="89">
        <v>1674</v>
      </c>
      <c r="C554" s="82">
        <v>1</v>
      </c>
      <c r="D554" s="83">
        <v>32357</v>
      </c>
      <c r="E554" s="84">
        <f t="shared" si="8"/>
        <v>1988</v>
      </c>
      <c r="F554" s="82" t="s">
        <v>22</v>
      </c>
      <c r="G554" s="82">
        <v>2</v>
      </c>
      <c r="H554" s="82">
        <v>7</v>
      </c>
      <c r="I554" s="82">
        <v>21.9</v>
      </c>
      <c r="J554" s="82">
        <v>9.9</v>
      </c>
      <c r="K554" s="89" t="s">
        <v>193</v>
      </c>
    </row>
    <row r="555" spans="1:11" x14ac:dyDescent="0.2">
      <c r="A555" t="s">
        <v>21</v>
      </c>
      <c r="B555" s="89">
        <v>1674</v>
      </c>
      <c r="C555" s="82">
        <v>1</v>
      </c>
      <c r="D555" s="83">
        <v>32357</v>
      </c>
      <c r="E555" s="84">
        <f t="shared" si="8"/>
        <v>1988</v>
      </c>
      <c r="F555" s="82" t="s">
        <v>22</v>
      </c>
      <c r="G555" s="82">
        <v>2</v>
      </c>
      <c r="H555" s="82">
        <v>8</v>
      </c>
      <c r="I555" s="82">
        <v>21</v>
      </c>
      <c r="J555" s="82">
        <v>8.8000000000000007</v>
      </c>
      <c r="K555" s="89" t="s">
        <v>193</v>
      </c>
    </row>
    <row r="556" spans="1:11" x14ac:dyDescent="0.2">
      <c r="A556" t="s">
        <v>21</v>
      </c>
      <c r="B556" s="89">
        <v>1674</v>
      </c>
      <c r="C556" s="82">
        <v>1</v>
      </c>
      <c r="D556" s="83">
        <v>32357</v>
      </c>
      <c r="E556" s="84">
        <f t="shared" si="8"/>
        <v>1988</v>
      </c>
      <c r="F556" s="82" t="s">
        <v>22</v>
      </c>
      <c r="G556" s="82">
        <v>2</v>
      </c>
      <c r="H556" s="82">
        <v>9</v>
      </c>
      <c r="I556" s="82">
        <v>16.5</v>
      </c>
      <c r="J556" s="82">
        <v>1.8</v>
      </c>
      <c r="K556" s="89" t="s">
        <v>193</v>
      </c>
    </row>
    <row r="557" spans="1:11" x14ac:dyDescent="0.2">
      <c r="A557" t="s">
        <v>21</v>
      </c>
      <c r="B557" s="89">
        <v>1674</v>
      </c>
      <c r="C557" s="82">
        <v>1</v>
      </c>
      <c r="D557" s="83">
        <v>32357</v>
      </c>
      <c r="E557" s="84">
        <f t="shared" si="8"/>
        <v>1988</v>
      </c>
      <c r="F557" s="82" t="s">
        <v>22</v>
      </c>
      <c r="G557" s="82">
        <v>2</v>
      </c>
      <c r="H557" s="82">
        <v>10</v>
      </c>
      <c r="I557" s="82">
        <v>15.9</v>
      </c>
      <c r="J557" s="82">
        <v>1</v>
      </c>
      <c r="K557" s="89" t="s">
        <v>193</v>
      </c>
    </row>
    <row r="558" spans="1:11" x14ac:dyDescent="0.2">
      <c r="A558" t="s">
        <v>21</v>
      </c>
      <c r="B558" s="89">
        <v>1674</v>
      </c>
      <c r="C558" s="82">
        <v>1</v>
      </c>
      <c r="D558" s="83">
        <v>32357</v>
      </c>
      <c r="E558" s="84">
        <f t="shared" si="8"/>
        <v>1988</v>
      </c>
      <c r="F558" s="82" t="s">
        <v>22</v>
      </c>
      <c r="G558" s="82">
        <v>2</v>
      </c>
      <c r="H558" s="82">
        <v>11</v>
      </c>
      <c r="I558" s="82">
        <v>15.1</v>
      </c>
      <c r="J558" s="82">
        <v>0.5</v>
      </c>
      <c r="K558" s="89" t="s">
        <v>193</v>
      </c>
    </row>
    <row r="559" spans="1:11" x14ac:dyDescent="0.2">
      <c r="A559" t="s">
        <v>21</v>
      </c>
      <c r="B559" s="89">
        <v>1674</v>
      </c>
      <c r="C559" s="82">
        <v>1</v>
      </c>
      <c r="D559" s="83">
        <v>32357</v>
      </c>
      <c r="E559" s="84">
        <f t="shared" si="8"/>
        <v>1988</v>
      </c>
      <c r="F559" s="82" t="s">
        <v>22</v>
      </c>
      <c r="G559" s="82">
        <v>2</v>
      </c>
      <c r="H559" s="82">
        <v>12</v>
      </c>
      <c r="I559" s="82">
        <v>15</v>
      </c>
      <c r="J559" s="82">
        <v>0.4</v>
      </c>
      <c r="K559" s="89" t="s">
        <v>193</v>
      </c>
    </row>
    <row r="560" spans="1:11" x14ac:dyDescent="0.2">
      <c r="A560" t="s">
        <v>21</v>
      </c>
      <c r="B560" s="89">
        <v>1674</v>
      </c>
      <c r="C560" s="82">
        <v>1</v>
      </c>
      <c r="D560" s="83">
        <v>32357</v>
      </c>
      <c r="E560" s="84">
        <f t="shared" si="8"/>
        <v>1988</v>
      </c>
      <c r="F560" s="82" t="s">
        <v>22</v>
      </c>
      <c r="G560" s="82">
        <v>2</v>
      </c>
      <c r="H560" s="82">
        <v>13</v>
      </c>
      <c r="I560" s="82">
        <v>14.5</v>
      </c>
      <c r="J560" s="82">
        <v>0.4</v>
      </c>
      <c r="K560" s="89" t="s">
        <v>193</v>
      </c>
    </row>
    <row r="561" spans="1:11" x14ac:dyDescent="0.2">
      <c r="A561" t="s">
        <v>21</v>
      </c>
      <c r="B561" s="89">
        <v>1674</v>
      </c>
      <c r="C561" s="82">
        <v>1</v>
      </c>
      <c r="D561" s="83">
        <v>32377</v>
      </c>
      <c r="E561" s="84">
        <f t="shared" si="8"/>
        <v>1988</v>
      </c>
      <c r="F561" s="82" t="s">
        <v>22</v>
      </c>
      <c r="G561" s="82">
        <v>2</v>
      </c>
      <c r="H561" s="82">
        <v>0</v>
      </c>
      <c r="I561" s="82">
        <v>17.8</v>
      </c>
      <c r="J561" s="82">
        <v>8.3000000000000007</v>
      </c>
      <c r="K561" s="89" t="s">
        <v>193</v>
      </c>
    </row>
    <row r="562" spans="1:11" x14ac:dyDescent="0.2">
      <c r="A562" t="s">
        <v>21</v>
      </c>
      <c r="B562" s="89">
        <v>1674</v>
      </c>
      <c r="C562" s="82">
        <v>1</v>
      </c>
      <c r="D562" s="83">
        <v>32377</v>
      </c>
      <c r="E562" s="84">
        <f t="shared" si="8"/>
        <v>1988</v>
      </c>
      <c r="F562" s="82" t="s">
        <v>22</v>
      </c>
      <c r="G562" s="82">
        <v>2</v>
      </c>
      <c r="H562" s="82">
        <v>1</v>
      </c>
      <c r="I562" s="82">
        <v>17.8</v>
      </c>
      <c r="J562" s="82">
        <v>8.4</v>
      </c>
      <c r="K562" s="89" t="s">
        <v>193</v>
      </c>
    </row>
    <row r="563" spans="1:11" x14ac:dyDescent="0.2">
      <c r="A563" t="s">
        <v>21</v>
      </c>
      <c r="B563" s="89">
        <v>1674</v>
      </c>
      <c r="C563" s="82">
        <v>1</v>
      </c>
      <c r="D563" s="83">
        <v>32377</v>
      </c>
      <c r="E563" s="84">
        <f t="shared" si="8"/>
        <v>1988</v>
      </c>
      <c r="F563" s="82" t="s">
        <v>22</v>
      </c>
      <c r="G563" s="82">
        <v>2</v>
      </c>
      <c r="H563" s="82">
        <v>2</v>
      </c>
      <c r="I563" s="82">
        <v>17.8</v>
      </c>
      <c r="J563" s="82">
        <v>8.4</v>
      </c>
      <c r="K563" s="89" t="s">
        <v>193</v>
      </c>
    </row>
    <row r="564" spans="1:11" x14ac:dyDescent="0.2">
      <c r="A564" t="s">
        <v>21</v>
      </c>
      <c r="B564" s="89">
        <v>1674</v>
      </c>
      <c r="C564" s="82">
        <v>1</v>
      </c>
      <c r="D564" s="83">
        <v>32377</v>
      </c>
      <c r="E564" s="84">
        <f t="shared" si="8"/>
        <v>1988</v>
      </c>
      <c r="F564" s="82" t="s">
        <v>22</v>
      </c>
      <c r="G564" s="82">
        <v>2</v>
      </c>
      <c r="H564" s="82">
        <v>3</v>
      </c>
      <c r="I564" s="82">
        <v>17.8</v>
      </c>
      <c r="J564" s="82">
        <v>8.3000000000000007</v>
      </c>
      <c r="K564" s="89" t="s">
        <v>193</v>
      </c>
    </row>
    <row r="565" spans="1:11" x14ac:dyDescent="0.2">
      <c r="A565" t="s">
        <v>21</v>
      </c>
      <c r="B565" s="89">
        <v>1674</v>
      </c>
      <c r="C565" s="82">
        <v>1</v>
      </c>
      <c r="D565" s="83">
        <v>32377</v>
      </c>
      <c r="E565" s="84">
        <f t="shared" si="8"/>
        <v>1988</v>
      </c>
      <c r="F565" s="82" t="s">
        <v>22</v>
      </c>
      <c r="G565" s="82">
        <v>2</v>
      </c>
      <c r="H565" s="82">
        <v>4</v>
      </c>
      <c r="I565" s="82">
        <v>17.8</v>
      </c>
      <c r="J565" s="82">
        <v>8.3000000000000007</v>
      </c>
      <c r="K565" s="89" t="s">
        <v>193</v>
      </c>
    </row>
    <row r="566" spans="1:11" x14ac:dyDescent="0.2">
      <c r="A566" t="s">
        <v>21</v>
      </c>
      <c r="B566" s="89">
        <v>1674</v>
      </c>
      <c r="C566" s="82">
        <v>1</v>
      </c>
      <c r="D566" s="83">
        <v>32377</v>
      </c>
      <c r="E566" s="84">
        <f t="shared" si="8"/>
        <v>1988</v>
      </c>
      <c r="F566" s="82" t="s">
        <v>22</v>
      </c>
      <c r="G566" s="82">
        <v>2</v>
      </c>
      <c r="H566" s="82">
        <v>5</v>
      </c>
      <c r="I566" s="82">
        <v>17.8</v>
      </c>
      <c r="J566" s="82">
        <v>8.3000000000000007</v>
      </c>
      <c r="K566" s="89" t="s">
        <v>193</v>
      </c>
    </row>
    <row r="567" spans="1:11" x14ac:dyDescent="0.2">
      <c r="A567" t="s">
        <v>21</v>
      </c>
      <c r="B567" s="89">
        <v>1674</v>
      </c>
      <c r="C567" s="82">
        <v>1</v>
      </c>
      <c r="D567" s="83">
        <v>32377</v>
      </c>
      <c r="E567" s="84">
        <f t="shared" si="8"/>
        <v>1988</v>
      </c>
      <c r="F567" s="82" t="s">
        <v>22</v>
      </c>
      <c r="G567" s="82">
        <v>2</v>
      </c>
      <c r="H567" s="82">
        <v>6</v>
      </c>
      <c r="I567" s="82">
        <v>17.8</v>
      </c>
      <c r="J567" s="82">
        <v>8.3000000000000007</v>
      </c>
      <c r="K567" s="89" t="s">
        <v>193</v>
      </c>
    </row>
    <row r="568" spans="1:11" x14ac:dyDescent="0.2">
      <c r="A568" t="s">
        <v>21</v>
      </c>
      <c r="B568" s="89">
        <v>1674</v>
      </c>
      <c r="C568" s="82">
        <v>1</v>
      </c>
      <c r="D568" s="83">
        <v>32377</v>
      </c>
      <c r="E568" s="84">
        <f t="shared" si="8"/>
        <v>1988</v>
      </c>
      <c r="F568" s="82" t="s">
        <v>22</v>
      </c>
      <c r="G568" s="82">
        <v>2</v>
      </c>
      <c r="H568" s="82">
        <v>7</v>
      </c>
      <c r="I568" s="82">
        <v>17.8</v>
      </c>
      <c r="J568" s="82">
        <v>8.1999999999999993</v>
      </c>
      <c r="K568" s="89" t="s">
        <v>193</v>
      </c>
    </row>
    <row r="569" spans="1:11" x14ac:dyDescent="0.2">
      <c r="A569" t="s">
        <v>21</v>
      </c>
      <c r="B569" s="89">
        <v>1674</v>
      </c>
      <c r="C569" s="82">
        <v>1</v>
      </c>
      <c r="D569" s="83">
        <v>32377</v>
      </c>
      <c r="E569" s="84">
        <f t="shared" si="8"/>
        <v>1988</v>
      </c>
      <c r="F569" s="82" t="s">
        <v>22</v>
      </c>
      <c r="G569" s="82">
        <v>2</v>
      </c>
      <c r="H569" s="82">
        <v>8</v>
      </c>
      <c r="I569" s="82">
        <v>17.8</v>
      </c>
      <c r="J569" s="82">
        <v>8.1999999999999993</v>
      </c>
      <c r="K569" s="89" t="s">
        <v>193</v>
      </c>
    </row>
    <row r="570" spans="1:11" x14ac:dyDescent="0.2">
      <c r="A570" t="s">
        <v>21</v>
      </c>
      <c r="B570" s="89">
        <v>1674</v>
      </c>
      <c r="C570" s="82">
        <v>1</v>
      </c>
      <c r="D570" s="83">
        <v>32377</v>
      </c>
      <c r="E570" s="84">
        <f t="shared" si="8"/>
        <v>1988</v>
      </c>
      <c r="F570" s="82" t="s">
        <v>22</v>
      </c>
      <c r="G570" s="82">
        <v>2</v>
      </c>
      <c r="H570" s="82">
        <v>9</v>
      </c>
      <c r="I570" s="82">
        <v>17.8</v>
      </c>
      <c r="J570" s="82">
        <v>8.1999999999999993</v>
      </c>
      <c r="K570" s="89" t="s">
        <v>193</v>
      </c>
    </row>
    <row r="571" spans="1:11" x14ac:dyDescent="0.2">
      <c r="A571" t="s">
        <v>21</v>
      </c>
      <c r="B571" s="89">
        <v>1674</v>
      </c>
      <c r="C571" s="82">
        <v>1</v>
      </c>
      <c r="D571" s="83">
        <v>32377</v>
      </c>
      <c r="E571" s="84">
        <f t="shared" si="8"/>
        <v>1988</v>
      </c>
      <c r="F571" s="82" t="s">
        <v>22</v>
      </c>
      <c r="G571" s="82">
        <v>2</v>
      </c>
      <c r="H571" s="82">
        <v>10</v>
      </c>
      <c r="I571" s="82">
        <v>17.600000000000001</v>
      </c>
      <c r="J571" s="82">
        <v>7.9</v>
      </c>
      <c r="K571" s="89" t="s">
        <v>193</v>
      </c>
    </row>
    <row r="572" spans="1:11" x14ac:dyDescent="0.2">
      <c r="A572" t="s">
        <v>21</v>
      </c>
      <c r="B572" s="89">
        <v>1674</v>
      </c>
      <c r="C572" s="82">
        <v>1</v>
      </c>
      <c r="D572" s="83">
        <v>32377</v>
      </c>
      <c r="E572" s="84">
        <f t="shared" si="8"/>
        <v>1988</v>
      </c>
      <c r="F572" s="82" t="s">
        <v>22</v>
      </c>
      <c r="G572" s="82">
        <v>2</v>
      </c>
      <c r="H572" s="82">
        <v>11</v>
      </c>
      <c r="I572" s="82">
        <v>17.2</v>
      </c>
      <c r="J572" s="82">
        <v>7.3</v>
      </c>
      <c r="K572" s="89" t="s">
        <v>193</v>
      </c>
    </row>
    <row r="573" spans="1:11" x14ac:dyDescent="0.2">
      <c r="A573" t="s">
        <v>21</v>
      </c>
      <c r="B573" s="89">
        <v>1674</v>
      </c>
      <c r="C573" s="82">
        <v>1</v>
      </c>
      <c r="D573" s="83">
        <v>32377</v>
      </c>
      <c r="E573" s="84">
        <f t="shared" si="8"/>
        <v>1988</v>
      </c>
      <c r="F573" s="82" t="s">
        <v>22</v>
      </c>
      <c r="G573" s="82">
        <v>2</v>
      </c>
      <c r="H573" s="82">
        <v>12</v>
      </c>
      <c r="I573" s="82">
        <v>17.100000000000001</v>
      </c>
      <c r="J573" s="82">
        <v>6.8</v>
      </c>
      <c r="K573" s="89" t="s">
        <v>193</v>
      </c>
    </row>
    <row r="574" spans="1:11" x14ac:dyDescent="0.2">
      <c r="A574" t="s">
        <v>21</v>
      </c>
      <c r="B574" s="89">
        <v>1674</v>
      </c>
      <c r="C574" s="82">
        <v>1</v>
      </c>
      <c r="D574" s="83">
        <v>32377</v>
      </c>
      <c r="E574" s="84">
        <f t="shared" si="8"/>
        <v>1988</v>
      </c>
      <c r="F574" s="82" t="s">
        <v>22</v>
      </c>
      <c r="G574" s="82">
        <v>2</v>
      </c>
      <c r="H574" s="82">
        <v>13</v>
      </c>
      <c r="I574" s="82">
        <v>15.6</v>
      </c>
      <c r="J574" s="82">
        <v>0.6</v>
      </c>
      <c r="K574" s="89" t="s">
        <v>193</v>
      </c>
    </row>
    <row r="575" spans="1:11" x14ac:dyDescent="0.2">
      <c r="A575" t="s">
        <v>21</v>
      </c>
      <c r="B575" s="89">
        <v>1674</v>
      </c>
      <c r="C575" s="82">
        <v>1</v>
      </c>
      <c r="D575" s="83">
        <v>32394</v>
      </c>
      <c r="E575" s="84">
        <f t="shared" si="8"/>
        <v>1988</v>
      </c>
      <c r="F575" s="82" t="s">
        <v>22</v>
      </c>
      <c r="G575" s="82">
        <v>2</v>
      </c>
      <c r="H575" s="82">
        <v>0</v>
      </c>
      <c r="I575" s="82">
        <v>15.5</v>
      </c>
      <c r="J575" s="82">
        <v>9.5</v>
      </c>
      <c r="K575" s="89" t="s">
        <v>193</v>
      </c>
    </row>
    <row r="576" spans="1:11" x14ac:dyDescent="0.2">
      <c r="A576" t="s">
        <v>21</v>
      </c>
      <c r="B576" s="89">
        <v>1674</v>
      </c>
      <c r="C576" s="82">
        <v>1</v>
      </c>
      <c r="D576" s="83">
        <v>32394</v>
      </c>
      <c r="E576" s="84">
        <f t="shared" si="8"/>
        <v>1988</v>
      </c>
      <c r="F576" s="82" t="s">
        <v>22</v>
      </c>
      <c r="G576" s="82">
        <v>2</v>
      </c>
      <c r="H576" s="82">
        <v>1</v>
      </c>
      <c r="I576" s="82">
        <v>15.5</v>
      </c>
      <c r="J576" s="82">
        <v>9.5</v>
      </c>
      <c r="K576" s="89" t="s">
        <v>193</v>
      </c>
    </row>
    <row r="577" spans="1:11" x14ac:dyDescent="0.2">
      <c r="A577" t="s">
        <v>21</v>
      </c>
      <c r="B577" s="89">
        <v>1674</v>
      </c>
      <c r="C577" s="82">
        <v>1</v>
      </c>
      <c r="D577" s="83">
        <v>32394</v>
      </c>
      <c r="E577" s="84">
        <f t="shared" si="8"/>
        <v>1988</v>
      </c>
      <c r="F577" s="82" t="s">
        <v>22</v>
      </c>
      <c r="G577" s="82">
        <v>2</v>
      </c>
      <c r="H577" s="82">
        <v>3</v>
      </c>
      <c r="I577" s="82">
        <v>15.4</v>
      </c>
      <c r="J577" s="82">
        <v>9.4</v>
      </c>
      <c r="K577" s="89" t="s">
        <v>193</v>
      </c>
    </row>
    <row r="578" spans="1:11" x14ac:dyDescent="0.2">
      <c r="A578" t="s">
        <v>21</v>
      </c>
      <c r="B578" s="89">
        <v>1674</v>
      </c>
      <c r="C578" s="82">
        <v>1</v>
      </c>
      <c r="D578" s="83">
        <v>32394</v>
      </c>
      <c r="E578" s="84">
        <f t="shared" ref="E578:E641" si="9">YEAR(D578)</f>
        <v>1988</v>
      </c>
      <c r="F578" s="82" t="s">
        <v>22</v>
      </c>
      <c r="G578" s="82">
        <v>2</v>
      </c>
      <c r="H578" s="82">
        <v>5</v>
      </c>
      <c r="I578" s="82">
        <v>15.3</v>
      </c>
      <c r="J578" s="82">
        <v>9.3000000000000007</v>
      </c>
      <c r="K578" s="89" t="s">
        <v>193</v>
      </c>
    </row>
    <row r="579" spans="1:11" x14ac:dyDescent="0.2">
      <c r="A579" t="s">
        <v>21</v>
      </c>
      <c r="B579" s="89">
        <v>1674</v>
      </c>
      <c r="C579" s="82">
        <v>1</v>
      </c>
      <c r="D579" s="83">
        <v>32394</v>
      </c>
      <c r="E579" s="84">
        <f t="shared" si="9"/>
        <v>1988</v>
      </c>
      <c r="F579" s="82" t="s">
        <v>22</v>
      </c>
      <c r="G579" s="82">
        <v>2</v>
      </c>
      <c r="H579" s="82">
        <v>7</v>
      </c>
      <c r="I579" s="82">
        <v>15.2</v>
      </c>
      <c r="J579" s="82">
        <v>9.3000000000000007</v>
      </c>
      <c r="K579" s="89" t="s">
        <v>193</v>
      </c>
    </row>
    <row r="580" spans="1:11" x14ac:dyDescent="0.2">
      <c r="A580" t="s">
        <v>21</v>
      </c>
      <c r="B580" s="89">
        <v>1674</v>
      </c>
      <c r="C580" s="82">
        <v>1</v>
      </c>
      <c r="D580" s="83">
        <v>32394</v>
      </c>
      <c r="E580" s="84">
        <f t="shared" si="9"/>
        <v>1988</v>
      </c>
      <c r="F580" s="82" t="s">
        <v>22</v>
      </c>
      <c r="G580" s="82">
        <v>2</v>
      </c>
      <c r="H580" s="82">
        <v>8</v>
      </c>
      <c r="I580" s="82">
        <v>15.2</v>
      </c>
      <c r="J580" s="82">
        <v>9.3000000000000007</v>
      </c>
      <c r="K580" s="89" t="s">
        <v>193</v>
      </c>
    </row>
    <row r="581" spans="1:11" x14ac:dyDescent="0.2">
      <c r="A581" t="s">
        <v>21</v>
      </c>
      <c r="B581" s="89">
        <v>1674</v>
      </c>
      <c r="C581" s="82">
        <v>1</v>
      </c>
      <c r="D581" s="83">
        <v>32394</v>
      </c>
      <c r="E581" s="84">
        <f t="shared" si="9"/>
        <v>1988</v>
      </c>
      <c r="F581" s="82" t="s">
        <v>22</v>
      </c>
      <c r="G581" s="82">
        <v>2</v>
      </c>
      <c r="H581" s="82">
        <v>9</v>
      </c>
      <c r="I581" s="82">
        <v>15.2</v>
      </c>
      <c r="J581" s="82">
        <v>9.3000000000000007</v>
      </c>
      <c r="K581" s="89" t="s">
        <v>193</v>
      </c>
    </row>
    <row r="582" spans="1:11" x14ac:dyDescent="0.2">
      <c r="A582" t="s">
        <v>21</v>
      </c>
      <c r="B582" s="89">
        <v>1674</v>
      </c>
      <c r="C582" s="82">
        <v>1</v>
      </c>
      <c r="D582" s="83">
        <v>32394</v>
      </c>
      <c r="E582" s="84">
        <f t="shared" si="9"/>
        <v>1988</v>
      </c>
      <c r="F582" s="82" t="s">
        <v>22</v>
      </c>
      <c r="G582" s="82">
        <v>2</v>
      </c>
      <c r="H582" s="82">
        <v>10</v>
      </c>
      <c r="I582" s="82">
        <v>15.1</v>
      </c>
      <c r="J582" s="82">
        <v>9.4</v>
      </c>
      <c r="K582" s="89" t="s">
        <v>193</v>
      </c>
    </row>
    <row r="583" spans="1:11" x14ac:dyDescent="0.2">
      <c r="A583" t="s">
        <v>21</v>
      </c>
      <c r="B583" s="89">
        <v>1674</v>
      </c>
      <c r="C583" s="82">
        <v>1</v>
      </c>
      <c r="D583" s="83">
        <v>32394</v>
      </c>
      <c r="E583" s="84">
        <f t="shared" si="9"/>
        <v>1988</v>
      </c>
      <c r="F583" s="82" t="s">
        <v>22</v>
      </c>
      <c r="G583" s="82">
        <v>2</v>
      </c>
      <c r="H583" s="82">
        <v>11</v>
      </c>
      <c r="I583" s="82">
        <v>15</v>
      </c>
      <c r="J583" s="82">
        <v>9.4</v>
      </c>
      <c r="K583" s="89" t="s">
        <v>193</v>
      </c>
    </row>
    <row r="584" spans="1:11" x14ac:dyDescent="0.2">
      <c r="A584" t="s">
        <v>21</v>
      </c>
      <c r="B584" s="89">
        <v>1674</v>
      </c>
      <c r="C584" s="82">
        <v>1</v>
      </c>
      <c r="D584" s="83">
        <v>32422</v>
      </c>
      <c r="E584" s="84">
        <f t="shared" si="9"/>
        <v>1988</v>
      </c>
      <c r="F584" s="82" t="s">
        <v>22</v>
      </c>
      <c r="G584" s="82">
        <v>2</v>
      </c>
      <c r="H584" s="82">
        <v>0</v>
      </c>
      <c r="I584" s="82">
        <v>9.9</v>
      </c>
      <c r="J584" s="82">
        <v>10.7</v>
      </c>
      <c r="K584" s="89" t="s">
        <v>193</v>
      </c>
    </row>
    <row r="585" spans="1:11" x14ac:dyDescent="0.2">
      <c r="A585" t="s">
        <v>21</v>
      </c>
      <c r="B585" s="89">
        <v>1674</v>
      </c>
      <c r="C585" s="82">
        <v>1</v>
      </c>
      <c r="D585" s="83">
        <v>32422</v>
      </c>
      <c r="E585" s="84">
        <f t="shared" si="9"/>
        <v>1988</v>
      </c>
      <c r="F585" s="82" t="s">
        <v>22</v>
      </c>
      <c r="G585" s="82">
        <v>2</v>
      </c>
      <c r="H585" s="82">
        <v>1</v>
      </c>
      <c r="I585" s="82">
        <v>9.9</v>
      </c>
      <c r="J585" s="82">
        <v>10.6</v>
      </c>
      <c r="K585" s="89" t="s">
        <v>193</v>
      </c>
    </row>
    <row r="586" spans="1:11" x14ac:dyDescent="0.2">
      <c r="A586" t="s">
        <v>21</v>
      </c>
      <c r="B586" s="89">
        <v>1674</v>
      </c>
      <c r="C586" s="82">
        <v>1</v>
      </c>
      <c r="D586" s="83">
        <v>32422</v>
      </c>
      <c r="E586" s="84">
        <f t="shared" si="9"/>
        <v>1988</v>
      </c>
      <c r="F586" s="82" t="s">
        <v>22</v>
      </c>
      <c r="G586" s="82">
        <v>2</v>
      </c>
      <c r="H586" s="82">
        <v>3</v>
      </c>
      <c r="I586" s="82">
        <v>9.9</v>
      </c>
      <c r="J586" s="82">
        <v>10.6</v>
      </c>
      <c r="K586" s="89" t="s">
        <v>193</v>
      </c>
    </row>
    <row r="587" spans="1:11" x14ac:dyDescent="0.2">
      <c r="A587" t="s">
        <v>21</v>
      </c>
      <c r="B587" s="89">
        <v>1674</v>
      </c>
      <c r="C587" s="82">
        <v>1</v>
      </c>
      <c r="D587" s="83">
        <v>32422</v>
      </c>
      <c r="E587" s="84">
        <f t="shared" si="9"/>
        <v>1988</v>
      </c>
      <c r="F587" s="82" t="s">
        <v>22</v>
      </c>
      <c r="G587" s="82">
        <v>2</v>
      </c>
      <c r="H587" s="82">
        <v>7</v>
      </c>
      <c r="I587" s="82">
        <v>9.9</v>
      </c>
      <c r="J587" s="82">
        <v>10.6</v>
      </c>
      <c r="K587" s="89" t="s">
        <v>193</v>
      </c>
    </row>
    <row r="588" spans="1:11" x14ac:dyDescent="0.2">
      <c r="A588" t="s">
        <v>21</v>
      </c>
      <c r="B588" s="89">
        <v>1674</v>
      </c>
      <c r="C588" s="82">
        <v>1</v>
      </c>
      <c r="D588" s="83">
        <v>32422</v>
      </c>
      <c r="E588" s="84">
        <f t="shared" si="9"/>
        <v>1988</v>
      </c>
      <c r="F588" s="82" t="s">
        <v>22</v>
      </c>
      <c r="G588" s="82">
        <v>2</v>
      </c>
      <c r="H588" s="82">
        <v>9</v>
      </c>
      <c r="I588" s="82">
        <v>9.9</v>
      </c>
      <c r="J588" s="82">
        <v>10.6</v>
      </c>
      <c r="K588" s="89" t="s">
        <v>193</v>
      </c>
    </row>
    <row r="589" spans="1:11" x14ac:dyDescent="0.2">
      <c r="A589" t="s">
        <v>21</v>
      </c>
      <c r="B589" s="89">
        <v>1674</v>
      </c>
      <c r="C589" s="82">
        <v>1</v>
      </c>
      <c r="D589" s="83">
        <v>32422</v>
      </c>
      <c r="E589" s="84">
        <f t="shared" si="9"/>
        <v>1988</v>
      </c>
      <c r="F589" s="82" t="s">
        <v>22</v>
      </c>
      <c r="G589" s="82">
        <v>2</v>
      </c>
      <c r="H589" s="82">
        <v>11</v>
      </c>
      <c r="I589" s="82">
        <v>9.6</v>
      </c>
      <c r="J589" s="82">
        <v>10.4</v>
      </c>
      <c r="K589" s="89" t="s">
        <v>193</v>
      </c>
    </row>
    <row r="590" spans="1:11" x14ac:dyDescent="0.2">
      <c r="A590" t="s">
        <v>21</v>
      </c>
      <c r="B590" s="89">
        <v>1674</v>
      </c>
      <c r="C590" s="82">
        <v>1</v>
      </c>
      <c r="D590" s="83">
        <v>32422</v>
      </c>
      <c r="E590" s="84">
        <f t="shared" si="9"/>
        <v>1988</v>
      </c>
      <c r="F590" s="82" t="s">
        <v>22</v>
      </c>
      <c r="G590" s="82">
        <v>2</v>
      </c>
      <c r="H590" s="82">
        <v>12</v>
      </c>
      <c r="I590" s="82">
        <v>9.3000000000000007</v>
      </c>
      <c r="J590" s="82">
        <v>2.2000000000000002</v>
      </c>
      <c r="K590" s="89" t="s">
        <v>193</v>
      </c>
    </row>
    <row r="591" spans="1:11" x14ac:dyDescent="0.2">
      <c r="A591" t="s">
        <v>21</v>
      </c>
      <c r="B591" s="89">
        <v>1674</v>
      </c>
      <c r="C591" s="82">
        <v>1</v>
      </c>
      <c r="D591" s="83">
        <v>32582</v>
      </c>
      <c r="E591" s="84">
        <f t="shared" si="9"/>
        <v>1989</v>
      </c>
      <c r="F591" s="82" t="s">
        <v>22</v>
      </c>
      <c r="G591" s="82">
        <v>2</v>
      </c>
      <c r="H591" s="82">
        <v>0</v>
      </c>
      <c r="I591" s="82">
        <v>0.2</v>
      </c>
      <c r="J591" s="82">
        <v>14</v>
      </c>
      <c r="K591" s="89" t="s">
        <v>193</v>
      </c>
    </row>
    <row r="592" spans="1:11" x14ac:dyDescent="0.2">
      <c r="A592" t="s">
        <v>21</v>
      </c>
      <c r="B592" s="89">
        <v>1674</v>
      </c>
      <c r="C592" s="82">
        <v>1</v>
      </c>
      <c r="D592" s="83">
        <v>32582</v>
      </c>
      <c r="E592" s="84">
        <f t="shared" si="9"/>
        <v>1989</v>
      </c>
      <c r="F592" s="82" t="s">
        <v>22</v>
      </c>
      <c r="G592" s="82">
        <v>2</v>
      </c>
      <c r="H592" s="82">
        <v>1</v>
      </c>
      <c r="I592" s="82">
        <v>0.2</v>
      </c>
      <c r="J592" s="82">
        <v>13.2</v>
      </c>
      <c r="K592" s="89" t="s">
        <v>193</v>
      </c>
    </row>
    <row r="593" spans="1:11" x14ac:dyDescent="0.2">
      <c r="A593" t="s">
        <v>21</v>
      </c>
      <c r="B593" s="89">
        <v>1674</v>
      </c>
      <c r="C593" s="82">
        <v>1</v>
      </c>
      <c r="D593" s="83">
        <v>32582</v>
      </c>
      <c r="E593" s="84">
        <f t="shared" si="9"/>
        <v>1989</v>
      </c>
      <c r="F593" s="82" t="s">
        <v>22</v>
      </c>
      <c r="G593" s="82">
        <v>2</v>
      </c>
      <c r="H593" s="82">
        <v>2</v>
      </c>
      <c r="I593" s="82">
        <v>1.1000000000000001</v>
      </c>
      <c r="J593" s="82">
        <v>12.4</v>
      </c>
      <c r="K593" s="89" t="s">
        <v>193</v>
      </c>
    </row>
    <row r="594" spans="1:11" x14ac:dyDescent="0.2">
      <c r="A594" t="s">
        <v>21</v>
      </c>
      <c r="B594" s="89">
        <v>1674</v>
      </c>
      <c r="C594" s="82">
        <v>1</v>
      </c>
      <c r="D594" s="83">
        <v>32582</v>
      </c>
      <c r="E594" s="84">
        <f t="shared" si="9"/>
        <v>1989</v>
      </c>
      <c r="F594" s="82" t="s">
        <v>22</v>
      </c>
      <c r="G594" s="82">
        <v>2</v>
      </c>
      <c r="H594" s="82">
        <v>3</v>
      </c>
      <c r="I594" s="82">
        <v>2</v>
      </c>
      <c r="J594" s="82">
        <v>11.6</v>
      </c>
      <c r="K594" s="89" t="s">
        <v>193</v>
      </c>
    </row>
    <row r="595" spans="1:11" x14ac:dyDescent="0.2">
      <c r="A595" t="s">
        <v>21</v>
      </c>
      <c r="B595" s="89">
        <v>1674</v>
      </c>
      <c r="C595" s="82">
        <v>1</v>
      </c>
      <c r="D595" s="83">
        <v>32582</v>
      </c>
      <c r="E595" s="84">
        <f t="shared" si="9"/>
        <v>1989</v>
      </c>
      <c r="F595" s="82" t="s">
        <v>22</v>
      </c>
      <c r="G595" s="82">
        <v>2</v>
      </c>
      <c r="H595" s="82">
        <v>4</v>
      </c>
      <c r="I595" s="82">
        <v>2.1</v>
      </c>
      <c r="J595" s="82">
        <v>10.199999999999999</v>
      </c>
      <c r="K595" s="89" t="s">
        <v>193</v>
      </c>
    </row>
    <row r="596" spans="1:11" x14ac:dyDescent="0.2">
      <c r="A596" t="s">
        <v>21</v>
      </c>
      <c r="B596" s="89">
        <v>1674</v>
      </c>
      <c r="C596" s="82">
        <v>1</v>
      </c>
      <c r="D596" s="83">
        <v>32582</v>
      </c>
      <c r="E596" s="84">
        <f t="shared" si="9"/>
        <v>1989</v>
      </c>
      <c r="F596" s="82" t="s">
        <v>22</v>
      </c>
      <c r="G596" s="82">
        <v>2</v>
      </c>
      <c r="H596" s="82">
        <v>5</v>
      </c>
      <c r="I596" s="82">
        <v>2.5</v>
      </c>
      <c r="J596" s="82">
        <v>9.3000000000000007</v>
      </c>
      <c r="K596" s="89" t="s">
        <v>193</v>
      </c>
    </row>
    <row r="597" spans="1:11" x14ac:dyDescent="0.2">
      <c r="A597" t="s">
        <v>21</v>
      </c>
      <c r="B597" s="89">
        <v>1674</v>
      </c>
      <c r="C597" s="82">
        <v>1</v>
      </c>
      <c r="D597" s="83">
        <v>32582</v>
      </c>
      <c r="E597" s="84">
        <f t="shared" si="9"/>
        <v>1989</v>
      </c>
      <c r="F597" s="82" t="s">
        <v>22</v>
      </c>
      <c r="G597" s="82">
        <v>2</v>
      </c>
      <c r="H597" s="82">
        <v>6</v>
      </c>
      <c r="I597" s="82">
        <v>3</v>
      </c>
      <c r="J597" s="82">
        <v>8.4</v>
      </c>
      <c r="K597" s="89" t="s">
        <v>193</v>
      </c>
    </row>
    <row r="598" spans="1:11" x14ac:dyDescent="0.2">
      <c r="A598" t="s">
        <v>21</v>
      </c>
      <c r="B598" s="89">
        <v>1674</v>
      </c>
      <c r="C598" s="82">
        <v>1</v>
      </c>
      <c r="D598" s="83">
        <v>32582</v>
      </c>
      <c r="E598" s="84">
        <f t="shared" si="9"/>
        <v>1989</v>
      </c>
      <c r="F598" s="82" t="s">
        <v>22</v>
      </c>
      <c r="G598" s="82">
        <v>2</v>
      </c>
      <c r="H598" s="82">
        <v>7</v>
      </c>
      <c r="I598" s="82">
        <v>3.2</v>
      </c>
      <c r="J598" s="82">
        <v>5.2</v>
      </c>
      <c r="K598" s="89" t="s">
        <v>193</v>
      </c>
    </row>
    <row r="599" spans="1:11" x14ac:dyDescent="0.2">
      <c r="A599" t="s">
        <v>21</v>
      </c>
      <c r="B599" s="89">
        <v>1674</v>
      </c>
      <c r="C599" s="82">
        <v>1</v>
      </c>
      <c r="D599" s="83">
        <v>32582</v>
      </c>
      <c r="E599" s="84">
        <f t="shared" si="9"/>
        <v>1989</v>
      </c>
      <c r="F599" s="82" t="s">
        <v>22</v>
      </c>
      <c r="G599" s="82">
        <v>2</v>
      </c>
      <c r="H599" s="82">
        <v>8</v>
      </c>
      <c r="I599" s="82">
        <v>3.8</v>
      </c>
      <c r="J599" s="82">
        <v>4</v>
      </c>
      <c r="K599" s="89" t="s">
        <v>193</v>
      </c>
    </row>
    <row r="600" spans="1:11" x14ac:dyDescent="0.2">
      <c r="A600" t="s">
        <v>21</v>
      </c>
      <c r="B600" s="89">
        <v>1674</v>
      </c>
      <c r="C600" s="82">
        <v>1</v>
      </c>
      <c r="D600" s="83">
        <v>32582</v>
      </c>
      <c r="E600" s="84">
        <f t="shared" si="9"/>
        <v>1989</v>
      </c>
      <c r="F600" s="82" t="s">
        <v>22</v>
      </c>
      <c r="G600" s="82">
        <v>2</v>
      </c>
      <c r="H600" s="82">
        <v>9</v>
      </c>
      <c r="I600" s="82">
        <v>3.9</v>
      </c>
      <c r="J600" s="82">
        <v>3.3</v>
      </c>
      <c r="K600" s="89" t="s">
        <v>193</v>
      </c>
    </row>
    <row r="601" spans="1:11" x14ac:dyDescent="0.2">
      <c r="A601" t="s">
        <v>21</v>
      </c>
      <c r="B601" s="89">
        <v>1674</v>
      </c>
      <c r="C601" s="82">
        <v>1</v>
      </c>
      <c r="D601" s="83">
        <v>32582</v>
      </c>
      <c r="E601" s="84">
        <f t="shared" si="9"/>
        <v>1989</v>
      </c>
      <c r="F601" s="82" t="s">
        <v>22</v>
      </c>
      <c r="G601" s="82">
        <v>2</v>
      </c>
      <c r="H601" s="82">
        <v>10</v>
      </c>
      <c r="I601" s="82">
        <v>4</v>
      </c>
      <c r="J601" s="82">
        <v>2.2999999999999998</v>
      </c>
      <c r="K601" s="89" t="s">
        <v>193</v>
      </c>
    </row>
    <row r="602" spans="1:11" x14ac:dyDescent="0.2">
      <c r="A602" t="s">
        <v>21</v>
      </c>
      <c r="B602" s="89">
        <v>1674</v>
      </c>
      <c r="C602" s="82">
        <v>1</v>
      </c>
      <c r="D602" s="83">
        <v>32582</v>
      </c>
      <c r="E602" s="84">
        <f t="shared" si="9"/>
        <v>1989</v>
      </c>
      <c r="F602" s="82" t="s">
        <v>22</v>
      </c>
      <c r="G602" s="82">
        <v>2</v>
      </c>
      <c r="H602" s="82">
        <v>11</v>
      </c>
      <c r="I602" s="82">
        <v>4</v>
      </c>
      <c r="J602" s="82">
        <v>2.2999999999999998</v>
      </c>
      <c r="K602" s="89" t="s">
        <v>193</v>
      </c>
    </row>
    <row r="603" spans="1:11" x14ac:dyDescent="0.2">
      <c r="A603" t="s">
        <v>21</v>
      </c>
      <c r="B603" s="89">
        <v>1674</v>
      </c>
      <c r="C603" s="82">
        <v>1</v>
      </c>
      <c r="D603" s="83">
        <v>32582</v>
      </c>
      <c r="E603" s="84">
        <f t="shared" si="9"/>
        <v>1989</v>
      </c>
      <c r="F603" s="82" t="s">
        <v>22</v>
      </c>
      <c r="G603" s="82">
        <v>2</v>
      </c>
      <c r="H603" s="82">
        <v>11.5</v>
      </c>
      <c r="I603" s="82">
        <v>4</v>
      </c>
      <c r="J603" s="82">
        <v>2.2999999999999998</v>
      </c>
      <c r="K603" s="89" t="s">
        <v>193</v>
      </c>
    </row>
    <row r="604" spans="1:11" x14ac:dyDescent="0.2">
      <c r="A604" t="s">
        <v>21</v>
      </c>
      <c r="B604" s="89">
        <v>1674</v>
      </c>
      <c r="C604" s="82">
        <v>1</v>
      </c>
      <c r="D604" s="83">
        <v>32646</v>
      </c>
      <c r="E604" s="84">
        <f t="shared" si="9"/>
        <v>1989</v>
      </c>
      <c r="F604" s="82" t="s">
        <v>22</v>
      </c>
      <c r="G604" s="82">
        <v>2</v>
      </c>
      <c r="H604" s="82">
        <v>0</v>
      </c>
      <c r="I604" s="82">
        <v>18</v>
      </c>
      <c r="J604" s="82">
        <v>11</v>
      </c>
      <c r="K604" s="89" t="s">
        <v>193</v>
      </c>
    </row>
    <row r="605" spans="1:11" x14ac:dyDescent="0.2">
      <c r="A605" t="s">
        <v>21</v>
      </c>
      <c r="B605" s="89">
        <v>1674</v>
      </c>
      <c r="C605" s="82">
        <v>1</v>
      </c>
      <c r="D605" s="83">
        <v>32646</v>
      </c>
      <c r="E605" s="84">
        <f t="shared" si="9"/>
        <v>1989</v>
      </c>
      <c r="F605" s="82" t="s">
        <v>22</v>
      </c>
      <c r="G605" s="82">
        <v>2</v>
      </c>
      <c r="H605" s="82">
        <v>1</v>
      </c>
      <c r="I605" s="82">
        <v>14.9</v>
      </c>
      <c r="J605" s="82">
        <v>11.8</v>
      </c>
      <c r="K605" s="89" t="s">
        <v>193</v>
      </c>
    </row>
    <row r="606" spans="1:11" x14ac:dyDescent="0.2">
      <c r="A606" t="s">
        <v>21</v>
      </c>
      <c r="B606" s="89">
        <v>1674</v>
      </c>
      <c r="C606" s="82">
        <v>1</v>
      </c>
      <c r="D606" s="83">
        <v>32646</v>
      </c>
      <c r="E606" s="84">
        <f t="shared" si="9"/>
        <v>1989</v>
      </c>
      <c r="F606" s="82" t="s">
        <v>22</v>
      </c>
      <c r="G606" s="82">
        <v>2</v>
      </c>
      <c r="H606" s="82">
        <v>2</v>
      </c>
      <c r="I606" s="82">
        <v>14</v>
      </c>
      <c r="J606" s="82">
        <v>12</v>
      </c>
      <c r="K606" s="89" t="s">
        <v>193</v>
      </c>
    </row>
    <row r="607" spans="1:11" x14ac:dyDescent="0.2">
      <c r="A607" t="s">
        <v>21</v>
      </c>
      <c r="B607" s="89">
        <v>1674</v>
      </c>
      <c r="C607" s="82">
        <v>1</v>
      </c>
      <c r="D607" s="83">
        <v>32646</v>
      </c>
      <c r="E607" s="84">
        <f t="shared" si="9"/>
        <v>1989</v>
      </c>
      <c r="F607" s="82" t="s">
        <v>22</v>
      </c>
      <c r="G607" s="82">
        <v>2</v>
      </c>
      <c r="H607" s="82">
        <v>3</v>
      </c>
      <c r="I607" s="82">
        <v>12.9</v>
      </c>
      <c r="J607" s="82">
        <v>12.2</v>
      </c>
      <c r="K607" s="89" t="s">
        <v>193</v>
      </c>
    </row>
    <row r="608" spans="1:11" x14ac:dyDescent="0.2">
      <c r="A608" t="s">
        <v>21</v>
      </c>
      <c r="B608" s="89">
        <v>1674</v>
      </c>
      <c r="C608" s="82">
        <v>1</v>
      </c>
      <c r="D608" s="83">
        <v>32646</v>
      </c>
      <c r="E608" s="84">
        <f t="shared" si="9"/>
        <v>1989</v>
      </c>
      <c r="F608" s="82" t="s">
        <v>22</v>
      </c>
      <c r="G608" s="82">
        <v>2</v>
      </c>
      <c r="H608" s="82">
        <v>4</v>
      </c>
      <c r="I608" s="82">
        <v>11.5</v>
      </c>
      <c r="J608" s="82">
        <v>12.1</v>
      </c>
      <c r="K608" s="89" t="s">
        <v>193</v>
      </c>
    </row>
    <row r="609" spans="1:11" x14ac:dyDescent="0.2">
      <c r="A609" t="s">
        <v>21</v>
      </c>
      <c r="B609" s="89">
        <v>1674</v>
      </c>
      <c r="C609" s="82">
        <v>1</v>
      </c>
      <c r="D609" s="83">
        <v>32646</v>
      </c>
      <c r="E609" s="84">
        <f t="shared" si="9"/>
        <v>1989</v>
      </c>
      <c r="F609" s="82" t="s">
        <v>22</v>
      </c>
      <c r="G609" s="82">
        <v>2</v>
      </c>
      <c r="H609" s="82">
        <v>5</v>
      </c>
      <c r="I609" s="82">
        <v>9.1999999999999993</v>
      </c>
      <c r="J609" s="82">
        <v>11.7</v>
      </c>
      <c r="K609" s="89" t="s">
        <v>193</v>
      </c>
    </row>
    <row r="610" spans="1:11" x14ac:dyDescent="0.2">
      <c r="A610" t="s">
        <v>21</v>
      </c>
      <c r="B610" s="89">
        <v>1674</v>
      </c>
      <c r="C610" s="82">
        <v>1</v>
      </c>
      <c r="D610" s="83">
        <v>32646</v>
      </c>
      <c r="E610" s="84">
        <f t="shared" si="9"/>
        <v>1989</v>
      </c>
      <c r="F610" s="82" t="s">
        <v>22</v>
      </c>
      <c r="G610" s="82">
        <v>2</v>
      </c>
      <c r="H610" s="82">
        <v>6</v>
      </c>
      <c r="I610" s="82">
        <v>8.3000000000000007</v>
      </c>
      <c r="J610" s="82">
        <v>11.3</v>
      </c>
      <c r="K610" s="89" t="s">
        <v>193</v>
      </c>
    </row>
    <row r="611" spans="1:11" x14ac:dyDescent="0.2">
      <c r="A611" t="s">
        <v>21</v>
      </c>
      <c r="B611" s="89">
        <v>1674</v>
      </c>
      <c r="C611" s="82">
        <v>1</v>
      </c>
      <c r="D611" s="83">
        <v>32646</v>
      </c>
      <c r="E611" s="84">
        <f t="shared" si="9"/>
        <v>1989</v>
      </c>
      <c r="F611" s="82" t="s">
        <v>22</v>
      </c>
      <c r="G611" s="82">
        <v>2</v>
      </c>
      <c r="H611" s="82">
        <v>7</v>
      </c>
      <c r="I611" s="82">
        <v>8</v>
      </c>
      <c r="J611" s="82">
        <v>10.8</v>
      </c>
      <c r="K611" s="89" t="s">
        <v>193</v>
      </c>
    </row>
    <row r="612" spans="1:11" x14ac:dyDescent="0.2">
      <c r="A612" t="s">
        <v>21</v>
      </c>
      <c r="B612" s="89">
        <v>1674</v>
      </c>
      <c r="C612" s="82">
        <v>1</v>
      </c>
      <c r="D612" s="83">
        <v>32646</v>
      </c>
      <c r="E612" s="84">
        <f t="shared" si="9"/>
        <v>1989</v>
      </c>
      <c r="F612" s="82" t="s">
        <v>22</v>
      </c>
      <c r="G612" s="82">
        <v>2</v>
      </c>
      <c r="H612" s="82">
        <v>8</v>
      </c>
      <c r="I612" s="82">
        <v>7.2</v>
      </c>
      <c r="J612" s="82">
        <v>10.6</v>
      </c>
      <c r="K612" s="89" t="s">
        <v>193</v>
      </c>
    </row>
    <row r="613" spans="1:11" x14ac:dyDescent="0.2">
      <c r="A613" t="s">
        <v>21</v>
      </c>
      <c r="B613" s="89">
        <v>1674</v>
      </c>
      <c r="C613" s="82">
        <v>1</v>
      </c>
      <c r="D613" s="83">
        <v>32646</v>
      </c>
      <c r="E613" s="84">
        <f t="shared" si="9"/>
        <v>1989</v>
      </c>
      <c r="F613" s="82" t="s">
        <v>22</v>
      </c>
      <c r="G613" s="82">
        <v>2</v>
      </c>
      <c r="H613" s="82">
        <v>9</v>
      </c>
      <c r="I613" s="82">
        <v>7</v>
      </c>
      <c r="J613" s="82">
        <v>10.3</v>
      </c>
      <c r="K613" s="89" t="s">
        <v>193</v>
      </c>
    </row>
    <row r="614" spans="1:11" x14ac:dyDescent="0.2">
      <c r="A614" t="s">
        <v>21</v>
      </c>
      <c r="B614" s="89">
        <v>1674</v>
      </c>
      <c r="C614" s="82">
        <v>1</v>
      </c>
      <c r="D614" s="83">
        <v>32646</v>
      </c>
      <c r="E614" s="84">
        <f t="shared" si="9"/>
        <v>1989</v>
      </c>
      <c r="F614" s="82" t="s">
        <v>22</v>
      </c>
      <c r="G614" s="82">
        <v>2</v>
      </c>
      <c r="H614" s="82">
        <v>10</v>
      </c>
      <c r="I614" s="82">
        <v>6.2</v>
      </c>
      <c r="J614" s="82">
        <v>9.5</v>
      </c>
      <c r="K614" s="89" t="s">
        <v>193</v>
      </c>
    </row>
    <row r="615" spans="1:11" x14ac:dyDescent="0.2">
      <c r="A615" t="s">
        <v>21</v>
      </c>
      <c r="B615" s="89">
        <v>1674</v>
      </c>
      <c r="C615" s="82">
        <v>1</v>
      </c>
      <c r="D615" s="83">
        <v>32646</v>
      </c>
      <c r="E615" s="84">
        <f t="shared" si="9"/>
        <v>1989</v>
      </c>
      <c r="F615" s="82" t="s">
        <v>22</v>
      </c>
      <c r="G615" s="82">
        <v>2</v>
      </c>
      <c r="H615" s="82">
        <v>11</v>
      </c>
      <c r="I615" s="82">
        <v>6.2</v>
      </c>
      <c r="J615" s="82">
        <v>8.8000000000000007</v>
      </c>
      <c r="K615" s="89" t="s">
        <v>193</v>
      </c>
    </row>
    <row r="616" spans="1:11" x14ac:dyDescent="0.2">
      <c r="A616" t="s">
        <v>21</v>
      </c>
      <c r="B616" s="89">
        <v>1674</v>
      </c>
      <c r="C616" s="82">
        <v>1</v>
      </c>
      <c r="D616" s="83">
        <v>32646</v>
      </c>
      <c r="E616" s="84">
        <f t="shared" si="9"/>
        <v>1989</v>
      </c>
      <c r="F616" s="82" t="s">
        <v>22</v>
      </c>
      <c r="G616" s="82">
        <v>2</v>
      </c>
      <c r="H616" s="82">
        <v>12</v>
      </c>
      <c r="I616" s="82">
        <v>6.1</v>
      </c>
      <c r="J616" s="82">
        <v>8.3000000000000007</v>
      </c>
      <c r="K616" s="89" t="s">
        <v>193</v>
      </c>
    </row>
    <row r="617" spans="1:11" x14ac:dyDescent="0.2">
      <c r="A617" t="s">
        <v>21</v>
      </c>
      <c r="B617" s="89">
        <v>1674</v>
      </c>
      <c r="C617" s="82">
        <v>1</v>
      </c>
      <c r="D617" s="83">
        <v>32646</v>
      </c>
      <c r="E617" s="84">
        <f t="shared" si="9"/>
        <v>1989</v>
      </c>
      <c r="F617" s="82" t="s">
        <v>22</v>
      </c>
      <c r="G617" s="82">
        <v>2</v>
      </c>
      <c r="H617" s="82">
        <v>13</v>
      </c>
      <c r="I617" s="82">
        <v>6</v>
      </c>
      <c r="J617" s="82">
        <v>7.2</v>
      </c>
      <c r="K617" s="89" t="s">
        <v>193</v>
      </c>
    </row>
    <row r="618" spans="1:11" x14ac:dyDescent="0.2">
      <c r="A618" t="s">
        <v>21</v>
      </c>
      <c r="B618" s="89">
        <v>1674</v>
      </c>
      <c r="C618" s="82">
        <v>1</v>
      </c>
      <c r="D618" s="83">
        <v>32662</v>
      </c>
      <c r="E618" s="84">
        <f t="shared" si="9"/>
        <v>1989</v>
      </c>
      <c r="F618" s="82" t="s">
        <v>22</v>
      </c>
      <c r="G618" s="82">
        <v>2</v>
      </c>
      <c r="H618" s="82">
        <v>0</v>
      </c>
      <c r="I618" s="82">
        <v>16.8</v>
      </c>
      <c r="J618" s="82">
        <v>9.5</v>
      </c>
      <c r="K618" s="89" t="s">
        <v>193</v>
      </c>
    </row>
    <row r="619" spans="1:11" x14ac:dyDescent="0.2">
      <c r="A619" t="s">
        <v>21</v>
      </c>
      <c r="B619" s="89">
        <v>1674</v>
      </c>
      <c r="C619" s="82">
        <v>1</v>
      </c>
      <c r="D619" s="83">
        <v>32662</v>
      </c>
      <c r="E619" s="84">
        <f t="shared" si="9"/>
        <v>1989</v>
      </c>
      <c r="F619" s="82" t="s">
        <v>22</v>
      </c>
      <c r="G619" s="82">
        <v>2</v>
      </c>
      <c r="H619" s="82">
        <v>1</v>
      </c>
      <c r="I619" s="82">
        <v>15.7</v>
      </c>
      <c r="J619" s="82">
        <v>9.3000000000000007</v>
      </c>
      <c r="K619" s="89" t="s">
        <v>193</v>
      </c>
    </row>
    <row r="620" spans="1:11" x14ac:dyDescent="0.2">
      <c r="A620" t="s">
        <v>21</v>
      </c>
      <c r="B620" s="89">
        <v>1674</v>
      </c>
      <c r="C620" s="82">
        <v>1</v>
      </c>
      <c r="D620" s="83">
        <v>32662</v>
      </c>
      <c r="E620" s="84">
        <f t="shared" si="9"/>
        <v>1989</v>
      </c>
      <c r="F620" s="82" t="s">
        <v>22</v>
      </c>
      <c r="G620" s="82">
        <v>2</v>
      </c>
      <c r="H620" s="82">
        <v>2</v>
      </c>
      <c r="I620" s="82">
        <v>15.5</v>
      </c>
      <c r="J620" s="82">
        <v>9.3000000000000007</v>
      </c>
      <c r="K620" s="89" t="s">
        <v>193</v>
      </c>
    </row>
    <row r="621" spans="1:11" x14ac:dyDescent="0.2">
      <c r="A621" t="s">
        <v>21</v>
      </c>
      <c r="B621" s="89">
        <v>1674</v>
      </c>
      <c r="C621" s="82">
        <v>1</v>
      </c>
      <c r="D621" s="83">
        <v>32662</v>
      </c>
      <c r="E621" s="84">
        <f t="shared" si="9"/>
        <v>1989</v>
      </c>
      <c r="F621" s="82" t="s">
        <v>22</v>
      </c>
      <c r="G621" s="82">
        <v>2</v>
      </c>
      <c r="H621" s="82">
        <v>3</v>
      </c>
      <c r="I621" s="82">
        <v>15.2</v>
      </c>
      <c r="J621" s="82">
        <v>9.3000000000000007</v>
      </c>
      <c r="K621" s="89" t="s">
        <v>193</v>
      </c>
    </row>
    <row r="622" spans="1:11" x14ac:dyDescent="0.2">
      <c r="A622" t="s">
        <v>21</v>
      </c>
      <c r="B622" s="89">
        <v>1674</v>
      </c>
      <c r="C622" s="82">
        <v>1</v>
      </c>
      <c r="D622" s="83">
        <v>32662</v>
      </c>
      <c r="E622" s="84">
        <f t="shared" si="9"/>
        <v>1989</v>
      </c>
      <c r="F622" s="82" t="s">
        <v>22</v>
      </c>
      <c r="G622" s="82">
        <v>2</v>
      </c>
      <c r="H622" s="82">
        <v>4</v>
      </c>
      <c r="I622" s="82">
        <v>15.2</v>
      </c>
      <c r="J622" s="82">
        <v>9.3000000000000007</v>
      </c>
      <c r="K622" s="89" t="s">
        <v>193</v>
      </c>
    </row>
    <row r="623" spans="1:11" x14ac:dyDescent="0.2">
      <c r="A623" t="s">
        <v>21</v>
      </c>
      <c r="B623" s="89">
        <v>1674</v>
      </c>
      <c r="C623" s="82">
        <v>1</v>
      </c>
      <c r="D623" s="83">
        <v>32662</v>
      </c>
      <c r="E623" s="84">
        <f t="shared" si="9"/>
        <v>1989</v>
      </c>
      <c r="F623" s="82" t="s">
        <v>22</v>
      </c>
      <c r="G623" s="82">
        <v>2</v>
      </c>
      <c r="H623" s="82">
        <v>5</v>
      </c>
      <c r="I623" s="82">
        <v>15</v>
      </c>
      <c r="J623" s="82">
        <v>9</v>
      </c>
      <c r="K623" s="89" t="s">
        <v>193</v>
      </c>
    </row>
    <row r="624" spans="1:11" x14ac:dyDescent="0.2">
      <c r="A624" t="s">
        <v>21</v>
      </c>
      <c r="B624" s="89">
        <v>1674</v>
      </c>
      <c r="C624" s="82">
        <v>1</v>
      </c>
      <c r="D624" s="83">
        <v>32662</v>
      </c>
      <c r="E624" s="84">
        <f t="shared" si="9"/>
        <v>1989</v>
      </c>
      <c r="F624" s="82" t="s">
        <v>22</v>
      </c>
      <c r="G624" s="82">
        <v>2</v>
      </c>
      <c r="H624" s="82">
        <v>6</v>
      </c>
      <c r="I624" s="82">
        <v>15</v>
      </c>
      <c r="J624" s="82">
        <v>9.1</v>
      </c>
      <c r="K624" s="89" t="s">
        <v>193</v>
      </c>
    </row>
    <row r="625" spans="1:11" x14ac:dyDescent="0.2">
      <c r="A625" t="s">
        <v>21</v>
      </c>
      <c r="B625" s="89">
        <v>1674</v>
      </c>
      <c r="C625" s="82">
        <v>1</v>
      </c>
      <c r="D625" s="83">
        <v>32662</v>
      </c>
      <c r="E625" s="84">
        <f t="shared" si="9"/>
        <v>1989</v>
      </c>
      <c r="F625" s="82" t="s">
        <v>22</v>
      </c>
      <c r="G625" s="82">
        <v>2</v>
      </c>
      <c r="H625" s="82">
        <v>7</v>
      </c>
      <c r="I625" s="82">
        <v>14.9</v>
      </c>
      <c r="J625" s="82">
        <v>9</v>
      </c>
      <c r="K625" s="89" t="s">
        <v>193</v>
      </c>
    </row>
    <row r="626" spans="1:11" x14ac:dyDescent="0.2">
      <c r="A626" t="s">
        <v>21</v>
      </c>
      <c r="B626" s="89">
        <v>1674</v>
      </c>
      <c r="C626" s="82">
        <v>1</v>
      </c>
      <c r="D626" s="83">
        <v>32662</v>
      </c>
      <c r="E626" s="84">
        <f t="shared" si="9"/>
        <v>1989</v>
      </c>
      <c r="F626" s="82" t="s">
        <v>22</v>
      </c>
      <c r="G626" s="82">
        <v>2</v>
      </c>
      <c r="H626" s="82">
        <v>8</v>
      </c>
      <c r="I626" s="82">
        <v>14.8</v>
      </c>
      <c r="J626" s="82">
        <v>9</v>
      </c>
      <c r="K626" s="89" t="s">
        <v>193</v>
      </c>
    </row>
    <row r="627" spans="1:11" x14ac:dyDescent="0.2">
      <c r="A627" t="s">
        <v>21</v>
      </c>
      <c r="B627" s="89">
        <v>1674</v>
      </c>
      <c r="C627" s="82">
        <v>1</v>
      </c>
      <c r="D627" s="83">
        <v>32662</v>
      </c>
      <c r="E627" s="84">
        <f t="shared" si="9"/>
        <v>1989</v>
      </c>
      <c r="F627" s="82" t="s">
        <v>22</v>
      </c>
      <c r="G627" s="82">
        <v>2</v>
      </c>
      <c r="H627" s="82">
        <v>9</v>
      </c>
      <c r="I627" s="82">
        <v>14.5</v>
      </c>
      <c r="J627" s="82">
        <v>7.8</v>
      </c>
      <c r="K627" s="89" t="s">
        <v>193</v>
      </c>
    </row>
    <row r="628" spans="1:11" x14ac:dyDescent="0.2">
      <c r="A628" t="s">
        <v>21</v>
      </c>
      <c r="B628" s="89">
        <v>1674</v>
      </c>
      <c r="C628" s="82">
        <v>1</v>
      </c>
      <c r="D628" s="83">
        <v>32662</v>
      </c>
      <c r="E628" s="84">
        <f t="shared" si="9"/>
        <v>1989</v>
      </c>
      <c r="F628" s="82" t="s">
        <v>22</v>
      </c>
      <c r="G628" s="82">
        <v>2</v>
      </c>
      <c r="H628" s="82">
        <v>10</v>
      </c>
      <c r="I628" s="82">
        <v>11.3</v>
      </c>
      <c r="J628" s="82">
        <v>7.1</v>
      </c>
      <c r="K628" s="89" t="s">
        <v>193</v>
      </c>
    </row>
    <row r="629" spans="1:11" x14ac:dyDescent="0.2">
      <c r="A629" t="s">
        <v>21</v>
      </c>
      <c r="B629" s="89">
        <v>1674</v>
      </c>
      <c r="C629" s="82">
        <v>1</v>
      </c>
      <c r="D629" s="83">
        <v>32662</v>
      </c>
      <c r="E629" s="84">
        <f t="shared" si="9"/>
        <v>1989</v>
      </c>
      <c r="F629" s="82" t="s">
        <v>22</v>
      </c>
      <c r="G629" s="82">
        <v>2</v>
      </c>
      <c r="H629" s="82">
        <v>11</v>
      </c>
      <c r="I629" s="82">
        <v>11</v>
      </c>
      <c r="J629" s="82">
        <v>6.7</v>
      </c>
      <c r="K629" s="89" t="s">
        <v>193</v>
      </c>
    </row>
    <row r="630" spans="1:11" x14ac:dyDescent="0.2">
      <c r="A630" t="s">
        <v>21</v>
      </c>
      <c r="B630" s="89">
        <v>1674</v>
      </c>
      <c r="C630" s="82">
        <v>1</v>
      </c>
      <c r="D630" s="83">
        <v>32662</v>
      </c>
      <c r="E630" s="84">
        <f t="shared" si="9"/>
        <v>1989</v>
      </c>
      <c r="F630" s="82" t="s">
        <v>22</v>
      </c>
      <c r="G630" s="82">
        <v>2</v>
      </c>
      <c r="H630" s="82">
        <v>12</v>
      </c>
      <c r="I630" s="82">
        <v>9</v>
      </c>
      <c r="J630" s="82">
        <v>5.6</v>
      </c>
      <c r="K630" s="89" t="s">
        <v>193</v>
      </c>
    </row>
    <row r="631" spans="1:11" x14ac:dyDescent="0.2">
      <c r="A631" t="s">
        <v>21</v>
      </c>
      <c r="B631" s="89">
        <v>1674</v>
      </c>
      <c r="C631" s="82">
        <v>1</v>
      </c>
      <c r="D631" s="83">
        <v>32681</v>
      </c>
      <c r="E631" s="84">
        <f t="shared" si="9"/>
        <v>1989</v>
      </c>
      <c r="F631" s="82" t="s">
        <v>22</v>
      </c>
      <c r="G631" s="82">
        <v>2</v>
      </c>
      <c r="H631" s="82">
        <v>0</v>
      </c>
      <c r="I631" s="82">
        <v>22</v>
      </c>
      <c r="J631" s="82">
        <v>9</v>
      </c>
      <c r="K631" s="89" t="s">
        <v>193</v>
      </c>
    </row>
    <row r="632" spans="1:11" x14ac:dyDescent="0.2">
      <c r="A632" t="s">
        <v>21</v>
      </c>
      <c r="B632" s="89">
        <v>1674</v>
      </c>
      <c r="C632" s="82">
        <v>1</v>
      </c>
      <c r="D632" s="83">
        <v>32681</v>
      </c>
      <c r="E632" s="84">
        <f t="shared" si="9"/>
        <v>1989</v>
      </c>
      <c r="F632" s="82" t="s">
        <v>22</v>
      </c>
      <c r="G632" s="82">
        <v>2</v>
      </c>
      <c r="H632" s="82">
        <v>1</v>
      </c>
      <c r="I632" s="82">
        <v>21</v>
      </c>
      <c r="J632" s="82">
        <v>9.6</v>
      </c>
      <c r="K632" s="89" t="s">
        <v>193</v>
      </c>
    </row>
    <row r="633" spans="1:11" x14ac:dyDescent="0.2">
      <c r="A633" t="s">
        <v>21</v>
      </c>
      <c r="B633" s="89">
        <v>1674</v>
      </c>
      <c r="C633" s="82">
        <v>1</v>
      </c>
      <c r="D633" s="83">
        <v>32681</v>
      </c>
      <c r="E633" s="84">
        <f t="shared" si="9"/>
        <v>1989</v>
      </c>
      <c r="F633" s="82" t="s">
        <v>22</v>
      </c>
      <c r="G633" s="82">
        <v>2</v>
      </c>
      <c r="H633" s="82">
        <v>2</v>
      </c>
      <c r="I633" s="82">
        <v>20.8</v>
      </c>
      <c r="J633" s="82">
        <v>9.6</v>
      </c>
      <c r="K633" s="89" t="s">
        <v>193</v>
      </c>
    </row>
    <row r="634" spans="1:11" x14ac:dyDescent="0.2">
      <c r="A634" t="s">
        <v>21</v>
      </c>
      <c r="B634" s="89">
        <v>1674</v>
      </c>
      <c r="C634" s="82">
        <v>1</v>
      </c>
      <c r="D634" s="83">
        <v>32681</v>
      </c>
      <c r="E634" s="84">
        <f t="shared" si="9"/>
        <v>1989</v>
      </c>
      <c r="F634" s="82" t="s">
        <v>22</v>
      </c>
      <c r="G634" s="82">
        <v>2</v>
      </c>
      <c r="H634" s="82">
        <v>3</v>
      </c>
      <c r="I634" s="82">
        <v>17.3</v>
      </c>
      <c r="J634" s="82">
        <v>9.4</v>
      </c>
      <c r="K634" s="89" t="s">
        <v>193</v>
      </c>
    </row>
    <row r="635" spans="1:11" x14ac:dyDescent="0.2">
      <c r="A635" t="s">
        <v>21</v>
      </c>
      <c r="B635" s="89">
        <v>1674</v>
      </c>
      <c r="C635" s="82">
        <v>1</v>
      </c>
      <c r="D635" s="83">
        <v>32681</v>
      </c>
      <c r="E635" s="84">
        <f t="shared" si="9"/>
        <v>1989</v>
      </c>
      <c r="F635" s="82" t="s">
        <v>22</v>
      </c>
      <c r="G635" s="82">
        <v>2</v>
      </c>
      <c r="H635" s="82">
        <v>4</v>
      </c>
      <c r="I635" s="82">
        <v>15.2</v>
      </c>
      <c r="J635" s="82">
        <v>9</v>
      </c>
      <c r="K635" s="89" t="s">
        <v>193</v>
      </c>
    </row>
    <row r="636" spans="1:11" x14ac:dyDescent="0.2">
      <c r="A636" t="s">
        <v>21</v>
      </c>
      <c r="B636" s="89">
        <v>1674</v>
      </c>
      <c r="C636" s="82">
        <v>1</v>
      </c>
      <c r="D636" s="83">
        <v>32681</v>
      </c>
      <c r="E636" s="84">
        <f t="shared" si="9"/>
        <v>1989</v>
      </c>
      <c r="F636" s="82" t="s">
        <v>22</v>
      </c>
      <c r="G636" s="82">
        <v>2</v>
      </c>
      <c r="H636" s="82">
        <v>5</v>
      </c>
      <c r="I636" s="82">
        <v>15</v>
      </c>
      <c r="J636" s="82">
        <v>9</v>
      </c>
      <c r="K636" s="89" t="s">
        <v>193</v>
      </c>
    </row>
    <row r="637" spans="1:11" x14ac:dyDescent="0.2">
      <c r="A637" t="s">
        <v>21</v>
      </c>
      <c r="B637" s="89">
        <v>1674</v>
      </c>
      <c r="C637" s="82">
        <v>1</v>
      </c>
      <c r="D637" s="83">
        <v>32681</v>
      </c>
      <c r="E637" s="84">
        <f t="shared" si="9"/>
        <v>1989</v>
      </c>
      <c r="F637" s="82" t="s">
        <v>22</v>
      </c>
      <c r="G637" s="82">
        <v>2</v>
      </c>
      <c r="H637" s="82">
        <v>6</v>
      </c>
      <c r="I637" s="82">
        <v>14.8</v>
      </c>
      <c r="J637" s="82">
        <v>8.8000000000000007</v>
      </c>
      <c r="K637" s="89" t="s">
        <v>193</v>
      </c>
    </row>
    <row r="638" spans="1:11" x14ac:dyDescent="0.2">
      <c r="A638" t="s">
        <v>21</v>
      </c>
      <c r="B638" s="89">
        <v>1674</v>
      </c>
      <c r="C638" s="82">
        <v>1</v>
      </c>
      <c r="D638" s="83">
        <v>32681</v>
      </c>
      <c r="E638" s="84">
        <f t="shared" si="9"/>
        <v>1989</v>
      </c>
      <c r="F638" s="82" t="s">
        <v>22</v>
      </c>
      <c r="G638" s="82">
        <v>2</v>
      </c>
      <c r="H638" s="82">
        <v>7</v>
      </c>
      <c r="I638" s="82">
        <v>14.4</v>
      </c>
      <c r="J638" s="82">
        <v>8.6</v>
      </c>
      <c r="K638" s="89" t="s">
        <v>193</v>
      </c>
    </row>
    <row r="639" spans="1:11" x14ac:dyDescent="0.2">
      <c r="A639" t="s">
        <v>21</v>
      </c>
      <c r="B639" s="89">
        <v>1674</v>
      </c>
      <c r="C639" s="82">
        <v>1</v>
      </c>
      <c r="D639" s="83">
        <v>32681</v>
      </c>
      <c r="E639" s="84">
        <f t="shared" si="9"/>
        <v>1989</v>
      </c>
      <c r="F639" s="82" t="s">
        <v>22</v>
      </c>
      <c r="G639" s="82">
        <v>2</v>
      </c>
      <c r="H639" s="82">
        <v>8</v>
      </c>
      <c r="I639" s="82">
        <v>14</v>
      </c>
      <c r="J639" s="82">
        <v>8</v>
      </c>
      <c r="K639" s="89" t="s">
        <v>193</v>
      </c>
    </row>
    <row r="640" spans="1:11" x14ac:dyDescent="0.2">
      <c r="A640" t="s">
        <v>21</v>
      </c>
      <c r="B640" s="89">
        <v>1674</v>
      </c>
      <c r="C640" s="82">
        <v>1</v>
      </c>
      <c r="D640" s="83">
        <v>32681</v>
      </c>
      <c r="E640" s="84">
        <f t="shared" si="9"/>
        <v>1989</v>
      </c>
      <c r="F640" s="82" t="s">
        <v>22</v>
      </c>
      <c r="G640" s="82">
        <v>2</v>
      </c>
      <c r="H640" s="82">
        <v>9</v>
      </c>
      <c r="I640" s="82">
        <v>13.8</v>
      </c>
      <c r="J640" s="82">
        <v>7.5</v>
      </c>
      <c r="K640" s="89" t="s">
        <v>193</v>
      </c>
    </row>
    <row r="641" spans="1:11" x14ac:dyDescent="0.2">
      <c r="A641" t="s">
        <v>21</v>
      </c>
      <c r="B641" s="89">
        <v>1674</v>
      </c>
      <c r="C641" s="82">
        <v>1</v>
      </c>
      <c r="D641" s="83">
        <v>32681</v>
      </c>
      <c r="E641" s="84">
        <f t="shared" si="9"/>
        <v>1989</v>
      </c>
      <c r="F641" s="82" t="s">
        <v>22</v>
      </c>
      <c r="G641" s="82">
        <v>2</v>
      </c>
      <c r="H641" s="82">
        <v>10</v>
      </c>
      <c r="I641" s="82">
        <v>13.2</v>
      </c>
      <c r="J641" s="82">
        <v>6</v>
      </c>
      <c r="K641" s="89" t="s">
        <v>193</v>
      </c>
    </row>
    <row r="642" spans="1:11" x14ac:dyDescent="0.2">
      <c r="A642" t="s">
        <v>21</v>
      </c>
      <c r="B642" s="89">
        <v>1674</v>
      </c>
      <c r="C642" s="82">
        <v>1</v>
      </c>
      <c r="D642" s="83">
        <v>32695</v>
      </c>
      <c r="E642" s="84">
        <f t="shared" ref="E642:E705" si="10">YEAR(D642)</f>
        <v>1989</v>
      </c>
      <c r="F642" s="82" t="s">
        <v>22</v>
      </c>
      <c r="G642" s="82">
        <v>2</v>
      </c>
      <c r="H642" s="82">
        <v>0</v>
      </c>
      <c r="I642" s="82">
        <v>20.2</v>
      </c>
      <c r="J642" s="82">
        <v>8.6999999999999993</v>
      </c>
      <c r="K642" s="89" t="s">
        <v>193</v>
      </c>
    </row>
    <row r="643" spans="1:11" x14ac:dyDescent="0.2">
      <c r="A643" t="s">
        <v>21</v>
      </c>
      <c r="B643" s="89">
        <v>1674</v>
      </c>
      <c r="C643" s="82">
        <v>1</v>
      </c>
      <c r="D643" s="83">
        <v>32695</v>
      </c>
      <c r="E643" s="84">
        <f t="shared" si="10"/>
        <v>1989</v>
      </c>
      <c r="F643" s="82" t="s">
        <v>22</v>
      </c>
      <c r="G643" s="82">
        <v>2</v>
      </c>
      <c r="H643" s="82">
        <v>1</v>
      </c>
      <c r="I643" s="82">
        <v>20</v>
      </c>
      <c r="J643" s="82">
        <v>8.9</v>
      </c>
      <c r="K643" s="89" t="s">
        <v>193</v>
      </c>
    </row>
    <row r="644" spans="1:11" x14ac:dyDescent="0.2">
      <c r="A644" t="s">
        <v>21</v>
      </c>
      <c r="B644" s="89">
        <v>1674</v>
      </c>
      <c r="C644" s="82">
        <v>1</v>
      </c>
      <c r="D644" s="83">
        <v>32695</v>
      </c>
      <c r="E644" s="84">
        <f t="shared" si="10"/>
        <v>1989</v>
      </c>
      <c r="F644" s="82" t="s">
        <v>22</v>
      </c>
      <c r="G644" s="82">
        <v>2</v>
      </c>
      <c r="H644" s="82">
        <v>2</v>
      </c>
      <c r="I644" s="82">
        <v>20</v>
      </c>
      <c r="J644" s="82">
        <v>8.9</v>
      </c>
      <c r="K644" s="89" t="s">
        <v>193</v>
      </c>
    </row>
    <row r="645" spans="1:11" x14ac:dyDescent="0.2">
      <c r="A645" t="s">
        <v>21</v>
      </c>
      <c r="B645" s="89">
        <v>1674</v>
      </c>
      <c r="C645" s="82">
        <v>1</v>
      </c>
      <c r="D645" s="83">
        <v>32695</v>
      </c>
      <c r="E645" s="84">
        <f t="shared" si="10"/>
        <v>1989</v>
      </c>
      <c r="F645" s="82" t="s">
        <v>22</v>
      </c>
      <c r="G645" s="82">
        <v>2</v>
      </c>
      <c r="H645" s="82">
        <v>3</v>
      </c>
      <c r="I645" s="82">
        <v>19.8</v>
      </c>
      <c r="J645" s="82">
        <v>8.9</v>
      </c>
      <c r="K645" s="89" t="s">
        <v>193</v>
      </c>
    </row>
    <row r="646" spans="1:11" x14ac:dyDescent="0.2">
      <c r="A646" t="s">
        <v>21</v>
      </c>
      <c r="B646" s="89">
        <v>1674</v>
      </c>
      <c r="C646" s="82">
        <v>1</v>
      </c>
      <c r="D646" s="83">
        <v>32695</v>
      </c>
      <c r="E646" s="84">
        <f t="shared" si="10"/>
        <v>1989</v>
      </c>
      <c r="F646" s="82" t="s">
        <v>22</v>
      </c>
      <c r="G646" s="82">
        <v>2</v>
      </c>
      <c r="H646" s="82">
        <v>4</v>
      </c>
      <c r="I646" s="82">
        <v>19.2</v>
      </c>
      <c r="J646" s="82">
        <v>8.9</v>
      </c>
      <c r="K646" s="89" t="s">
        <v>193</v>
      </c>
    </row>
    <row r="647" spans="1:11" x14ac:dyDescent="0.2">
      <c r="A647" t="s">
        <v>21</v>
      </c>
      <c r="B647" s="89">
        <v>1674</v>
      </c>
      <c r="C647" s="82">
        <v>1</v>
      </c>
      <c r="D647" s="83">
        <v>32695</v>
      </c>
      <c r="E647" s="84">
        <f t="shared" si="10"/>
        <v>1989</v>
      </c>
      <c r="F647" s="82" t="s">
        <v>22</v>
      </c>
      <c r="G647" s="82">
        <v>2</v>
      </c>
      <c r="H647" s="82">
        <v>5</v>
      </c>
      <c r="I647" s="82">
        <v>18</v>
      </c>
      <c r="J647" s="82">
        <v>8.1</v>
      </c>
      <c r="K647" s="89" t="s">
        <v>193</v>
      </c>
    </row>
    <row r="648" spans="1:11" x14ac:dyDescent="0.2">
      <c r="A648" t="s">
        <v>21</v>
      </c>
      <c r="B648" s="89">
        <v>1674</v>
      </c>
      <c r="C648" s="82">
        <v>1</v>
      </c>
      <c r="D648" s="83">
        <v>32695</v>
      </c>
      <c r="E648" s="84">
        <f t="shared" si="10"/>
        <v>1989</v>
      </c>
      <c r="F648" s="82" t="s">
        <v>22</v>
      </c>
      <c r="G648" s="82">
        <v>2</v>
      </c>
      <c r="H648" s="82">
        <v>6</v>
      </c>
      <c r="I648" s="82">
        <v>17.5</v>
      </c>
      <c r="J648" s="82">
        <v>7.6</v>
      </c>
      <c r="K648" s="89" t="s">
        <v>193</v>
      </c>
    </row>
    <row r="649" spans="1:11" x14ac:dyDescent="0.2">
      <c r="A649" t="s">
        <v>21</v>
      </c>
      <c r="B649" s="89">
        <v>1674</v>
      </c>
      <c r="C649" s="82">
        <v>1</v>
      </c>
      <c r="D649" s="83">
        <v>32695</v>
      </c>
      <c r="E649" s="84">
        <f t="shared" si="10"/>
        <v>1989</v>
      </c>
      <c r="F649" s="82" t="s">
        <v>22</v>
      </c>
      <c r="G649" s="82">
        <v>2</v>
      </c>
      <c r="H649" s="82">
        <v>7</v>
      </c>
      <c r="I649" s="82">
        <v>17</v>
      </c>
      <c r="J649" s="82">
        <v>7.6</v>
      </c>
      <c r="K649" s="89" t="s">
        <v>193</v>
      </c>
    </row>
    <row r="650" spans="1:11" x14ac:dyDescent="0.2">
      <c r="A650" t="s">
        <v>21</v>
      </c>
      <c r="B650" s="89">
        <v>1674</v>
      </c>
      <c r="C650" s="82">
        <v>1</v>
      </c>
      <c r="D650" s="83">
        <v>32695</v>
      </c>
      <c r="E650" s="84">
        <f t="shared" si="10"/>
        <v>1989</v>
      </c>
      <c r="F650" s="82" t="s">
        <v>22</v>
      </c>
      <c r="G650" s="82">
        <v>2</v>
      </c>
      <c r="H650" s="82">
        <v>8</v>
      </c>
      <c r="I650" s="82">
        <v>16</v>
      </c>
      <c r="J650" s="82">
        <v>6.2</v>
      </c>
      <c r="K650" s="89" t="s">
        <v>193</v>
      </c>
    </row>
    <row r="651" spans="1:11" x14ac:dyDescent="0.2">
      <c r="A651" t="s">
        <v>21</v>
      </c>
      <c r="B651" s="89">
        <v>1674</v>
      </c>
      <c r="C651" s="82">
        <v>1</v>
      </c>
      <c r="D651" s="83">
        <v>32695</v>
      </c>
      <c r="E651" s="84">
        <f t="shared" si="10"/>
        <v>1989</v>
      </c>
      <c r="F651" s="82" t="s">
        <v>22</v>
      </c>
      <c r="G651" s="82">
        <v>2</v>
      </c>
      <c r="H651" s="82">
        <v>9</v>
      </c>
      <c r="I651" s="82">
        <v>15</v>
      </c>
      <c r="J651" s="82">
        <v>5.5</v>
      </c>
      <c r="K651" s="89" t="s">
        <v>193</v>
      </c>
    </row>
    <row r="652" spans="1:11" x14ac:dyDescent="0.2">
      <c r="A652" t="s">
        <v>21</v>
      </c>
      <c r="B652" s="89">
        <v>1674</v>
      </c>
      <c r="C652" s="82">
        <v>1</v>
      </c>
      <c r="D652" s="83">
        <v>32695</v>
      </c>
      <c r="E652" s="84">
        <f t="shared" si="10"/>
        <v>1989</v>
      </c>
      <c r="F652" s="82" t="s">
        <v>22</v>
      </c>
      <c r="G652" s="82">
        <v>2</v>
      </c>
      <c r="H652" s="82">
        <v>10.5</v>
      </c>
      <c r="I652" s="82">
        <v>15</v>
      </c>
      <c r="J652" s="82">
        <v>4.5999999999999996</v>
      </c>
      <c r="K652" s="89" t="s">
        <v>193</v>
      </c>
    </row>
    <row r="653" spans="1:11" x14ac:dyDescent="0.2">
      <c r="A653" t="s">
        <v>21</v>
      </c>
      <c r="B653" s="89">
        <v>1674</v>
      </c>
      <c r="C653" s="82">
        <v>1</v>
      </c>
      <c r="D653" s="83">
        <v>32707</v>
      </c>
      <c r="E653" s="84">
        <f t="shared" si="10"/>
        <v>1989</v>
      </c>
      <c r="F653" s="82" t="s">
        <v>22</v>
      </c>
      <c r="G653" s="82">
        <v>2</v>
      </c>
      <c r="H653" s="82">
        <v>0</v>
      </c>
      <c r="I653" s="82">
        <v>22</v>
      </c>
      <c r="J653" s="82">
        <v>10.3</v>
      </c>
      <c r="K653" s="89" t="s">
        <v>193</v>
      </c>
    </row>
    <row r="654" spans="1:11" x14ac:dyDescent="0.2">
      <c r="A654" t="s">
        <v>21</v>
      </c>
      <c r="B654" s="89">
        <v>1674</v>
      </c>
      <c r="C654" s="82">
        <v>1</v>
      </c>
      <c r="D654" s="83">
        <v>32707</v>
      </c>
      <c r="E654" s="84">
        <f t="shared" si="10"/>
        <v>1989</v>
      </c>
      <c r="F654" s="82" t="s">
        <v>22</v>
      </c>
      <c r="G654" s="82">
        <v>2</v>
      </c>
      <c r="H654" s="82">
        <v>1</v>
      </c>
      <c r="I654" s="82">
        <v>21.8</v>
      </c>
      <c r="J654" s="82">
        <v>10.199999999999999</v>
      </c>
      <c r="K654" s="89" t="s">
        <v>193</v>
      </c>
    </row>
    <row r="655" spans="1:11" x14ac:dyDescent="0.2">
      <c r="A655" t="s">
        <v>21</v>
      </c>
      <c r="B655" s="89">
        <v>1674</v>
      </c>
      <c r="C655" s="82">
        <v>1</v>
      </c>
      <c r="D655" s="83">
        <v>32707</v>
      </c>
      <c r="E655" s="84">
        <f t="shared" si="10"/>
        <v>1989</v>
      </c>
      <c r="F655" s="82" t="s">
        <v>22</v>
      </c>
      <c r="G655" s="82">
        <v>2</v>
      </c>
      <c r="H655" s="82">
        <v>2</v>
      </c>
      <c r="I655" s="82">
        <v>21.8</v>
      </c>
      <c r="J655" s="82">
        <v>10</v>
      </c>
      <c r="K655" s="89" t="s">
        <v>193</v>
      </c>
    </row>
    <row r="656" spans="1:11" x14ac:dyDescent="0.2">
      <c r="A656" t="s">
        <v>21</v>
      </c>
      <c r="B656" s="89">
        <v>1674</v>
      </c>
      <c r="C656" s="82">
        <v>1</v>
      </c>
      <c r="D656" s="83">
        <v>32707</v>
      </c>
      <c r="E656" s="84">
        <f t="shared" si="10"/>
        <v>1989</v>
      </c>
      <c r="F656" s="82" t="s">
        <v>22</v>
      </c>
      <c r="G656" s="82">
        <v>2</v>
      </c>
      <c r="H656" s="82">
        <v>3</v>
      </c>
      <c r="I656" s="82">
        <v>20.8</v>
      </c>
      <c r="J656" s="82">
        <v>9.9</v>
      </c>
      <c r="K656" s="89" t="s">
        <v>193</v>
      </c>
    </row>
    <row r="657" spans="1:11" x14ac:dyDescent="0.2">
      <c r="A657" t="s">
        <v>21</v>
      </c>
      <c r="B657" s="89">
        <v>1674</v>
      </c>
      <c r="C657" s="82">
        <v>1</v>
      </c>
      <c r="D657" s="83">
        <v>32707</v>
      </c>
      <c r="E657" s="84">
        <f t="shared" si="10"/>
        <v>1989</v>
      </c>
      <c r="F657" s="82" t="s">
        <v>22</v>
      </c>
      <c r="G657" s="82">
        <v>2</v>
      </c>
      <c r="H657" s="82">
        <v>4</v>
      </c>
      <c r="I657" s="82">
        <v>20.3</v>
      </c>
      <c r="J657" s="82">
        <v>9.5</v>
      </c>
      <c r="K657" s="89" t="s">
        <v>193</v>
      </c>
    </row>
    <row r="658" spans="1:11" x14ac:dyDescent="0.2">
      <c r="A658" t="s">
        <v>21</v>
      </c>
      <c r="B658" s="89">
        <v>1674</v>
      </c>
      <c r="C658" s="82">
        <v>1</v>
      </c>
      <c r="D658" s="83">
        <v>32707</v>
      </c>
      <c r="E658" s="84">
        <f t="shared" si="10"/>
        <v>1989</v>
      </c>
      <c r="F658" s="82" t="s">
        <v>22</v>
      </c>
      <c r="G658" s="82">
        <v>2</v>
      </c>
      <c r="H658" s="82">
        <v>5</v>
      </c>
      <c r="I658" s="82">
        <v>19.899999999999999</v>
      </c>
      <c r="J658" s="82">
        <v>8.3000000000000007</v>
      </c>
      <c r="K658" s="89" t="s">
        <v>193</v>
      </c>
    </row>
    <row r="659" spans="1:11" x14ac:dyDescent="0.2">
      <c r="A659" t="s">
        <v>21</v>
      </c>
      <c r="B659" s="89">
        <v>1674</v>
      </c>
      <c r="C659" s="82">
        <v>1</v>
      </c>
      <c r="D659" s="83">
        <v>32707</v>
      </c>
      <c r="E659" s="84">
        <f t="shared" si="10"/>
        <v>1989</v>
      </c>
      <c r="F659" s="82" t="s">
        <v>22</v>
      </c>
      <c r="G659" s="82">
        <v>2</v>
      </c>
      <c r="H659" s="82">
        <v>6</v>
      </c>
      <c r="I659" s="82">
        <v>19.600000000000001</v>
      </c>
      <c r="J659" s="82">
        <v>7.6</v>
      </c>
      <c r="K659" s="89" t="s">
        <v>193</v>
      </c>
    </row>
    <row r="660" spans="1:11" x14ac:dyDescent="0.2">
      <c r="A660" t="s">
        <v>21</v>
      </c>
      <c r="B660" s="89">
        <v>1674</v>
      </c>
      <c r="C660" s="82">
        <v>1</v>
      </c>
      <c r="D660" s="83">
        <v>32707</v>
      </c>
      <c r="E660" s="84">
        <f t="shared" si="10"/>
        <v>1989</v>
      </c>
      <c r="F660" s="82" t="s">
        <v>22</v>
      </c>
      <c r="G660" s="82">
        <v>2</v>
      </c>
      <c r="H660" s="82">
        <v>7</v>
      </c>
      <c r="I660" s="82">
        <v>19</v>
      </c>
      <c r="J660" s="82">
        <v>6.5</v>
      </c>
      <c r="K660" s="89" t="s">
        <v>193</v>
      </c>
    </row>
    <row r="661" spans="1:11" x14ac:dyDescent="0.2">
      <c r="A661" t="s">
        <v>21</v>
      </c>
      <c r="B661" s="89">
        <v>1674</v>
      </c>
      <c r="C661" s="82">
        <v>1</v>
      </c>
      <c r="D661" s="83">
        <v>32707</v>
      </c>
      <c r="E661" s="84">
        <f t="shared" si="10"/>
        <v>1989</v>
      </c>
      <c r="F661" s="82" t="s">
        <v>22</v>
      </c>
      <c r="G661" s="82">
        <v>2</v>
      </c>
      <c r="H661" s="82">
        <v>8</v>
      </c>
      <c r="I661" s="82">
        <v>18.7</v>
      </c>
      <c r="J661" s="82">
        <v>5.7</v>
      </c>
      <c r="K661" s="89" t="s">
        <v>193</v>
      </c>
    </row>
    <row r="662" spans="1:11" x14ac:dyDescent="0.2">
      <c r="A662" t="s">
        <v>21</v>
      </c>
      <c r="B662" s="89">
        <v>1674</v>
      </c>
      <c r="C662" s="82">
        <v>1</v>
      </c>
      <c r="D662" s="83">
        <v>32707</v>
      </c>
      <c r="E662" s="84">
        <f t="shared" si="10"/>
        <v>1989</v>
      </c>
      <c r="F662" s="82" t="s">
        <v>22</v>
      </c>
      <c r="G662" s="82">
        <v>2</v>
      </c>
      <c r="H662" s="82">
        <v>9</v>
      </c>
      <c r="I662" s="82">
        <v>18.600000000000001</v>
      </c>
      <c r="J662" s="82">
        <v>5.5</v>
      </c>
      <c r="K662" s="89" t="s">
        <v>193</v>
      </c>
    </row>
    <row r="663" spans="1:11" x14ac:dyDescent="0.2">
      <c r="A663" t="s">
        <v>21</v>
      </c>
      <c r="B663" s="89">
        <v>1674</v>
      </c>
      <c r="C663" s="82">
        <v>1</v>
      </c>
      <c r="D663" s="83">
        <v>32707</v>
      </c>
      <c r="E663" s="84">
        <f t="shared" si="10"/>
        <v>1989</v>
      </c>
      <c r="F663" s="82" t="s">
        <v>22</v>
      </c>
      <c r="G663" s="82">
        <v>2</v>
      </c>
      <c r="H663" s="82">
        <v>10</v>
      </c>
      <c r="I663" s="82">
        <v>18.3</v>
      </c>
      <c r="J663" s="82">
        <v>5.0999999999999996</v>
      </c>
      <c r="K663" s="89" t="s">
        <v>193</v>
      </c>
    </row>
    <row r="664" spans="1:11" x14ac:dyDescent="0.2">
      <c r="A664" t="s">
        <v>21</v>
      </c>
      <c r="B664" s="89">
        <v>1674</v>
      </c>
      <c r="C664" s="82">
        <v>1</v>
      </c>
      <c r="D664" s="83">
        <v>32707</v>
      </c>
      <c r="E664" s="84">
        <f t="shared" si="10"/>
        <v>1989</v>
      </c>
      <c r="F664" s="82" t="s">
        <v>22</v>
      </c>
      <c r="G664" s="82">
        <v>2</v>
      </c>
      <c r="H664" s="82">
        <v>11</v>
      </c>
      <c r="I664" s="82">
        <v>17.5</v>
      </c>
      <c r="J664" s="82">
        <v>3.5</v>
      </c>
      <c r="K664" s="89" t="s">
        <v>193</v>
      </c>
    </row>
    <row r="665" spans="1:11" x14ac:dyDescent="0.2">
      <c r="A665" t="s">
        <v>21</v>
      </c>
      <c r="B665" s="89">
        <v>1674</v>
      </c>
      <c r="C665" s="82">
        <v>1</v>
      </c>
      <c r="D665" s="83">
        <v>32707</v>
      </c>
      <c r="E665" s="84">
        <f t="shared" si="10"/>
        <v>1989</v>
      </c>
      <c r="F665" s="82" t="s">
        <v>22</v>
      </c>
      <c r="G665" s="82">
        <v>2</v>
      </c>
      <c r="H665" s="82">
        <v>12</v>
      </c>
      <c r="I665" s="82">
        <v>16.3</v>
      </c>
      <c r="J665" s="82">
        <v>2</v>
      </c>
      <c r="K665" s="89" t="s">
        <v>193</v>
      </c>
    </row>
    <row r="666" spans="1:11" x14ac:dyDescent="0.2">
      <c r="A666" t="s">
        <v>21</v>
      </c>
      <c r="B666" s="89">
        <v>1674</v>
      </c>
      <c r="C666" s="82">
        <v>1</v>
      </c>
      <c r="D666" s="83">
        <v>32707</v>
      </c>
      <c r="E666" s="84">
        <f t="shared" si="10"/>
        <v>1989</v>
      </c>
      <c r="F666" s="82" t="s">
        <v>22</v>
      </c>
      <c r="G666" s="82">
        <v>2</v>
      </c>
      <c r="H666" s="82">
        <v>13</v>
      </c>
      <c r="I666" s="82">
        <v>13.9</v>
      </c>
      <c r="J666" s="82">
        <v>0.5</v>
      </c>
      <c r="K666" s="89" t="s">
        <v>193</v>
      </c>
    </row>
    <row r="667" spans="1:11" x14ac:dyDescent="0.2">
      <c r="A667" t="s">
        <v>21</v>
      </c>
      <c r="B667" s="89">
        <v>1674</v>
      </c>
      <c r="C667" s="82">
        <v>1</v>
      </c>
      <c r="D667" s="83">
        <v>32720</v>
      </c>
      <c r="E667" s="84">
        <f t="shared" si="10"/>
        <v>1989</v>
      </c>
      <c r="F667" s="82" t="s">
        <v>22</v>
      </c>
      <c r="G667" s="82">
        <v>2</v>
      </c>
      <c r="H667" s="82">
        <v>0</v>
      </c>
      <c r="I667" s="82">
        <v>25.6</v>
      </c>
      <c r="J667" s="82">
        <v>7.9</v>
      </c>
      <c r="K667" s="89" t="s">
        <v>193</v>
      </c>
    </row>
    <row r="668" spans="1:11" x14ac:dyDescent="0.2">
      <c r="A668" t="s">
        <v>21</v>
      </c>
      <c r="B668" s="89">
        <v>1674</v>
      </c>
      <c r="C668" s="82">
        <v>1</v>
      </c>
      <c r="D668" s="83">
        <v>32720</v>
      </c>
      <c r="E668" s="84">
        <f t="shared" si="10"/>
        <v>1989</v>
      </c>
      <c r="F668" s="82" t="s">
        <v>22</v>
      </c>
      <c r="G668" s="82">
        <v>2</v>
      </c>
      <c r="H668" s="82">
        <v>1</v>
      </c>
      <c r="I668" s="82">
        <v>23</v>
      </c>
      <c r="J668" s="82">
        <v>8.3000000000000007</v>
      </c>
      <c r="K668" s="89" t="s">
        <v>193</v>
      </c>
    </row>
    <row r="669" spans="1:11" x14ac:dyDescent="0.2">
      <c r="A669" t="s">
        <v>21</v>
      </c>
      <c r="B669" s="89">
        <v>1674</v>
      </c>
      <c r="C669" s="82">
        <v>1</v>
      </c>
      <c r="D669" s="83">
        <v>32720</v>
      </c>
      <c r="E669" s="84">
        <f t="shared" si="10"/>
        <v>1989</v>
      </c>
      <c r="F669" s="82" t="s">
        <v>22</v>
      </c>
      <c r="G669" s="82">
        <v>2</v>
      </c>
      <c r="H669" s="82">
        <v>2</v>
      </c>
      <c r="I669" s="82">
        <v>22</v>
      </c>
      <c r="J669" s="82">
        <v>8.4</v>
      </c>
      <c r="K669" s="89" t="s">
        <v>193</v>
      </c>
    </row>
    <row r="670" spans="1:11" x14ac:dyDescent="0.2">
      <c r="A670" t="s">
        <v>21</v>
      </c>
      <c r="B670" s="89">
        <v>1674</v>
      </c>
      <c r="C670" s="82">
        <v>1</v>
      </c>
      <c r="D670" s="83">
        <v>32720</v>
      </c>
      <c r="E670" s="84">
        <f t="shared" si="10"/>
        <v>1989</v>
      </c>
      <c r="F670" s="82" t="s">
        <v>22</v>
      </c>
      <c r="G670" s="82">
        <v>2</v>
      </c>
      <c r="H670" s="82">
        <v>3</v>
      </c>
      <c r="I670" s="82">
        <v>21.6</v>
      </c>
      <c r="J670" s="82">
        <v>8.4</v>
      </c>
      <c r="K670" s="89" t="s">
        <v>193</v>
      </c>
    </row>
    <row r="671" spans="1:11" x14ac:dyDescent="0.2">
      <c r="A671" t="s">
        <v>21</v>
      </c>
      <c r="B671" s="89">
        <v>1674</v>
      </c>
      <c r="C671" s="82">
        <v>1</v>
      </c>
      <c r="D671" s="83">
        <v>32720</v>
      </c>
      <c r="E671" s="84">
        <f t="shared" si="10"/>
        <v>1989</v>
      </c>
      <c r="F671" s="82" t="s">
        <v>22</v>
      </c>
      <c r="G671" s="82">
        <v>2</v>
      </c>
      <c r="H671" s="82">
        <v>4</v>
      </c>
      <c r="I671" s="82">
        <v>21.3</v>
      </c>
      <c r="J671" s="82">
        <v>8.4</v>
      </c>
      <c r="K671" s="89" t="s">
        <v>193</v>
      </c>
    </row>
    <row r="672" spans="1:11" x14ac:dyDescent="0.2">
      <c r="A672" t="s">
        <v>21</v>
      </c>
      <c r="B672" s="89">
        <v>1674</v>
      </c>
      <c r="C672" s="82">
        <v>1</v>
      </c>
      <c r="D672" s="83">
        <v>32720</v>
      </c>
      <c r="E672" s="84">
        <f t="shared" si="10"/>
        <v>1989</v>
      </c>
      <c r="F672" s="82" t="s">
        <v>22</v>
      </c>
      <c r="G672" s="82">
        <v>2</v>
      </c>
      <c r="H672" s="82">
        <v>5</v>
      </c>
      <c r="I672" s="82">
        <v>21.2</v>
      </c>
      <c r="J672" s="82">
        <v>8.4</v>
      </c>
      <c r="K672" s="89" t="s">
        <v>193</v>
      </c>
    </row>
    <row r="673" spans="1:11" x14ac:dyDescent="0.2">
      <c r="A673" t="s">
        <v>21</v>
      </c>
      <c r="B673" s="89">
        <v>1674</v>
      </c>
      <c r="C673" s="82">
        <v>1</v>
      </c>
      <c r="D673" s="83">
        <v>32720</v>
      </c>
      <c r="E673" s="84">
        <f t="shared" si="10"/>
        <v>1989</v>
      </c>
      <c r="F673" s="82" t="s">
        <v>22</v>
      </c>
      <c r="G673" s="82">
        <v>2</v>
      </c>
      <c r="H673" s="82">
        <v>6</v>
      </c>
      <c r="I673" s="82">
        <v>21.1</v>
      </c>
      <c r="J673" s="82">
        <v>8.4</v>
      </c>
      <c r="K673" s="89" t="s">
        <v>193</v>
      </c>
    </row>
    <row r="674" spans="1:11" x14ac:dyDescent="0.2">
      <c r="A674" t="s">
        <v>21</v>
      </c>
      <c r="B674" s="89">
        <v>1674</v>
      </c>
      <c r="C674" s="82">
        <v>1</v>
      </c>
      <c r="D674" s="83">
        <v>32720</v>
      </c>
      <c r="E674" s="84">
        <f t="shared" si="10"/>
        <v>1989</v>
      </c>
      <c r="F674" s="82" t="s">
        <v>22</v>
      </c>
      <c r="G674" s="82">
        <v>2</v>
      </c>
      <c r="H674" s="82">
        <v>7</v>
      </c>
      <c r="I674" s="82">
        <v>21</v>
      </c>
      <c r="J674" s="82">
        <v>8.3000000000000007</v>
      </c>
      <c r="K674" s="89" t="s">
        <v>193</v>
      </c>
    </row>
    <row r="675" spans="1:11" x14ac:dyDescent="0.2">
      <c r="A675" t="s">
        <v>21</v>
      </c>
      <c r="B675" s="89">
        <v>1674</v>
      </c>
      <c r="C675" s="82">
        <v>1</v>
      </c>
      <c r="D675" s="83">
        <v>32720</v>
      </c>
      <c r="E675" s="84">
        <f t="shared" si="10"/>
        <v>1989</v>
      </c>
      <c r="F675" s="82" t="s">
        <v>22</v>
      </c>
      <c r="G675" s="82">
        <v>2</v>
      </c>
      <c r="H675" s="82">
        <v>8</v>
      </c>
      <c r="I675" s="82">
        <v>20.5</v>
      </c>
      <c r="J675" s="82">
        <v>7.4</v>
      </c>
      <c r="K675" s="89" t="s">
        <v>193</v>
      </c>
    </row>
    <row r="676" spans="1:11" x14ac:dyDescent="0.2">
      <c r="A676" t="s">
        <v>21</v>
      </c>
      <c r="B676" s="89">
        <v>1674</v>
      </c>
      <c r="C676" s="82">
        <v>1</v>
      </c>
      <c r="D676" s="83">
        <v>32720</v>
      </c>
      <c r="E676" s="84">
        <f t="shared" si="10"/>
        <v>1989</v>
      </c>
      <c r="F676" s="82" t="s">
        <v>22</v>
      </c>
      <c r="G676" s="82">
        <v>2</v>
      </c>
      <c r="H676" s="82">
        <v>9</v>
      </c>
      <c r="I676" s="82">
        <v>18.8</v>
      </c>
      <c r="J676" s="82">
        <v>3.1</v>
      </c>
      <c r="K676" s="89" t="s">
        <v>193</v>
      </c>
    </row>
    <row r="677" spans="1:11" x14ac:dyDescent="0.2">
      <c r="A677" t="s">
        <v>21</v>
      </c>
      <c r="B677" s="89">
        <v>1674</v>
      </c>
      <c r="C677" s="82">
        <v>1</v>
      </c>
      <c r="D677" s="83">
        <v>32720</v>
      </c>
      <c r="E677" s="84">
        <f t="shared" si="10"/>
        <v>1989</v>
      </c>
      <c r="F677" s="82" t="s">
        <v>22</v>
      </c>
      <c r="G677" s="82">
        <v>2</v>
      </c>
      <c r="H677" s="82">
        <v>10</v>
      </c>
      <c r="I677" s="82">
        <v>18.2</v>
      </c>
      <c r="J677" s="82">
        <v>2.4</v>
      </c>
      <c r="K677" s="89" t="s">
        <v>193</v>
      </c>
    </row>
    <row r="678" spans="1:11" x14ac:dyDescent="0.2">
      <c r="A678" t="s">
        <v>21</v>
      </c>
      <c r="B678" s="89">
        <v>1674</v>
      </c>
      <c r="C678" s="82">
        <v>1</v>
      </c>
      <c r="D678" s="83">
        <v>32720</v>
      </c>
      <c r="E678" s="84">
        <f t="shared" si="10"/>
        <v>1989</v>
      </c>
      <c r="F678" s="82" t="s">
        <v>22</v>
      </c>
      <c r="G678" s="82">
        <v>2</v>
      </c>
      <c r="H678" s="82">
        <v>11</v>
      </c>
      <c r="I678" s="82">
        <v>15.2</v>
      </c>
      <c r="J678" s="82">
        <v>0.4</v>
      </c>
      <c r="K678" s="89" t="s">
        <v>193</v>
      </c>
    </row>
    <row r="679" spans="1:11" x14ac:dyDescent="0.2">
      <c r="A679" t="s">
        <v>21</v>
      </c>
      <c r="B679" s="89">
        <v>1674</v>
      </c>
      <c r="C679" s="82">
        <v>1</v>
      </c>
      <c r="D679" s="83">
        <v>32720</v>
      </c>
      <c r="E679" s="84">
        <f t="shared" si="10"/>
        <v>1989</v>
      </c>
      <c r="F679" s="82" t="s">
        <v>22</v>
      </c>
      <c r="G679" s="82">
        <v>2</v>
      </c>
      <c r="H679" s="82">
        <v>12</v>
      </c>
      <c r="I679" s="82">
        <v>15.2</v>
      </c>
      <c r="J679" s="82">
        <v>0.2</v>
      </c>
      <c r="K679" s="89" t="s">
        <v>193</v>
      </c>
    </row>
    <row r="680" spans="1:11" x14ac:dyDescent="0.2">
      <c r="A680" t="s">
        <v>21</v>
      </c>
      <c r="B680" s="89">
        <v>1674</v>
      </c>
      <c r="C680" s="82">
        <v>1</v>
      </c>
      <c r="D680" s="83">
        <v>32720</v>
      </c>
      <c r="E680" s="84">
        <f t="shared" si="10"/>
        <v>1989</v>
      </c>
      <c r="F680" s="82" t="s">
        <v>22</v>
      </c>
      <c r="G680" s="82">
        <v>2</v>
      </c>
      <c r="H680" s="82">
        <v>13</v>
      </c>
      <c r="I680" s="82">
        <v>13.6</v>
      </c>
      <c r="J680" s="82">
        <v>0.1</v>
      </c>
      <c r="K680" s="89" t="s">
        <v>193</v>
      </c>
    </row>
    <row r="681" spans="1:11" x14ac:dyDescent="0.2">
      <c r="A681" t="s">
        <v>21</v>
      </c>
      <c r="B681" s="89">
        <v>1674</v>
      </c>
      <c r="C681" s="82">
        <v>1</v>
      </c>
      <c r="D681" s="83">
        <v>32751</v>
      </c>
      <c r="E681" s="84">
        <f t="shared" si="10"/>
        <v>1989</v>
      </c>
      <c r="F681" s="82" t="s">
        <v>22</v>
      </c>
      <c r="G681" s="82">
        <v>2</v>
      </c>
      <c r="H681" s="82">
        <v>0</v>
      </c>
      <c r="I681" s="82">
        <v>16</v>
      </c>
      <c r="J681" s="82">
        <v>8.6</v>
      </c>
      <c r="K681" s="89" t="s">
        <v>193</v>
      </c>
    </row>
    <row r="682" spans="1:11" x14ac:dyDescent="0.2">
      <c r="A682" t="s">
        <v>21</v>
      </c>
      <c r="B682" s="89">
        <v>1674</v>
      </c>
      <c r="C682" s="82">
        <v>1</v>
      </c>
      <c r="D682" s="83">
        <v>32751</v>
      </c>
      <c r="E682" s="84">
        <f t="shared" si="10"/>
        <v>1989</v>
      </c>
      <c r="F682" s="82" t="s">
        <v>22</v>
      </c>
      <c r="G682" s="82">
        <v>2</v>
      </c>
      <c r="H682" s="82">
        <v>1</v>
      </c>
      <c r="I682" s="82">
        <v>16.5</v>
      </c>
      <c r="J682" s="82">
        <v>8.5</v>
      </c>
      <c r="K682" s="89" t="s">
        <v>193</v>
      </c>
    </row>
    <row r="683" spans="1:11" x14ac:dyDescent="0.2">
      <c r="A683" t="s">
        <v>21</v>
      </c>
      <c r="B683" s="89">
        <v>1674</v>
      </c>
      <c r="C683" s="82">
        <v>1</v>
      </c>
      <c r="D683" s="83">
        <v>32751</v>
      </c>
      <c r="E683" s="84">
        <f t="shared" si="10"/>
        <v>1989</v>
      </c>
      <c r="F683" s="82" t="s">
        <v>22</v>
      </c>
      <c r="G683" s="82">
        <v>2</v>
      </c>
      <c r="H683" s="82">
        <v>2</v>
      </c>
      <c r="I683" s="82">
        <v>16</v>
      </c>
      <c r="J683" s="82">
        <v>8.5</v>
      </c>
      <c r="K683" s="89" t="s">
        <v>193</v>
      </c>
    </row>
    <row r="684" spans="1:11" x14ac:dyDescent="0.2">
      <c r="A684" t="s">
        <v>21</v>
      </c>
      <c r="B684" s="89">
        <v>1674</v>
      </c>
      <c r="C684" s="82">
        <v>1</v>
      </c>
      <c r="D684" s="83">
        <v>32751</v>
      </c>
      <c r="E684" s="84">
        <f t="shared" si="10"/>
        <v>1989</v>
      </c>
      <c r="F684" s="82" t="s">
        <v>22</v>
      </c>
      <c r="G684" s="82">
        <v>2</v>
      </c>
      <c r="H684" s="82">
        <v>3</v>
      </c>
      <c r="I684" s="82">
        <v>16.2</v>
      </c>
      <c r="J684" s="82">
        <v>8.4</v>
      </c>
      <c r="K684" s="89" t="s">
        <v>193</v>
      </c>
    </row>
    <row r="685" spans="1:11" x14ac:dyDescent="0.2">
      <c r="A685" t="s">
        <v>21</v>
      </c>
      <c r="B685" s="89">
        <v>1674</v>
      </c>
      <c r="C685" s="82">
        <v>1</v>
      </c>
      <c r="D685" s="83">
        <v>32751</v>
      </c>
      <c r="E685" s="84">
        <f t="shared" si="10"/>
        <v>1989</v>
      </c>
      <c r="F685" s="82" t="s">
        <v>22</v>
      </c>
      <c r="G685" s="82">
        <v>2</v>
      </c>
      <c r="H685" s="82">
        <v>4</v>
      </c>
      <c r="I685" s="82">
        <v>16.3</v>
      </c>
      <c r="J685" s="82">
        <v>8.5</v>
      </c>
      <c r="K685" s="89" t="s">
        <v>193</v>
      </c>
    </row>
    <row r="686" spans="1:11" x14ac:dyDescent="0.2">
      <c r="A686" t="s">
        <v>21</v>
      </c>
      <c r="B686" s="89">
        <v>1674</v>
      </c>
      <c r="C686" s="82">
        <v>1</v>
      </c>
      <c r="D686" s="83">
        <v>32751</v>
      </c>
      <c r="E686" s="84">
        <f t="shared" si="10"/>
        <v>1989</v>
      </c>
      <c r="F686" s="82" t="s">
        <v>22</v>
      </c>
      <c r="G686" s="82">
        <v>2</v>
      </c>
      <c r="H686" s="82">
        <v>5</v>
      </c>
      <c r="I686" s="82">
        <v>16</v>
      </c>
      <c r="J686" s="82">
        <v>8.4</v>
      </c>
      <c r="K686" s="89" t="s">
        <v>193</v>
      </c>
    </row>
    <row r="687" spans="1:11" x14ac:dyDescent="0.2">
      <c r="A687" t="s">
        <v>21</v>
      </c>
      <c r="B687" s="89">
        <v>1674</v>
      </c>
      <c r="C687" s="82">
        <v>1</v>
      </c>
      <c r="D687" s="83">
        <v>32751</v>
      </c>
      <c r="E687" s="84">
        <f t="shared" si="10"/>
        <v>1989</v>
      </c>
      <c r="F687" s="82" t="s">
        <v>22</v>
      </c>
      <c r="G687" s="82">
        <v>2</v>
      </c>
      <c r="H687" s="82">
        <v>6</v>
      </c>
      <c r="I687" s="82">
        <v>16</v>
      </c>
      <c r="J687" s="82">
        <v>8.4</v>
      </c>
      <c r="K687" s="89" t="s">
        <v>193</v>
      </c>
    </row>
    <row r="688" spans="1:11" x14ac:dyDescent="0.2">
      <c r="A688" t="s">
        <v>21</v>
      </c>
      <c r="B688" s="89">
        <v>1674</v>
      </c>
      <c r="C688" s="82">
        <v>1</v>
      </c>
      <c r="D688" s="83">
        <v>32751</v>
      </c>
      <c r="E688" s="84">
        <f t="shared" si="10"/>
        <v>1989</v>
      </c>
      <c r="F688" s="82" t="s">
        <v>22</v>
      </c>
      <c r="G688" s="82">
        <v>2</v>
      </c>
      <c r="H688" s="82">
        <v>7</v>
      </c>
      <c r="I688" s="82">
        <v>16</v>
      </c>
      <c r="J688" s="82">
        <v>8.4</v>
      </c>
      <c r="K688" s="89" t="s">
        <v>193</v>
      </c>
    </row>
    <row r="689" spans="1:11" x14ac:dyDescent="0.2">
      <c r="A689" t="s">
        <v>21</v>
      </c>
      <c r="B689" s="89">
        <v>1674</v>
      </c>
      <c r="C689" s="82">
        <v>1</v>
      </c>
      <c r="D689" s="83">
        <v>32751</v>
      </c>
      <c r="E689" s="84">
        <f t="shared" si="10"/>
        <v>1989</v>
      </c>
      <c r="F689" s="82" t="s">
        <v>22</v>
      </c>
      <c r="G689" s="82">
        <v>2</v>
      </c>
      <c r="H689" s="82">
        <v>8</v>
      </c>
      <c r="I689" s="82">
        <v>16</v>
      </c>
      <c r="J689" s="82">
        <v>8.4</v>
      </c>
      <c r="K689" s="89" t="s">
        <v>193</v>
      </c>
    </row>
    <row r="690" spans="1:11" x14ac:dyDescent="0.2">
      <c r="A690" t="s">
        <v>21</v>
      </c>
      <c r="B690" s="89">
        <v>1674</v>
      </c>
      <c r="C690" s="82">
        <v>1</v>
      </c>
      <c r="D690" s="83">
        <v>32751</v>
      </c>
      <c r="E690" s="84">
        <f t="shared" si="10"/>
        <v>1989</v>
      </c>
      <c r="F690" s="82" t="s">
        <v>22</v>
      </c>
      <c r="G690" s="82">
        <v>2</v>
      </c>
      <c r="H690" s="82">
        <v>9</v>
      </c>
      <c r="I690" s="82">
        <v>16</v>
      </c>
      <c r="J690" s="82">
        <v>8.3000000000000007</v>
      </c>
      <c r="K690" s="89" t="s">
        <v>193</v>
      </c>
    </row>
    <row r="691" spans="1:11" x14ac:dyDescent="0.2">
      <c r="A691" t="s">
        <v>21</v>
      </c>
      <c r="B691" s="89">
        <v>1674</v>
      </c>
      <c r="C691" s="82">
        <v>1</v>
      </c>
      <c r="D691" s="83">
        <v>32751</v>
      </c>
      <c r="E691" s="84">
        <f t="shared" si="10"/>
        <v>1989</v>
      </c>
      <c r="F691" s="82" t="s">
        <v>22</v>
      </c>
      <c r="G691" s="82">
        <v>2</v>
      </c>
      <c r="H691" s="82">
        <v>10</v>
      </c>
      <c r="I691" s="82">
        <v>16</v>
      </c>
      <c r="J691" s="82">
        <v>8.1999999999999993</v>
      </c>
      <c r="K691" s="89" t="s">
        <v>193</v>
      </c>
    </row>
    <row r="692" spans="1:11" x14ac:dyDescent="0.2">
      <c r="A692" t="s">
        <v>21</v>
      </c>
      <c r="B692" s="89">
        <v>1674</v>
      </c>
      <c r="C692" s="82">
        <v>1</v>
      </c>
      <c r="D692" s="83">
        <v>32751</v>
      </c>
      <c r="E692" s="84">
        <f t="shared" si="10"/>
        <v>1989</v>
      </c>
      <c r="F692" s="82" t="s">
        <v>22</v>
      </c>
      <c r="G692" s="82">
        <v>2</v>
      </c>
      <c r="H692" s="82">
        <v>11</v>
      </c>
      <c r="I692" s="82">
        <v>16</v>
      </c>
      <c r="J692" s="82">
        <v>8</v>
      </c>
      <c r="K692" s="89" t="s">
        <v>193</v>
      </c>
    </row>
    <row r="693" spans="1:11" x14ac:dyDescent="0.2">
      <c r="A693" t="s">
        <v>21</v>
      </c>
      <c r="B693" s="89">
        <v>1674</v>
      </c>
      <c r="C693" s="82">
        <v>1</v>
      </c>
      <c r="D693" s="83">
        <v>32751</v>
      </c>
      <c r="E693" s="84">
        <f t="shared" si="10"/>
        <v>1989</v>
      </c>
      <c r="F693" s="82" t="s">
        <v>22</v>
      </c>
      <c r="G693" s="82">
        <v>2</v>
      </c>
      <c r="H693" s="82">
        <v>12</v>
      </c>
      <c r="I693" s="82">
        <v>16</v>
      </c>
      <c r="J693" s="82">
        <v>7.8</v>
      </c>
      <c r="K693" s="89" t="s">
        <v>193</v>
      </c>
    </row>
    <row r="694" spans="1:11" x14ac:dyDescent="0.2">
      <c r="A694" t="s">
        <v>21</v>
      </c>
      <c r="B694" s="89">
        <v>1674</v>
      </c>
      <c r="C694" s="82">
        <v>1</v>
      </c>
      <c r="D694" s="83">
        <v>32751</v>
      </c>
      <c r="E694" s="84">
        <f t="shared" si="10"/>
        <v>1989</v>
      </c>
      <c r="F694" s="82" t="s">
        <v>22</v>
      </c>
      <c r="G694" s="82">
        <v>2</v>
      </c>
      <c r="H694" s="82">
        <v>13</v>
      </c>
      <c r="I694" s="82">
        <v>15.9</v>
      </c>
      <c r="J694" s="82">
        <v>4.3</v>
      </c>
      <c r="K694" s="89" t="s">
        <v>193</v>
      </c>
    </row>
    <row r="695" spans="1:11" x14ac:dyDescent="0.2">
      <c r="A695" t="s">
        <v>21</v>
      </c>
      <c r="B695" s="89">
        <v>1674</v>
      </c>
      <c r="C695" s="82">
        <v>1</v>
      </c>
      <c r="D695" s="83">
        <v>32768</v>
      </c>
      <c r="E695" s="84">
        <f t="shared" si="10"/>
        <v>1989</v>
      </c>
      <c r="F695" s="82" t="s">
        <v>22</v>
      </c>
      <c r="G695" s="82">
        <v>2</v>
      </c>
      <c r="H695" s="82">
        <v>0</v>
      </c>
      <c r="I695" s="82">
        <v>17.5</v>
      </c>
      <c r="J695" s="82">
        <v>8.5</v>
      </c>
      <c r="K695" s="89" t="s">
        <v>193</v>
      </c>
    </row>
    <row r="696" spans="1:11" x14ac:dyDescent="0.2">
      <c r="A696" t="s">
        <v>21</v>
      </c>
      <c r="B696" s="89">
        <v>1674</v>
      </c>
      <c r="C696" s="82">
        <v>1</v>
      </c>
      <c r="D696" s="83">
        <v>32768</v>
      </c>
      <c r="E696" s="84">
        <f t="shared" si="10"/>
        <v>1989</v>
      </c>
      <c r="F696" s="82" t="s">
        <v>22</v>
      </c>
      <c r="G696" s="82">
        <v>2</v>
      </c>
      <c r="H696" s="82">
        <v>1</v>
      </c>
      <c r="I696" s="82">
        <v>17.2</v>
      </c>
      <c r="J696" s="82">
        <v>8.3000000000000007</v>
      </c>
      <c r="K696" s="89" t="s">
        <v>193</v>
      </c>
    </row>
    <row r="697" spans="1:11" x14ac:dyDescent="0.2">
      <c r="A697" t="s">
        <v>21</v>
      </c>
      <c r="B697" s="89">
        <v>1674</v>
      </c>
      <c r="C697" s="82">
        <v>1</v>
      </c>
      <c r="D697" s="83">
        <v>32768</v>
      </c>
      <c r="E697" s="84">
        <f t="shared" si="10"/>
        <v>1989</v>
      </c>
      <c r="F697" s="82" t="s">
        <v>22</v>
      </c>
      <c r="G697" s="82">
        <v>2</v>
      </c>
      <c r="H697" s="82">
        <v>2</v>
      </c>
      <c r="I697" s="82">
        <v>17</v>
      </c>
      <c r="J697" s="82">
        <v>8.3000000000000007</v>
      </c>
      <c r="K697" s="89" t="s">
        <v>193</v>
      </c>
    </row>
    <row r="698" spans="1:11" x14ac:dyDescent="0.2">
      <c r="A698" t="s">
        <v>21</v>
      </c>
      <c r="B698" s="89">
        <v>1674</v>
      </c>
      <c r="C698" s="82">
        <v>1</v>
      </c>
      <c r="D698" s="83">
        <v>32768</v>
      </c>
      <c r="E698" s="84">
        <f t="shared" si="10"/>
        <v>1989</v>
      </c>
      <c r="F698" s="82" t="s">
        <v>22</v>
      </c>
      <c r="G698" s="82">
        <v>2</v>
      </c>
      <c r="H698" s="82">
        <v>3</v>
      </c>
      <c r="I698" s="82">
        <v>17</v>
      </c>
      <c r="J698" s="82">
        <v>8.1999999999999993</v>
      </c>
      <c r="K698" s="89" t="s">
        <v>193</v>
      </c>
    </row>
    <row r="699" spans="1:11" x14ac:dyDescent="0.2">
      <c r="A699" t="s">
        <v>21</v>
      </c>
      <c r="B699" s="89">
        <v>1674</v>
      </c>
      <c r="C699" s="82">
        <v>1</v>
      </c>
      <c r="D699" s="83">
        <v>32768</v>
      </c>
      <c r="E699" s="84">
        <f t="shared" si="10"/>
        <v>1989</v>
      </c>
      <c r="F699" s="82" t="s">
        <v>22</v>
      </c>
      <c r="G699" s="82">
        <v>2</v>
      </c>
      <c r="H699" s="82">
        <v>4</v>
      </c>
      <c r="I699" s="82">
        <v>17</v>
      </c>
      <c r="J699" s="82">
        <v>8.1</v>
      </c>
      <c r="K699" s="89" t="s">
        <v>193</v>
      </c>
    </row>
    <row r="700" spans="1:11" x14ac:dyDescent="0.2">
      <c r="A700" t="s">
        <v>21</v>
      </c>
      <c r="B700" s="89">
        <v>1674</v>
      </c>
      <c r="C700" s="82">
        <v>1</v>
      </c>
      <c r="D700" s="83">
        <v>32768</v>
      </c>
      <c r="E700" s="84">
        <f t="shared" si="10"/>
        <v>1989</v>
      </c>
      <c r="F700" s="82" t="s">
        <v>22</v>
      </c>
      <c r="G700" s="82">
        <v>2</v>
      </c>
      <c r="H700" s="82">
        <v>5</v>
      </c>
      <c r="I700" s="82">
        <v>16.899999999999999</v>
      </c>
      <c r="J700" s="82">
        <v>8</v>
      </c>
      <c r="K700" s="89" t="s">
        <v>193</v>
      </c>
    </row>
    <row r="701" spans="1:11" x14ac:dyDescent="0.2">
      <c r="A701" t="s">
        <v>21</v>
      </c>
      <c r="B701" s="89">
        <v>1674</v>
      </c>
      <c r="C701" s="82">
        <v>1</v>
      </c>
      <c r="D701" s="83">
        <v>32768</v>
      </c>
      <c r="E701" s="84">
        <f t="shared" si="10"/>
        <v>1989</v>
      </c>
      <c r="F701" s="82" t="s">
        <v>22</v>
      </c>
      <c r="G701" s="82">
        <v>2</v>
      </c>
      <c r="H701" s="82">
        <v>6</v>
      </c>
      <c r="I701" s="82">
        <v>16.8</v>
      </c>
      <c r="J701" s="82">
        <v>7.7</v>
      </c>
      <c r="K701" s="89" t="s">
        <v>193</v>
      </c>
    </row>
    <row r="702" spans="1:11" x14ac:dyDescent="0.2">
      <c r="A702" t="s">
        <v>21</v>
      </c>
      <c r="B702" s="89">
        <v>1674</v>
      </c>
      <c r="C702" s="82">
        <v>1</v>
      </c>
      <c r="D702" s="83">
        <v>32768</v>
      </c>
      <c r="E702" s="84">
        <f t="shared" si="10"/>
        <v>1989</v>
      </c>
      <c r="F702" s="82" t="s">
        <v>22</v>
      </c>
      <c r="G702" s="82">
        <v>2</v>
      </c>
      <c r="H702" s="82">
        <v>7</v>
      </c>
      <c r="I702" s="82">
        <v>16.5</v>
      </c>
      <c r="J702" s="82">
        <v>7.7</v>
      </c>
      <c r="K702" s="89" t="s">
        <v>193</v>
      </c>
    </row>
    <row r="703" spans="1:11" x14ac:dyDescent="0.2">
      <c r="A703" t="s">
        <v>21</v>
      </c>
      <c r="B703" s="89">
        <v>1674</v>
      </c>
      <c r="C703" s="82">
        <v>1</v>
      </c>
      <c r="D703" s="83">
        <v>32768</v>
      </c>
      <c r="E703" s="84">
        <f t="shared" si="10"/>
        <v>1989</v>
      </c>
      <c r="F703" s="82" t="s">
        <v>22</v>
      </c>
      <c r="G703" s="82">
        <v>2</v>
      </c>
      <c r="H703" s="82">
        <v>8</v>
      </c>
      <c r="I703" s="82">
        <v>16.100000000000001</v>
      </c>
      <c r="J703" s="82">
        <v>6</v>
      </c>
      <c r="K703" s="89" t="s">
        <v>193</v>
      </c>
    </row>
    <row r="704" spans="1:11" x14ac:dyDescent="0.2">
      <c r="A704" t="s">
        <v>21</v>
      </c>
      <c r="B704" s="89">
        <v>1674</v>
      </c>
      <c r="C704" s="82">
        <v>1</v>
      </c>
      <c r="D704" s="83">
        <v>32768</v>
      </c>
      <c r="E704" s="84">
        <f t="shared" si="10"/>
        <v>1989</v>
      </c>
      <c r="F704" s="82" t="s">
        <v>22</v>
      </c>
      <c r="G704" s="82">
        <v>2</v>
      </c>
      <c r="H704" s="82">
        <v>9</v>
      </c>
      <c r="I704" s="82">
        <v>16.100000000000001</v>
      </c>
      <c r="J704" s="82">
        <v>7.7</v>
      </c>
      <c r="K704" s="89" t="s">
        <v>193</v>
      </c>
    </row>
    <row r="705" spans="1:11" x14ac:dyDescent="0.2">
      <c r="A705" t="s">
        <v>21</v>
      </c>
      <c r="B705" s="89">
        <v>1674</v>
      </c>
      <c r="C705" s="82">
        <v>1</v>
      </c>
      <c r="D705" s="83">
        <v>32768</v>
      </c>
      <c r="E705" s="84">
        <f t="shared" si="10"/>
        <v>1989</v>
      </c>
      <c r="F705" s="82" t="s">
        <v>22</v>
      </c>
      <c r="G705" s="82">
        <v>2</v>
      </c>
      <c r="H705" s="82">
        <v>10</v>
      </c>
      <c r="I705" s="82">
        <v>16</v>
      </c>
      <c r="J705" s="82">
        <v>5.3</v>
      </c>
      <c r="K705" s="89" t="s">
        <v>193</v>
      </c>
    </row>
    <row r="706" spans="1:11" x14ac:dyDescent="0.2">
      <c r="A706" t="s">
        <v>21</v>
      </c>
      <c r="B706" s="89">
        <v>1674</v>
      </c>
      <c r="C706" s="82">
        <v>1</v>
      </c>
      <c r="D706" s="83">
        <v>32768</v>
      </c>
      <c r="E706" s="84">
        <f t="shared" ref="E706:E769" si="11">YEAR(D706)</f>
        <v>1989</v>
      </c>
      <c r="F706" s="82" t="s">
        <v>22</v>
      </c>
      <c r="G706" s="82">
        <v>2</v>
      </c>
      <c r="H706" s="82">
        <v>11</v>
      </c>
      <c r="I706" s="82">
        <v>16</v>
      </c>
      <c r="J706" s="82">
        <v>4.7</v>
      </c>
      <c r="K706" s="89" t="s">
        <v>193</v>
      </c>
    </row>
    <row r="707" spans="1:11" x14ac:dyDescent="0.2">
      <c r="A707" t="s">
        <v>21</v>
      </c>
      <c r="B707" s="89">
        <v>1674</v>
      </c>
      <c r="C707" s="82">
        <v>1</v>
      </c>
      <c r="D707" s="83">
        <v>32768</v>
      </c>
      <c r="E707" s="84">
        <f t="shared" si="11"/>
        <v>1989</v>
      </c>
      <c r="F707" s="82" t="s">
        <v>22</v>
      </c>
      <c r="G707" s="82">
        <v>2</v>
      </c>
      <c r="H707" s="82">
        <v>12</v>
      </c>
      <c r="I707" s="82">
        <v>16</v>
      </c>
      <c r="J707" s="82">
        <v>4.5</v>
      </c>
      <c r="K707" s="89" t="s">
        <v>193</v>
      </c>
    </row>
    <row r="708" spans="1:11" x14ac:dyDescent="0.2">
      <c r="A708" t="s">
        <v>21</v>
      </c>
      <c r="B708" s="89">
        <v>1674</v>
      </c>
      <c r="C708" s="82">
        <v>1</v>
      </c>
      <c r="D708" s="83">
        <v>33021</v>
      </c>
      <c r="E708" s="84">
        <f t="shared" si="11"/>
        <v>1990</v>
      </c>
      <c r="F708" s="82" t="s">
        <v>22</v>
      </c>
      <c r="G708" s="82">
        <v>2</v>
      </c>
      <c r="H708" s="82">
        <v>0</v>
      </c>
      <c r="I708" s="82">
        <v>14</v>
      </c>
      <c r="J708" s="82">
        <v>12.2</v>
      </c>
    </row>
    <row r="709" spans="1:11" x14ac:dyDescent="0.2">
      <c r="A709" t="s">
        <v>21</v>
      </c>
      <c r="B709" s="89">
        <v>1674</v>
      </c>
      <c r="C709" s="82">
        <v>1</v>
      </c>
      <c r="D709" s="83">
        <v>33021</v>
      </c>
      <c r="E709" s="84">
        <f t="shared" si="11"/>
        <v>1990</v>
      </c>
      <c r="F709" s="82" t="s">
        <v>22</v>
      </c>
      <c r="G709" s="82">
        <v>2</v>
      </c>
      <c r="H709" s="82">
        <v>1</v>
      </c>
      <c r="I709" s="82">
        <v>13.9</v>
      </c>
      <c r="J709" s="82">
        <v>12.2</v>
      </c>
    </row>
    <row r="710" spans="1:11" x14ac:dyDescent="0.2">
      <c r="A710" t="s">
        <v>21</v>
      </c>
      <c r="B710" s="89">
        <v>1674</v>
      </c>
      <c r="C710" s="82">
        <v>1</v>
      </c>
      <c r="D710" s="83">
        <v>33021</v>
      </c>
      <c r="E710" s="84">
        <f t="shared" si="11"/>
        <v>1990</v>
      </c>
      <c r="F710" s="82" t="s">
        <v>22</v>
      </c>
      <c r="G710" s="82">
        <v>2</v>
      </c>
      <c r="H710" s="82">
        <v>2</v>
      </c>
      <c r="I710" s="82">
        <v>13.9</v>
      </c>
      <c r="J710" s="82">
        <v>12.2</v>
      </c>
    </row>
    <row r="711" spans="1:11" x14ac:dyDescent="0.2">
      <c r="A711" t="s">
        <v>21</v>
      </c>
      <c r="B711" s="89">
        <v>1674</v>
      </c>
      <c r="C711" s="82">
        <v>1</v>
      </c>
      <c r="D711" s="83">
        <v>33021</v>
      </c>
      <c r="E711" s="84">
        <f t="shared" si="11"/>
        <v>1990</v>
      </c>
      <c r="F711" s="82" t="s">
        <v>22</v>
      </c>
      <c r="G711" s="82">
        <v>2</v>
      </c>
      <c r="H711" s="82">
        <v>3</v>
      </c>
      <c r="I711" s="82">
        <v>13.7</v>
      </c>
      <c r="J711" s="82">
        <v>12.2</v>
      </c>
    </row>
    <row r="712" spans="1:11" x14ac:dyDescent="0.2">
      <c r="A712" t="s">
        <v>21</v>
      </c>
      <c r="B712" s="89">
        <v>1674</v>
      </c>
      <c r="C712" s="82">
        <v>1</v>
      </c>
      <c r="D712" s="83">
        <v>33021</v>
      </c>
      <c r="E712" s="84">
        <f t="shared" si="11"/>
        <v>1990</v>
      </c>
      <c r="F712" s="82" t="s">
        <v>22</v>
      </c>
      <c r="G712" s="82">
        <v>2</v>
      </c>
      <c r="H712" s="82">
        <v>4</v>
      </c>
      <c r="I712" s="82">
        <v>11.1</v>
      </c>
      <c r="J712" s="82">
        <v>12.2</v>
      </c>
    </row>
    <row r="713" spans="1:11" x14ac:dyDescent="0.2">
      <c r="A713" t="s">
        <v>21</v>
      </c>
      <c r="B713" s="89">
        <v>1674</v>
      </c>
      <c r="C713" s="82">
        <v>1</v>
      </c>
      <c r="D713" s="83">
        <v>33021</v>
      </c>
      <c r="E713" s="84">
        <f t="shared" si="11"/>
        <v>1990</v>
      </c>
      <c r="F713" s="82" t="s">
        <v>22</v>
      </c>
      <c r="G713" s="82">
        <v>2</v>
      </c>
      <c r="H713" s="82">
        <v>5</v>
      </c>
      <c r="I713" s="82">
        <v>10.7</v>
      </c>
      <c r="J713" s="82">
        <v>11.9</v>
      </c>
    </row>
    <row r="714" spans="1:11" x14ac:dyDescent="0.2">
      <c r="A714" t="s">
        <v>21</v>
      </c>
      <c r="B714" s="89">
        <v>1674</v>
      </c>
      <c r="C714" s="82">
        <v>1</v>
      </c>
      <c r="D714" s="83">
        <v>33021</v>
      </c>
      <c r="E714" s="84">
        <f t="shared" si="11"/>
        <v>1990</v>
      </c>
      <c r="F714" s="82" t="s">
        <v>22</v>
      </c>
      <c r="G714" s="82">
        <v>2</v>
      </c>
      <c r="H714" s="82">
        <v>6</v>
      </c>
      <c r="I714" s="82">
        <v>10.199999999999999</v>
      </c>
      <c r="J714" s="82">
        <v>11.6</v>
      </c>
    </row>
    <row r="715" spans="1:11" x14ac:dyDescent="0.2">
      <c r="A715" t="s">
        <v>21</v>
      </c>
      <c r="B715" s="89">
        <v>1674</v>
      </c>
      <c r="C715" s="82">
        <v>1</v>
      </c>
      <c r="D715" s="83">
        <v>33021</v>
      </c>
      <c r="E715" s="84">
        <f t="shared" si="11"/>
        <v>1990</v>
      </c>
      <c r="F715" s="82" t="s">
        <v>22</v>
      </c>
      <c r="G715" s="82">
        <v>2</v>
      </c>
      <c r="H715" s="82">
        <v>7</v>
      </c>
      <c r="I715" s="82">
        <v>9.9</v>
      </c>
      <c r="J715" s="82">
        <v>11.3</v>
      </c>
    </row>
    <row r="716" spans="1:11" x14ac:dyDescent="0.2">
      <c r="A716" t="s">
        <v>21</v>
      </c>
      <c r="B716" s="89">
        <v>1674</v>
      </c>
      <c r="C716" s="82">
        <v>1</v>
      </c>
      <c r="D716" s="83">
        <v>33021</v>
      </c>
      <c r="E716" s="84">
        <f t="shared" si="11"/>
        <v>1990</v>
      </c>
      <c r="F716" s="82" t="s">
        <v>22</v>
      </c>
      <c r="G716" s="82">
        <v>2</v>
      </c>
      <c r="H716" s="82">
        <v>8</v>
      </c>
      <c r="I716" s="82">
        <v>9.8000000000000007</v>
      </c>
      <c r="J716" s="82">
        <v>10.9</v>
      </c>
    </row>
    <row r="717" spans="1:11" x14ac:dyDescent="0.2">
      <c r="A717" t="s">
        <v>21</v>
      </c>
      <c r="B717" s="89">
        <v>1674</v>
      </c>
      <c r="C717" s="82">
        <v>1</v>
      </c>
      <c r="D717" s="83">
        <v>33021</v>
      </c>
      <c r="E717" s="84">
        <f t="shared" si="11"/>
        <v>1990</v>
      </c>
      <c r="F717" s="82" t="s">
        <v>22</v>
      </c>
      <c r="G717" s="82">
        <v>2</v>
      </c>
      <c r="H717" s="82">
        <v>9</v>
      </c>
      <c r="I717" s="82">
        <v>9.6</v>
      </c>
      <c r="J717" s="82">
        <v>10.7</v>
      </c>
    </row>
    <row r="718" spans="1:11" x14ac:dyDescent="0.2">
      <c r="A718" t="s">
        <v>21</v>
      </c>
      <c r="B718" s="89">
        <v>1674</v>
      </c>
      <c r="C718" s="82">
        <v>1</v>
      </c>
      <c r="D718" s="83">
        <v>33021</v>
      </c>
      <c r="E718" s="84">
        <f t="shared" si="11"/>
        <v>1990</v>
      </c>
      <c r="F718" s="82" t="s">
        <v>22</v>
      </c>
      <c r="G718" s="82">
        <v>2</v>
      </c>
      <c r="H718" s="82">
        <v>10</v>
      </c>
      <c r="I718" s="82">
        <v>9.5</v>
      </c>
      <c r="J718" s="82">
        <v>10.7</v>
      </c>
    </row>
    <row r="719" spans="1:11" x14ac:dyDescent="0.2">
      <c r="A719" t="s">
        <v>21</v>
      </c>
      <c r="B719" s="89">
        <v>1674</v>
      </c>
      <c r="C719" s="82">
        <v>1</v>
      </c>
      <c r="D719" s="83">
        <v>33021</v>
      </c>
      <c r="E719" s="84">
        <f t="shared" si="11"/>
        <v>1990</v>
      </c>
      <c r="F719" s="82" t="s">
        <v>22</v>
      </c>
      <c r="G719" s="82">
        <v>2</v>
      </c>
      <c r="H719" s="82">
        <v>13</v>
      </c>
      <c r="I719" s="82">
        <v>9.3000000000000007</v>
      </c>
      <c r="J719" s="82">
        <v>10.4</v>
      </c>
    </row>
    <row r="720" spans="1:11" x14ac:dyDescent="0.2">
      <c r="A720" t="s">
        <v>21</v>
      </c>
      <c r="B720" s="89">
        <v>1674</v>
      </c>
      <c r="C720" s="82">
        <v>1</v>
      </c>
      <c r="D720" s="83">
        <v>33051</v>
      </c>
      <c r="E720" s="84">
        <f t="shared" si="11"/>
        <v>1990</v>
      </c>
      <c r="F720" s="82" t="s">
        <v>22</v>
      </c>
      <c r="G720" s="82">
        <v>2</v>
      </c>
      <c r="H720" s="82">
        <v>0</v>
      </c>
      <c r="I720" s="82">
        <v>18.899999999999999</v>
      </c>
      <c r="J720" s="82">
        <v>9.6</v>
      </c>
    </row>
    <row r="721" spans="1:10" x14ac:dyDescent="0.2">
      <c r="A721" t="s">
        <v>21</v>
      </c>
      <c r="B721" s="89">
        <v>1674</v>
      </c>
      <c r="C721" s="82">
        <v>1</v>
      </c>
      <c r="D721" s="83">
        <v>33051</v>
      </c>
      <c r="E721" s="84">
        <f t="shared" si="11"/>
        <v>1990</v>
      </c>
      <c r="F721" s="82" t="s">
        <v>22</v>
      </c>
      <c r="G721" s="82">
        <v>2</v>
      </c>
      <c r="H721" s="82">
        <v>1</v>
      </c>
      <c r="I721" s="82">
        <v>18.899999999999999</v>
      </c>
      <c r="J721" s="82">
        <v>9.6999999999999993</v>
      </c>
    </row>
    <row r="722" spans="1:10" x14ac:dyDescent="0.2">
      <c r="A722" t="s">
        <v>21</v>
      </c>
      <c r="B722" s="89">
        <v>1674</v>
      </c>
      <c r="C722" s="82">
        <v>1</v>
      </c>
      <c r="D722" s="83">
        <v>33051</v>
      </c>
      <c r="E722" s="84">
        <f t="shared" si="11"/>
        <v>1990</v>
      </c>
      <c r="F722" s="82" t="s">
        <v>22</v>
      </c>
      <c r="G722" s="82">
        <v>2</v>
      </c>
      <c r="H722" s="82">
        <v>2</v>
      </c>
      <c r="I722" s="82">
        <v>18.8</v>
      </c>
      <c r="J722" s="82">
        <v>9.6</v>
      </c>
    </row>
    <row r="723" spans="1:10" x14ac:dyDescent="0.2">
      <c r="A723" t="s">
        <v>21</v>
      </c>
      <c r="B723" s="89">
        <v>1674</v>
      </c>
      <c r="C723" s="82">
        <v>1</v>
      </c>
      <c r="D723" s="83">
        <v>33051</v>
      </c>
      <c r="E723" s="84">
        <f t="shared" si="11"/>
        <v>1990</v>
      </c>
      <c r="F723" s="82" t="s">
        <v>22</v>
      </c>
      <c r="G723" s="82">
        <v>2</v>
      </c>
      <c r="H723" s="82">
        <v>3</v>
      </c>
      <c r="I723" s="82">
        <v>18.8</v>
      </c>
      <c r="J723" s="82">
        <v>9.6</v>
      </c>
    </row>
    <row r="724" spans="1:10" x14ac:dyDescent="0.2">
      <c r="A724" t="s">
        <v>21</v>
      </c>
      <c r="B724" s="89">
        <v>1674</v>
      </c>
      <c r="C724" s="82">
        <v>1</v>
      </c>
      <c r="D724" s="83">
        <v>33051</v>
      </c>
      <c r="E724" s="84">
        <f t="shared" si="11"/>
        <v>1990</v>
      </c>
      <c r="F724" s="82" t="s">
        <v>22</v>
      </c>
      <c r="G724" s="82">
        <v>2</v>
      </c>
      <c r="H724" s="82">
        <v>4</v>
      </c>
      <c r="I724" s="82">
        <v>18.8</v>
      </c>
      <c r="J724" s="82">
        <v>9.6</v>
      </c>
    </row>
    <row r="725" spans="1:10" x14ac:dyDescent="0.2">
      <c r="A725" t="s">
        <v>21</v>
      </c>
      <c r="B725" s="89">
        <v>1674</v>
      </c>
      <c r="C725" s="82">
        <v>1</v>
      </c>
      <c r="D725" s="83">
        <v>33051</v>
      </c>
      <c r="E725" s="84">
        <f t="shared" si="11"/>
        <v>1990</v>
      </c>
      <c r="F725" s="82" t="s">
        <v>22</v>
      </c>
      <c r="G725" s="82">
        <v>2</v>
      </c>
      <c r="H725" s="82">
        <v>5</v>
      </c>
      <c r="I725" s="82">
        <v>18.7</v>
      </c>
      <c r="J725" s="82">
        <v>9.4</v>
      </c>
    </row>
    <row r="726" spans="1:10" x14ac:dyDescent="0.2">
      <c r="A726" t="s">
        <v>21</v>
      </c>
      <c r="B726" s="89">
        <v>1674</v>
      </c>
      <c r="C726" s="82">
        <v>1</v>
      </c>
      <c r="D726" s="83">
        <v>33051</v>
      </c>
      <c r="E726" s="84">
        <f t="shared" si="11"/>
        <v>1990</v>
      </c>
      <c r="F726" s="82" t="s">
        <v>22</v>
      </c>
      <c r="G726" s="82">
        <v>2</v>
      </c>
      <c r="H726" s="82">
        <v>6</v>
      </c>
      <c r="I726" s="82">
        <v>16.399999999999999</v>
      </c>
      <c r="J726" s="82">
        <v>7.4</v>
      </c>
    </row>
    <row r="727" spans="1:10" x14ac:dyDescent="0.2">
      <c r="A727" t="s">
        <v>21</v>
      </c>
      <c r="B727" s="89">
        <v>1674</v>
      </c>
      <c r="C727" s="82">
        <v>1</v>
      </c>
      <c r="D727" s="83">
        <v>33051</v>
      </c>
      <c r="E727" s="84">
        <f t="shared" si="11"/>
        <v>1990</v>
      </c>
      <c r="F727" s="82" t="s">
        <v>22</v>
      </c>
      <c r="G727" s="82">
        <v>2</v>
      </c>
      <c r="H727" s="82">
        <v>7</v>
      </c>
      <c r="I727" s="82">
        <v>16</v>
      </c>
      <c r="J727" s="82">
        <v>6.8</v>
      </c>
    </row>
    <row r="728" spans="1:10" x14ac:dyDescent="0.2">
      <c r="A728" t="s">
        <v>21</v>
      </c>
      <c r="B728" s="89">
        <v>1674</v>
      </c>
      <c r="C728" s="82">
        <v>1</v>
      </c>
      <c r="D728" s="83">
        <v>33051</v>
      </c>
      <c r="E728" s="84">
        <f t="shared" si="11"/>
        <v>1990</v>
      </c>
      <c r="F728" s="82" t="s">
        <v>22</v>
      </c>
      <c r="G728" s="82">
        <v>2</v>
      </c>
      <c r="H728" s="82">
        <v>8</v>
      </c>
      <c r="I728" s="82">
        <v>14.9</v>
      </c>
      <c r="J728" s="82">
        <v>5.0999999999999996</v>
      </c>
    </row>
    <row r="729" spans="1:10" x14ac:dyDescent="0.2">
      <c r="A729" t="s">
        <v>21</v>
      </c>
      <c r="B729" s="89">
        <v>1674</v>
      </c>
      <c r="C729" s="82">
        <v>1</v>
      </c>
      <c r="D729" s="83">
        <v>33051</v>
      </c>
      <c r="E729" s="84">
        <f t="shared" si="11"/>
        <v>1990</v>
      </c>
      <c r="F729" s="82" t="s">
        <v>22</v>
      </c>
      <c r="G729" s="82">
        <v>2</v>
      </c>
      <c r="H729" s="82">
        <v>9</v>
      </c>
      <c r="I729" s="82">
        <v>14.8</v>
      </c>
      <c r="J729" s="82">
        <v>4.8</v>
      </c>
    </row>
    <row r="730" spans="1:10" x14ac:dyDescent="0.2">
      <c r="A730" t="s">
        <v>21</v>
      </c>
      <c r="B730" s="89">
        <v>1674</v>
      </c>
      <c r="C730" s="82">
        <v>1</v>
      </c>
      <c r="D730" s="83">
        <v>33051</v>
      </c>
      <c r="E730" s="84">
        <f t="shared" si="11"/>
        <v>1990</v>
      </c>
      <c r="F730" s="82" t="s">
        <v>22</v>
      </c>
      <c r="G730" s="82">
        <v>2</v>
      </c>
      <c r="H730" s="82">
        <v>10</v>
      </c>
      <c r="I730" s="82">
        <v>14.1</v>
      </c>
      <c r="J730" s="82">
        <v>3.6</v>
      </c>
    </row>
    <row r="731" spans="1:10" x14ac:dyDescent="0.2">
      <c r="A731" t="s">
        <v>21</v>
      </c>
      <c r="B731" s="89">
        <v>1674</v>
      </c>
      <c r="C731" s="82">
        <v>1</v>
      </c>
      <c r="D731" s="83">
        <v>33051</v>
      </c>
      <c r="E731" s="84">
        <f t="shared" si="11"/>
        <v>1990</v>
      </c>
      <c r="F731" s="82" t="s">
        <v>22</v>
      </c>
      <c r="G731" s="82">
        <v>2</v>
      </c>
      <c r="H731" s="82">
        <v>11</v>
      </c>
      <c r="I731" s="82">
        <v>14</v>
      </c>
      <c r="J731" s="82">
        <v>3.6</v>
      </c>
    </row>
    <row r="732" spans="1:10" x14ac:dyDescent="0.2">
      <c r="A732" t="s">
        <v>21</v>
      </c>
      <c r="B732" s="89">
        <v>1674</v>
      </c>
      <c r="C732" s="82">
        <v>1</v>
      </c>
      <c r="D732" s="83">
        <v>33051</v>
      </c>
      <c r="E732" s="84">
        <f t="shared" si="11"/>
        <v>1990</v>
      </c>
      <c r="F732" s="82" t="s">
        <v>22</v>
      </c>
      <c r="G732" s="82">
        <v>2</v>
      </c>
      <c r="H732" s="82">
        <v>12</v>
      </c>
      <c r="I732" s="82">
        <v>13.9</v>
      </c>
      <c r="J732" s="82">
        <v>3.6</v>
      </c>
    </row>
    <row r="733" spans="1:10" x14ac:dyDescent="0.2">
      <c r="A733" t="s">
        <v>21</v>
      </c>
      <c r="B733" s="89">
        <v>1674</v>
      </c>
      <c r="C733" s="82">
        <v>1</v>
      </c>
      <c r="D733" s="83">
        <v>33051</v>
      </c>
      <c r="E733" s="84">
        <f t="shared" si="11"/>
        <v>1990</v>
      </c>
      <c r="F733" s="82" t="s">
        <v>22</v>
      </c>
      <c r="G733" s="82">
        <v>2</v>
      </c>
      <c r="H733" s="82">
        <v>13</v>
      </c>
      <c r="I733" s="82">
        <v>12</v>
      </c>
      <c r="J733" s="82">
        <v>1</v>
      </c>
    </row>
    <row r="734" spans="1:10" x14ac:dyDescent="0.2">
      <c r="A734" t="s">
        <v>21</v>
      </c>
      <c r="B734" s="89">
        <v>1674</v>
      </c>
      <c r="C734" s="82">
        <v>1</v>
      </c>
      <c r="D734" s="83">
        <v>33078</v>
      </c>
      <c r="E734" s="84">
        <f t="shared" si="11"/>
        <v>1990</v>
      </c>
      <c r="F734" s="82" t="s">
        <v>22</v>
      </c>
      <c r="G734" s="82">
        <v>2</v>
      </c>
      <c r="H734" s="82">
        <v>0</v>
      </c>
      <c r="I734" s="82">
        <v>20.8</v>
      </c>
      <c r="J734" s="82">
        <v>8.5</v>
      </c>
    </row>
    <row r="735" spans="1:10" x14ac:dyDescent="0.2">
      <c r="A735" t="s">
        <v>21</v>
      </c>
      <c r="B735" s="89">
        <v>1674</v>
      </c>
      <c r="C735" s="82">
        <v>1</v>
      </c>
      <c r="D735" s="83">
        <v>33078</v>
      </c>
      <c r="E735" s="84">
        <f t="shared" si="11"/>
        <v>1990</v>
      </c>
      <c r="F735" s="82" t="s">
        <v>22</v>
      </c>
      <c r="G735" s="82">
        <v>2</v>
      </c>
      <c r="H735" s="82">
        <v>1</v>
      </c>
      <c r="I735" s="82">
        <v>20.8</v>
      </c>
      <c r="J735" s="82">
        <v>8.5</v>
      </c>
    </row>
    <row r="736" spans="1:10" x14ac:dyDescent="0.2">
      <c r="A736" t="s">
        <v>21</v>
      </c>
      <c r="B736" s="89">
        <v>1674</v>
      </c>
      <c r="C736" s="82">
        <v>1</v>
      </c>
      <c r="D736" s="83">
        <v>33078</v>
      </c>
      <c r="E736" s="84">
        <f t="shared" si="11"/>
        <v>1990</v>
      </c>
      <c r="F736" s="82" t="s">
        <v>22</v>
      </c>
      <c r="G736" s="82">
        <v>2</v>
      </c>
      <c r="H736" s="82">
        <v>2</v>
      </c>
      <c r="I736" s="82">
        <v>20.8</v>
      </c>
      <c r="J736" s="82">
        <v>8.4</v>
      </c>
    </row>
    <row r="737" spans="1:10" x14ac:dyDescent="0.2">
      <c r="A737" t="s">
        <v>21</v>
      </c>
      <c r="B737" s="89">
        <v>1674</v>
      </c>
      <c r="C737" s="82">
        <v>1</v>
      </c>
      <c r="D737" s="83">
        <v>33078</v>
      </c>
      <c r="E737" s="84">
        <f t="shared" si="11"/>
        <v>1990</v>
      </c>
      <c r="F737" s="82" t="s">
        <v>22</v>
      </c>
      <c r="G737" s="82">
        <v>2</v>
      </c>
      <c r="H737" s="82">
        <v>3</v>
      </c>
      <c r="I737" s="82">
        <v>20.8</v>
      </c>
      <c r="J737" s="82">
        <v>8.4</v>
      </c>
    </row>
    <row r="738" spans="1:10" x14ac:dyDescent="0.2">
      <c r="A738" t="s">
        <v>21</v>
      </c>
      <c r="B738" s="89">
        <v>1674</v>
      </c>
      <c r="C738" s="82">
        <v>1</v>
      </c>
      <c r="D738" s="83">
        <v>33078</v>
      </c>
      <c r="E738" s="84">
        <f t="shared" si="11"/>
        <v>1990</v>
      </c>
      <c r="F738" s="82" t="s">
        <v>22</v>
      </c>
      <c r="G738" s="82">
        <v>2</v>
      </c>
      <c r="H738" s="82">
        <v>4</v>
      </c>
      <c r="I738" s="82">
        <v>20.8</v>
      </c>
      <c r="J738" s="82">
        <v>8.3000000000000007</v>
      </c>
    </row>
    <row r="739" spans="1:10" x14ac:dyDescent="0.2">
      <c r="A739" t="s">
        <v>21</v>
      </c>
      <c r="B739" s="89">
        <v>1674</v>
      </c>
      <c r="C739" s="82">
        <v>1</v>
      </c>
      <c r="D739" s="83">
        <v>33078</v>
      </c>
      <c r="E739" s="84">
        <f t="shared" si="11"/>
        <v>1990</v>
      </c>
      <c r="F739" s="82" t="s">
        <v>22</v>
      </c>
      <c r="G739" s="82">
        <v>2</v>
      </c>
      <c r="H739" s="82">
        <v>5</v>
      </c>
      <c r="I739" s="82">
        <v>20.8</v>
      </c>
      <c r="J739" s="82">
        <v>8.3000000000000007</v>
      </c>
    </row>
    <row r="740" spans="1:10" x14ac:dyDescent="0.2">
      <c r="A740" t="s">
        <v>21</v>
      </c>
      <c r="B740" s="89">
        <v>1674</v>
      </c>
      <c r="C740" s="82">
        <v>1</v>
      </c>
      <c r="D740" s="83">
        <v>33078</v>
      </c>
      <c r="E740" s="84">
        <f t="shared" si="11"/>
        <v>1990</v>
      </c>
      <c r="F740" s="82" t="s">
        <v>22</v>
      </c>
      <c r="G740" s="82">
        <v>2</v>
      </c>
      <c r="H740" s="82">
        <v>6</v>
      </c>
      <c r="I740" s="82">
        <v>20.7</v>
      </c>
      <c r="J740" s="82">
        <v>8.3000000000000007</v>
      </c>
    </row>
    <row r="741" spans="1:10" x14ac:dyDescent="0.2">
      <c r="A741" t="s">
        <v>21</v>
      </c>
      <c r="B741" s="89">
        <v>1674</v>
      </c>
      <c r="C741" s="82">
        <v>1</v>
      </c>
      <c r="D741" s="83">
        <v>33078</v>
      </c>
      <c r="E741" s="84">
        <f t="shared" si="11"/>
        <v>1990</v>
      </c>
      <c r="F741" s="82" t="s">
        <v>22</v>
      </c>
      <c r="G741" s="82">
        <v>2</v>
      </c>
      <c r="H741" s="82">
        <v>7</v>
      </c>
      <c r="I741" s="82">
        <v>20.2</v>
      </c>
      <c r="J741" s="82">
        <v>8.1</v>
      </c>
    </row>
    <row r="742" spans="1:10" x14ac:dyDescent="0.2">
      <c r="A742" t="s">
        <v>21</v>
      </c>
      <c r="B742" s="89">
        <v>1674</v>
      </c>
      <c r="C742" s="82">
        <v>1</v>
      </c>
      <c r="D742" s="83">
        <v>33078</v>
      </c>
      <c r="E742" s="84">
        <f t="shared" si="11"/>
        <v>1990</v>
      </c>
      <c r="F742" s="82" t="s">
        <v>22</v>
      </c>
      <c r="G742" s="82">
        <v>2</v>
      </c>
      <c r="H742" s="82">
        <v>8</v>
      </c>
      <c r="I742" s="82">
        <v>20.100000000000001</v>
      </c>
      <c r="J742" s="82">
        <v>7.3</v>
      </c>
    </row>
    <row r="743" spans="1:10" x14ac:dyDescent="0.2">
      <c r="A743" t="s">
        <v>21</v>
      </c>
      <c r="B743" s="89">
        <v>1674</v>
      </c>
      <c r="C743" s="82">
        <v>1</v>
      </c>
      <c r="D743" s="83">
        <v>33078</v>
      </c>
      <c r="E743" s="84">
        <f t="shared" si="11"/>
        <v>1990</v>
      </c>
      <c r="F743" s="82" t="s">
        <v>22</v>
      </c>
      <c r="G743" s="82">
        <v>2</v>
      </c>
      <c r="H743" s="82">
        <v>9</v>
      </c>
      <c r="I743" s="82">
        <v>19</v>
      </c>
      <c r="J743" s="82">
        <v>5.3</v>
      </c>
    </row>
    <row r="744" spans="1:10" x14ac:dyDescent="0.2">
      <c r="A744" t="s">
        <v>21</v>
      </c>
      <c r="B744" s="89">
        <v>1674</v>
      </c>
      <c r="C744" s="82">
        <v>1</v>
      </c>
      <c r="D744" s="83">
        <v>33078</v>
      </c>
      <c r="E744" s="84">
        <f t="shared" si="11"/>
        <v>1990</v>
      </c>
      <c r="F744" s="82" t="s">
        <v>22</v>
      </c>
      <c r="G744" s="82">
        <v>2</v>
      </c>
      <c r="H744" s="82">
        <v>10</v>
      </c>
      <c r="I744" s="82">
        <v>18</v>
      </c>
      <c r="J744" s="82">
        <v>3.7</v>
      </c>
    </row>
    <row r="745" spans="1:10" x14ac:dyDescent="0.2">
      <c r="A745" t="s">
        <v>21</v>
      </c>
      <c r="B745" s="89">
        <v>1674</v>
      </c>
      <c r="C745" s="82">
        <v>1</v>
      </c>
      <c r="D745" s="83">
        <v>33078</v>
      </c>
      <c r="E745" s="84">
        <f t="shared" si="11"/>
        <v>1990</v>
      </c>
      <c r="F745" s="82" t="s">
        <v>22</v>
      </c>
      <c r="G745" s="82">
        <v>2</v>
      </c>
      <c r="H745" s="82">
        <v>11</v>
      </c>
      <c r="I745" s="82">
        <v>17.100000000000001</v>
      </c>
      <c r="J745" s="82">
        <v>2</v>
      </c>
    </row>
    <row r="746" spans="1:10" x14ac:dyDescent="0.2">
      <c r="A746" t="s">
        <v>21</v>
      </c>
      <c r="B746" s="89">
        <v>1674</v>
      </c>
      <c r="C746" s="82">
        <v>1</v>
      </c>
      <c r="D746" s="83">
        <v>33078</v>
      </c>
      <c r="E746" s="84">
        <f t="shared" si="11"/>
        <v>1990</v>
      </c>
      <c r="F746" s="82" t="s">
        <v>22</v>
      </c>
      <c r="G746" s="82">
        <v>2</v>
      </c>
      <c r="H746" s="82">
        <v>12</v>
      </c>
      <c r="I746" s="82">
        <v>14.1</v>
      </c>
      <c r="J746" s="82">
        <v>0.4</v>
      </c>
    </row>
    <row r="747" spans="1:10" x14ac:dyDescent="0.2">
      <c r="A747" t="s">
        <v>21</v>
      </c>
      <c r="B747" s="89">
        <v>1674</v>
      </c>
      <c r="C747" s="82">
        <v>1</v>
      </c>
      <c r="D747" s="83">
        <v>33078</v>
      </c>
      <c r="E747" s="84">
        <f t="shared" si="11"/>
        <v>1990</v>
      </c>
      <c r="F747" s="82" t="s">
        <v>22</v>
      </c>
      <c r="G747" s="82">
        <v>2</v>
      </c>
      <c r="H747" s="82">
        <v>13</v>
      </c>
      <c r="I747" s="82">
        <v>14</v>
      </c>
      <c r="J747" s="82">
        <v>0.2</v>
      </c>
    </row>
    <row r="748" spans="1:10" x14ac:dyDescent="0.2">
      <c r="A748" t="s">
        <v>21</v>
      </c>
      <c r="B748" s="89">
        <v>1674</v>
      </c>
      <c r="C748" s="82">
        <v>1</v>
      </c>
      <c r="D748" s="83">
        <v>33106</v>
      </c>
      <c r="E748" s="84">
        <f t="shared" si="11"/>
        <v>1990</v>
      </c>
      <c r="F748" s="82" t="s">
        <v>22</v>
      </c>
      <c r="G748" s="82">
        <v>2</v>
      </c>
      <c r="H748" s="82">
        <v>0</v>
      </c>
      <c r="I748" s="82">
        <v>21.8</v>
      </c>
      <c r="J748" s="82">
        <v>9.5</v>
      </c>
    </row>
    <row r="749" spans="1:10" x14ac:dyDescent="0.2">
      <c r="A749" t="s">
        <v>21</v>
      </c>
      <c r="B749" s="89">
        <v>1674</v>
      </c>
      <c r="C749" s="82">
        <v>1</v>
      </c>
      <c r="D749" s="83">
        <v>33106</v>
      </c>
      <c r="E749" s="84">
        <f t="shared" si="11"/>
        <v>1990</v>
      </c>
      <c r="F749" s="82" t="s">
        <v>22</v>
      </c>
      <c r="G749" s="82">
        <v>2</v>
      </c>
      <c r="H749" s="82">
        <v>1</v>
      </c>
      <c r="I749" s="82">
        <v>21.2</v>
      </c>
      <c r="J749" s="82">
        <v>9.4</v>
      </c>
    </row>
    <row r="750" spans="1:10" x14ac:dyDescent="0.2">
      <c r="A750" t="s">
        <v>21</v>
      </c>
      <c r="B750" s="89">
        <v>1674</v>
      </c>
      <c r="C750" s="82">
        <v>1</v>
      </c>
      <c r="D750" s="83">
        <v>33106</v>
      </c>
      <c r="E750" s="84">
        <f t="shared" si="11"/>
        <v>1990</v>
      </c>
      <c r="F750" s="82" t="s">
        <v>22</v>
      </c>
      <c r="G750" s="82">
        <v>2</v>
      </c>
      <c r="H750" s="82">
        <v>2</v>
      </c>
      <c r="I750" s="82">
        <v>20.100000000000001</v>
      </c>
      <c r="J750" s="82">
        <v>9.5</v>
      </c>
    </row>
    <row r="751" spans="1:10" x14ac:dyDescent="0.2">
      <c r="A751" t="s">
        <v>21</v>
      </c>
      <c r="B751" s="89">
        <v>1674</v>
      </c>
      <c r="C751" s="82">
        <v>1</v>
      </c>
      <c r="D751" s="83">
        <v>33106</v>
      </c>
      <c r="E751" s="84">
        <f t="shared" si="11"/>
        <v>1990</v>
      </c>
      <c r="F751" s="82" t="s">
        <v>22</v>
      </c>
      <c r="G751" s="82">
        <v>2</v>
      </c>
      <c r="H751" s="82">
        <v>3</v>
      </c>
      <c r="I751" s="82">
        <v>20</v>
      </c>
      <c r="J751" s="82">
        <v>9.1</v>
      </c>
    </row>
    <row r="752" spans="1:10" x14ac:dyDescent="0.2">
      <c r="A752" t="s">
        <v>21</v>
      </c>
      <c r="B752" s="89">
        <v>1674</v>
      </c>
      <c r="C752" s="82">
        <v>1</v>
      </c>
      <c r="D752" s="83">
        <v>33106</v>
      </c>
      <c r="E752" s="84">
        <f t="shared" si="11"/>
        <v>1990</v>
      </c>
      <c r="F752" s="82" t="s">
        <v>22</v>
      </c>
      <c r="G752" s="82">
        <v>2</v>
      </c>
      <c r="H752" s="82">
        <v>4</v>
      </c>
      <c r="I752" s="82">
        <v>19.899999999999999</v>
      </c>
      <c r="J752" s="82">
        <v>8.9</v>
      </c>
    </row>
    <row r="753" spans="1:10" x14ac:dyDescent="0.2">
      <c r="A753" t="s">
        <v>21</v>
      </c>
      <c r="B753" s="89">
        <v>1674</v>
      </c>
      <c r="C753" s="82">
        <v>1</v>
      </c>
      <c r="D753" s="83">
        <v>33106</v>
      </c>
      <c r="E753" s="84">
        <f t="shared" si="11"/>
        <v>1990</v>
      </c>
      <c r="F753" s="82" t="s">
        <v>22</v>
      </c>
      <c r="G753" s="82">
        <v>2</v>
      </c>
      <c r="H753" s="82">
        <v>5</v>
      </c>
      <c r="I753" s="82">
        <v>19.899999999999999</v>
      </c>
      <c r="J753" s="82">
        <v>8.4</v>
      </c>
    </row>
    <row r="754" spans="1:10" x14ac:dyDescent="0.2">
      <c r="A754" t="s">
        <v>21</v>
      </c>
      <c r="B754" s="89">
        <v>1674</v>
      </c>
      <c r="C754" s="82">
        <v>1</v>
      </c>
      <c r="D754" s="83">
        <v>33106</v>
      </c>
      <c r="E754" s="84">
        <f t="shared" si="11"/>
        <v>1990</v>
      </c>
      <c r="F754" s="82" t="s">
        <v>22</v>
      </c>
      <c r="G754" s="82">
        <v>2</v>
      </c>
      <c r="H754" s="82">
        <v>6</v>
      </c>
      <c r="I754" s="82">
        <v>19.8</v>
      </c>
      <c r="J754" s="82">
        <v>8.1</v>
      </c>
    </row>
    <row r="755" spans="1:10" x14ac:dyDescent="0.2">
      <c r="A755" t="s">
        <v>21</v>
      </c>
      <c r="B755" s="89">
        <v>1674</v>
      </c>
      <c r="C755" s="82">
        <v>1</v>
      </c>
      <c r="D755" s="83">
        <v>33106</v>
      </c>
      <c r="E755" s="84">
        <f t="shared" si="11"/>
        <v>1990</v>
      </c>
      <c r="F755" s="82" t="s">
        <v>22</v>
      </c>
      <c r="G755" s="82">
        <v>2</v>
      </c>
      <c r="H755" s="82">
        <v>7</v>
      </c>
      <c r="I755" s="82">
        <v>19.8</v>
      </c>
      <c r="J755" s="82">
        <v>8.1</v>
      </c>
    </row>
    <row r="756" spans="1:10" x14ac:dyDescent="0.2">
      <c r="A756" t="s">
        <v>21</v>
      </c>
      <c r="B756" s="89">
        <v>1674</v>
      </c>
      <c r="C756" s="82">
        <v>1</v>
      </c>
      <c r="D756" s="83">
        <v>33106</v>
      </c>
      <c r="E756" s="84">
        <f t="shared" si="11"/>
        <v>1990</v>
      </c>
      <c r="F756" s="82" t="s">
        <v>22</v>
      </c>
      <c r="G756" s="82">
        <v>2</v>
      </c>
      <c r="H756" s="82">
        <v>8</v>
      </c>
      <c r="I756" s="82">
        <v>19.8</v>
      </c>
      <c r="J756" s="82">
        <v>8.1</v>
      </c>
    </row>
    <row r="757" spans="1:10" x14ac:dyDescent="0.2">
      <c r="A757" t="s">
        <v>21</v>
      </c>
      <c r="B757" s="89">
        <v>1674</v>
      </c>
      <c r="C757" s="82">
        <v>1</v>
      </c>
      <c r="D757" s="83">
        <v>33106</v>
      </c>
      <c r="E757" s="84">
        <f t="shared" si="11"/>
        <v>1990</v>
      </c>
      <c r="F757" s="82" t="s">
        <v>22</v>
      </c>
      <c r="G757" s="82">
        <v>2</v>
      </c>
      <c r="H757" s="82">
        <v>9</v>
      </c>
      <c r="I757" s="82">
        <v>19.3</v>
      </c>
      <c r="J757" s="82">
        <v>8</v>
      </c>
    </row>
    <row r="758" spans="1:10" x14ac:dyDescent="0.2">
      <c r="A758" t="s">
        <v>21</v>
      </c>
      <c r="B758" s="89">
        <v>1674</v>
      </c>
      <c r="C758" s="82">
        <v>1</v>
      </c>
      <c r="D758" s="83">
        <v>33106</v>
      </c>
      <c r="E758" s="84">
        <f t="shared" si="11"/>
        <v>1990</v>
      </c>
      <c r="F758" s="82" t="s">
        <v>22</v>
      </c>
      <c r="G758" s="82">
        <v>2</v>
      </c>
      <c r="H758" s="82">
        <v>10</v>
      </c>
      <c r="I758" s="82">
        <v>19.3</v>
      </c>
      <c r="J758" s="82">
        <v>8</v>
      </c>
    </row>
    <row r="759" spans="1:10" x14ac:dyDescent="0.2">
      <c r="A759" t="s">
        <v>21</v>
      </c>
      <c r="B759" s="89">
        <v>1674</v>
      </c>
      <c r="C759" s="82">
        <v>1</v>
      </c>
      <c r="D759" s="83">
        <v>33106</v>
      </c>
      <c r="E759" s="84">
        <f t="shared" si="11"/>
        <v>1990</v>
      </c>
      <c r="F759" s="82" t="s">
        <v>22</v>
      </c>
      <c r="G759" s="82">
        <v>2</v>
      </c>
      <c r="H759" s="82">
        <v>11</v>
      </c>
      <c r="I759" s="82">
        <v>19.100000000000001</v>
      </c>
      <c r="J759" s="82">
        <v>7.9</v>
      </c>
    </row>
    <row r="760" spans="1:10" x14ac:dyDescent="0.2">
      <c r="A760" t="s">
        <v>21</v>
      </c>
      <c r="B760" s="89">
        <v>1674</v>
      </c>
      <c r="C760" s="82">
        <v>1</v>
      </c>
      <c r="D760" s="83">
        <v>33106</v>
      </c>
      <c r="E760" s="84">
        <f t="shared" si="11"/>
        <v>1990</v>
      </c>
      <c r="F760" s="82" t="s">
        <v>22</v>
      </c>
      <c r="G760" s="82">
        <v>2</v>
      </c>
      <c r="H760" s="82">
        <v>12</v>
      </c>
      <c r="I760" s="82">
        <v>18.899999999999999</v>
      </c>
      <c r="J760" s="82">
        <v>7.1</v>
      </c>
    </row>
    <row r="761" spans="1:10" x14ac:dyDescent="0.2">
      <c r="A761" t="s">
        <v>21</v>
      </c>
      <c r="B761" s="89">
        <v>1674</v>
      </c>
      <c r="C761" s="82">
        <v>1</v>
      </c>
      <c r="D761" s="83">
        <v>33106</v>
      </c>
      <c r="E761" s="84">
        <f t="shared" si="11"/>
        <v>1990</v>
      </c>
      <c r="F761" s="82" t="s">
        <v>22</v>
      </c>
      <c r="G761" s="82">
        <v>2</v>
      </c>
      <c r="H761" s="82">
        <v>13</v>
      </c>
      <c r="I761" s="82">
        <v>15.7</v>
      </c>
      <c r="J761" s="82">
        <v>0.6</v>
      </c>
    </row>
    <row r="762" spans="1:10" x14ac:dyDescent="0.2">
      <c r="A762" t="s">
        <v>21</v>
      </c>
      <c r="B762" s="89">
        <v>1674</v>
      </c>
      <c r="C762" s="82">
        <v>1</v>
      </c>
      <c r="D762" s="83">
        <v>33140</v>
      </c>
      <c r="E762" s="84">
        <f t="shared" si="11"/>
        <v>1990</v>
      </c>
      <c r="F762" s="82" t="s">
        <v>22</v>
      </c>
      <c r="G762" s="82">
        <v>2</v>
      </c>
      <c r="H762" s="82">
        <v>0</v>
      </c>
      <c r="I762" s="82">
        <v>14</v>
      </c>
      <c r="J762" s="82">
        <v>9.6</v>
      </c>
    </row>
    <row r="763" spans="1:10" x14ac:dyDescent="0.2">
      <c r="A763" t="s">
        <v>21</v>
      </c>
      <c r="B763" s="89">
        <v>1674</v>
      </c>
      <c r="C763" s="82">
        <v>1</v>
      </c>
      <c r="D763" s="83">
        <v>33140</v>
      </c>
      <c r="E763" s="84">
        <f t="shared" si="11"/>
        <v>1990</v>
      </c>
      <c r="F763" s="82" t="s">
        <v>22</v>
      </c>
      <c r="G763" s="82">
        <v>2</v>
      </c>
      <c r="H763" s="82">
        <v>1</v>
      </c>
      <c r="I763" s="82">
        <v>14</v>
      </c>
      <c r="J763" s="82">
        <v>9.1999999999999993</v>
      </c>
    </row>
    <row r="764" spans="1:10" x14ac:dyDescent="0.2">
      <c r="A764" t="s">
        <v>21</v>
      </c>
      <c r="B764" s="89">
        <v>1674</v>
      </c>
      <c r="C764" s="82">
        <v>1</v>
      </c>
      <c r="D764" s="83">
        <v>33140</v>
      </c>
      <c r="E764" s="84">
        <f t="shared" si="11"/>
        <v>1990</v>
      </c>
      <c r="F764" s="82" t="s">
        <v>22</v>
      </c>
      <c r="G764" s="82">
        <v>2</v>
      </c>
      <c r="H764" s="82">
        <v>3</v>
      </c>
      <c r="I764" s="82">
        <v>14</v>
      </c>
      <c r="J764" s="82">
        <v>7.9</v>
      </c>
    </row>
    <row r="765" spans="1:10" x14ac:dyDescent="0.2">
      <c r="A765" t="s">
        <v>21</v>
      </c>
      <c r="B765" s="89">
        <v>1674</v>
      </c>
      <c r="C765" s="82">
        <v>1</v>
      </c>
      <c r="D765" s="83">
        <v>33140</v>
      </c>
      <c r="E765" s="84">
        <f t="shared" si="11"/>
        <v>1990</v>
      </c>
      <c r="F765" s="82" t="s">
        <v>22</v>
      </c>
      <c r="G765" s="82">
        <v>2</v>
      </c>
      <c r="H765" s="82">
        <v>5</v>
      </c>
      <c r="I765" s="82">
        <v>14</v>
      </c>
      <c r="J765" s="82">
        <v>7.2</v>
      </c>
    </row>
    <row r="766" spans="1:10" x14ac:dyDescent="0.2">
      <c r="A766" t="s">
        <v>21</v>
      </c>
      <c r="B766" s="89">
        <v>1674</v>
      </c>
      <c r="C766" s="82">
        <v>1</v>
      </c>
      <c r="D766" s="83">
        <v>33140</v>
      </c>
      <c r="E766" s="84">
        <f t="shared" si="11"/>
        <v>1990</v>
      </c>
      <c r="F766" s="82" t="s">
        <v>22</v>
      </c>
      <c r="G766" s="82">
        <v>2</v>
      </c>
      <c r="H766" s="82">
        <v>7</v>
      </c>
      <c r="I766" s="82">
        <v>14</v>
      </c>
      <c r="J766" s="82">
        <v>7</v>
      </c>
    </row>
    <row r="767" spans="1:10" x14ac:dyDescent="0.2">
      <c r="A767" t="s">
        <v>21</v>
      </c>
      <c r="B767" s="89">
        <v>1674</v>
      </c>
      <c r="C767" s="82">
        <v>1</v>
      </c>
      <c r="D767" s="83">
        <v>33140</v>
      </c>
      <c r="E767" s="84">
        <f t="shared" si="11"/>
        <v>1990</v>
      </c>
      <c r="F767" s="82" t="s">
        <v>22</v>
      </c>
      <c r="G767" s="82">
        <v>2</v>
      </c>
      <c r="H767" s="82">
        <v>9</v>
      </c>
      <c r="I767" s="82">
        <v>14</v>
      </c>
      <c r="J767" s="82">
        <v>6.7</v>
      </c>
    </row>
    <row r="768" spans="1:10" x14ac:dyDescent="0.2">
      <c r="A768" t="s">
        <v>21</v>
      </c>
      <c r="B768" s="89">
        <v>1674</v>
      </c>
      <c r="C768" s="82">
        <v>1</v>
      </c>
      <c r="D768" s="83">
        <v>33140</v>
      </c>
      <c r="E768" s="84">
        <f t="shared" si="11"/>
        <v>1990</v>
      </c>
      <c r="F768" s="82" t="s">
        <v>22</v>
      </c>
      <c r="G768" s="82">
        <v>2</v>
      </c>
      <c r="H768" s="82">
        <v>11</v>
      </c>
      <c r="I768" s="82">
        <v>14</v>
      </c>
      <c r="J768" s="82">
        <v>6.4</v>
      </c>
    </row>
    <row r="769" spans="1:11" x14ac:dyDescent="0.2">
      <c r="A769" t="s">
        <v>21</v>
      </c>
      <c r="B769" s="89">
        <v>1674</v>
      </c>
      <c r="C769" s="82">
        <v>1</v>
      </c>
      <c r="D769" s="83">
        <v>33140</v>
      </c>
      <c r="E769" s="84">
        <f t="shared" si="11"/>
        <v>1990</v>
      </c>
      <c r="F769" s="82" t="s">
        <v>22</v>
      </c>
      <c r="G769" s="82">
        <v>2</v>
      </c>
      <c r="H769" s="82">
        <v>12</v>
      </c>
      <c r="I769" s="82">
        <v>19</v>
      </c>
      <c r="J769" s="82">
        <v>6.6</v>
      </c>
    </row>
    <row r="770" spans="1:11" x14ac:dyDescent="0.2">
      <c r="A770" t="s">
        <v>21</v>
      </c>
      <c r="B770" s="89">
        <v>1674</v>
      </c>
      <c r="C770" s="82">
        <v>1</v>
      </c>
      <c r="D770" s="83">
        <v>33395</v>
      </c>
      <c r="E770" s="84">
        <f t="shared" ref="E770:E833" si="12">YEAR(D770)</f>
        <v>1991</v>
      </c>
      <c r="F770" s="82" t="s">
        <v>22</v>
      </c>
      <c r="G770" s="82">
        <v>2</v>
      </c>
      <c r="H770" s="82">
        <v>0</v>
      </c>
      <c r="I770" s="82">
        <v>15.2</v>
      </c>
      <c r="J770" s="82">
        <v>9.6</v>
      </c>
      <c r="K770" s="89" t="s">
        <v>193</v>
      </c>
    </row>
    <row r="771" spans="1:11" x14ac:dyDescent="0.2">
      <c r="A771" t="s">
        <v>21</v>
      </c>
      <c r="B771" s="89">
        <v>1674</v>
      </c>
      <c r="C771" s="82">
        <v>1</v>
      </c>
      <c r="D771" s="83">
        <v>33395</v>
      </c>
      <c r="E771" s="84">
        <f t="shared" si="12"/>
        <v>1991</v>
      </c>
      <c r="F771" s="82" t="s">
        <v>22</v>
      </c>
      <c r="G771" s="82">
        <v>2</v>
      </c>
      <c r="H771" s="82">
        <v>1</v>
      </c>
      <c r="I771" s="82">
        <v>15.1</v>
      </c>
      <c r="J771" s="82">
        <v>9.6999999999999993</v>
      </c>
      <c r="K771" s="89" t="s">
        <v>193</v>
      </c>
    </row>
    <row r="772" spans="1:11" x14ac:dyDescent="0.2">
      <c r="A772" t="s">
        <v>21</v>
      </c>
      <c r="B772" s="89">
        <v>1674</v>
      </c>
      <c r="C772" s="82">
        <v>1</v>
      </c>
      <c r="D772" s="83">
        <v>33395</v>
      </c>
      <c r="E772" s="84">
        <f t="shared" si="12"/>
        <v>1991</v>
      </c>
      <c r="F772" s="82" t="s">
        <v>22</v>
      </c>
      <c r="G772" s="82">
        <v>2</v>
      </c>
      <c r="H772" s="82">
        <v>2</v>
      </c>
      <c r="I772" s="82">
        <v>15</v>
      </c>
      <c r="J772" s="82">
        <v>9.6</v>
      </c>
      <c r="K772" s="89" t="s">
        <v>193</v>
      </c>
    </row>
    <row r="773" spans="1:11" x14ac:dyDescent="0.2">
      <c r="A773" t="s">
        <v>21</v>
      </c>
      <c r="B773" s="89">
        <v>1674</v>
      </c>
      <c r="C773" s="82">
        <v>1</v>
      </c>
      <c r="D773" s="83">
        <v>33395</v>
      </c>
      <c r="E773" s="84">
        <f t="shared" si="12"/>
        <v>1991</v>
      </c>
      <c r="F773" s="82" t="s">
        <v>22</v>
      </c>
      <c r="G773" s="82">
        <v>2</v>
      </c>
      <c r="H773" s="82">
        <v>3</v>
      </c>
      <c r="I773" s="82">
        <v>14.9</v>
      </c>
      <c r="J773" s="82">
        <v>9.6</v>
      </c>
      <c r="K773" s="89" t="s">
        <v>193</v>
      </c>
    </row>
    <row r="774" spans="1:11" x14ac:dyDescent="0.2">
      <c r="A774" t="s">
        <v>21</v>
      </c>
      <c r="B774" s="89">
        <v>1674</v>
      </c>
      <c r="C774" s="82">
        <v>1</v>
      </c>
      <c r="D774" s="83">
        <v>33395</v>
      </c>
      <c r="E774" s="84">
        <f t="shared" si="12"/>
        <v>1991</v>
      </c>
      <c r="F774" s="82" t="s">
        <v>22</v>
      </c>
      <c r="G774" s="82">
        <v>2</v>
      </c>
      <c r="H774" s="82">
        <v>4</v>
      </c>
      <c r="I774" s="82">
        <v>14.8</v>
      </c>
      <c r="J774" s="82">
        <v>9.6</v>
      </c>
      <c r="K774" s="89" t="s">
        <v>193</v>
      </c>
    </row>
    <row r="775" spans="1:11" x14ac:dyDescent="0.2">
      <c r="A775" t="s">
        <v>21</v>
      </c>
      <c r="B775" s="89">
        <v>1674</v>
      </c>
      <c r="C775" s="82">
        <v>1</v>
      </c>
      <c r="D775" s="83">
        <v>33395</v>
      </c>
      <c r="E775" s="84">
        <f t="shared" si="12"/>
        <v>1991</v>
      </c>
      <c r="F775" s="82" t="s">
        <v>22</v>
      </c>
      <c r="G775" s="82">
        <v>2</v>
      </c>
      <c r="H775" s="82">
        <v>5</v>
      </c>
      <c r="I775" s="82">
        <v>14.7</v>
      </c>
      <c r="J775" s="82">
        <v>9.6</v>
      </c>
      <c r="K775" s="89" t="s">
        <v>193</v>
      </c>
    </row>
    <row r="776" spans="1:11" x14ac:dyDescent="0.2">
      <c r="A776" t="s">
        <v>21</v>
      </c>
      <c r="B776" s="89">
        <v>1674</v>
      </c>
      <c r="C776" s="82">
        <v>1</v>
      </c>
      <c r="D776" s="83">
        <v>33395</v>
      </c>
      <c r="E776" s="84">
        <f t="shared" si="12"/>
        <v>1991</v>
      </c>
      <c r="F776" s="82" t="s">
        <v>22</v>
      </c>
      <c r="G776" s="82">
        <v>2</v>
      </c>
      <c r="H776" s="82">
        <v>6</v>
      </c>
      <c r="I776" s="82">
        <v>14.7</v>
      </c>
      <c r="J776" s="82">
        <v>9.6</v>
      </c>
      <c r="K776" s="89" t="s">
        <v>193</v>
      </c>
    </row>
    <row r="777" spans="1:11" x14ac:dyDescent="0.2">
      <c r="A777" t="s">
        <v>21</v>
      </c>
      <c r="B777" s="89">
        <v>1674</v>
      </c>
      <c r="C777" s="82">
        <v>1</v>
      </c>
      <c r="D777" s="83">
        <v>33395</v>
      </c>
      <c r="E777" s="84">
        <f t="shared" si="12"/>
        <v>1991</v>
      </c>
      <c r="F777" s="82" t="s">
        <v>22</v>
      </c>
      <c r="G777" s="82">
        <v>2</v>
      </c>
      <c r="H777" s="82">
        <v>7</v>
      </c>
      <c r="I777" s="82">
        <v>14.5</v>
      </c>
      <c r="J777" s="82">
        <v>9.5</v>
      </c>
      <c r="K777" s="89" t="s">
        <v>193</v>
      </c>
    </row>
    <row r="778" spans="1:11" x14ac:dyDescent="0.2">
      <c r="A778" t="s">
        <v>21</v>
      </c>
      <c r="B778" s="89">
        <v>1674</v>
      </c>
      <c r="C778" s="82">
        <v>1</v>
      </c>
      <c r="D778" s="83">
        <v>33395</v>
      </c>
      <c r="E778" s="84">
        <f t="shared" si="12"/>
        <v>1991</v>
      </c>
      <c r="F778" s="82" t="s">
        <v>22</v>
      </c>
      <c r="G778" s="82">
        <v>2</v>
      </c>
      <c r="H778" s="82">
        <v>8</v>
      </c>
      <c r="I778" s="82">
        <v>14.4</v>
      </c>
      <c r="J778" s="82">
        <v>9.4</v>
      </c>
      <c r="K778" s="89" t="s">
        <v>193</v>
      </c>
    </row>
    <row r="779" spans="1:11" x14ac:dyDescent="0.2">
      <c r="A779" t="s">
        <v>21</v>
      </c>
      <c r="B779" s="89">
        <v>1674</v>
      </c>
      <c r="C779" s="82">
        <v>1</v>
      </c>
      <c r="D779" s="83">
        <v>33395</v>
      </c>
      <c r="E779" s="84">
        <f t="shared" si="12"/>
        <v>1991</v>
      </c>
      <c r="F779" s="82" t="s">
        <v>22</v>
      </c>
      <c r="G779" s="82">
        <v>2</v>
      </c>
      <c r="H779" s="82">
        <v>9</v>
      </c>
      <c r="I779" s="82">
        <v>14.2</v>
      </c>
      <c r="J779" s="82">
        <v>9.4</v>
      </c>
      <c r="K779" s="89" t="s">
        <v>193</v>
      </c>
    </row>
    <row r="780" spans="1:11" x14ac:dyDescent="0.2">
      <c r="A780" t="s">
        <v>21</v>
      </c>
      <c r="B780" s="89">
        <v>1674</v>
      </c>
      <c r="C780" s="82">
        <v>1</v>
      </c>
      <c r="D780" s="83">
        <v>33395</v>
      </c>
      <c r="E780" s="84">
        <f t="shared" si="12"/>
        <v>1991</v>
      </c>
      <c r="F780" s="82" t="s">
        <v>22</v>
      </c>
      <c r="G780" s="82">
        <v>2</v>
      </c>
      <c r="H780" s="82">
        <v>10</v>
      </c>
      <c r="I780" s="82">
        <v>14.2</v>
      </c>
      <c r="J780" s="82">
        <v>9.4</v>
      </c>
      <c r="K780" s="89" t="s">
        <v>193</v>
      </c>
    </row>
    <row r="781" spans="1:11" x14ac:dyDescent="0.2">
      <c r="A781" t="s">
        <v>21</v>
      </c>
      <c r="B781" s="89">
        <v>1674</v>
      </c>
      <c r="C781" s="82">
        <v>1</v>
      </c>
      <c r="D781" s="83">
        <v>33395</v>
      </c>
      <c r="E781" s="84">
        <f t="shared" si="12"/>
        <v>1991</v>
      </c>
      <c r="F781" s="82" t="s">
        <v>22</v>
      </c>
      <c r="G781" s="82">
        <v>2</v>
      </c>
      <c r="H781" s="82">
        <v>10.5</v>
      </c>
      <c r="I781" s="82">
        <v>14.2</v>
      </c>
      <c r="J781" s="82">
        <v>9.1999999999999993</v>
      </c>
      <c r="K781" s="89" t="s">
        <v>193</v>
      </c>
    </row>
    <row r="782" spans="1:11" x14ac:dyDescent="0.2">
      <c r="A782" t="s">
        <v>21</v>
      </c>
      <c r="B782" s="89">
        <v>1674</v>
      </c>
      <c r="C782" s="82">
        <v>1</v>
      </c>
      <c r="D782" s="83">
        <v>33437</v>
      </c>
      <c r="E782" s="84">
        <f t="shared" si="12"/>
        <v>1991</v>
      </c>
      <c r="F782" s="82" t="s">
        <v>22</v>
      </c>
      <c r="G782" s="82">
        <v>2</v>
      </c>
      <c r="H782" s="82">
        <v>0</v>
      </c>
      <c r="I782" s="82">
        <v>21</v>
      </c>
      <c r="J782" s="82">
        <v>9.6</v>
      </c>
    </row>
    <row r="783" spans="1:11" x14ac:dyDescent="0.2">
      <c r="A783" t="s">
        <v>21</v>
      </c>
      <c r="B783" s="89">
        <v>1674</v>
      </c>
      <c r="C783" s="82">
        <v>1</v>
      </c>
      <c r="D783" s="83">
        <v>33437</v>
      </c>
      <c r="E783" s="84">
        <f t="shared" si="12"/>
        <v>1991</v>
      </c>
      <c r="F783" s="82" t="s">
        <v>22</v>
      </c>
      <c r="G783" s="82">
        <v>2</v>
      </c>
      <c r="H783" s="82">
        <v>1</v>
      </c>
      <c r="I783" s="82">
        <v>20</v>
      </c>
      <c r="J783" s="82">
        <v>9.8000000000000007</v>
      </c>
    </row>
    <row r="784" spans="1:11" x14ac:dyDescent="0.2">
      <c r="A784" t="s">
        <v>21</v>
      </c>
      <c r="B784" s="89">
        <v>1674</v>
      </c>
      <c r="C784" s="82">
        <v>1</v>
      </c>
      <c r="D784" s="83">
        <v>33437</v>
      </c>
      <c r="E784" s="84">
        <f t="shared" si="12"/>
        <v>1991</v>
      </c>
      <c r="F784" s="82" t="s">
        <v>22</v>
      </c>
      <c r="G784" s="82">
        <v>2</v>
      </c>
      <c r="H784" s="82">
        <v>3</v>
      </c>
      <c r="I784" s="82">
        <v>18</v>
      </c>
      <c r="J784" s="82">
        <v>10</v>
      </c>
    </row>
    <row r="785" spans="1:11" x14ac:dyDescent="0.2">
      <c r="A785" t="s">
        <v>21</v>
      </c>
      <c r="B785" s="89">
        <v>1674</v>
      </c>
      <c r="C785" s="82">
        <v>1</v>
      </c>
      <c r="D785" s="83">
        <v>33437</v>
      </c>
      <c r="E785" s="84">
        <f t="shared" si="12"/>
        <v>1991</v>
      </c>
      <c r="F785" s="82" t="s">
        <v>22</v>
      </c>
      <c r="G785" s="82">
        <v>2</v>
      </c>
      <c r="H785" s="82">
        <v>5</v>
      </c>
      <c r="I785" s="82">
        <v>17</v>
      </c>
      <c r="J785" s="82">
        <v>9</v>
      </c>
    </row>
    <row r="786" spans="1:11" x14ac:dyDescent="0.2">
      <c r="A786" t="s">
        <v>21</v>
      </c>
      <c r="B786" s="89">
        <v>1674</v>
      </c>
      <c r="C786" s="82">
        <v>1</v>
      </c>
      <c r="D786" s="83">
        <v>33437</v>
      </c>
      <c r="E786" s="84">
        <f t="shared" si="12"/>
        <v>1991</v>
      </c>
      <c r="F786" s="82" t="s">
        <v>22</v>
      </c>
      <c r="G786" s="82">
        <v>2</v>
      </c>
      <c r="H786" s="82">
        <v>7</v>
      </c>
      <c r="I786" s="82">
        <v>16.5</v>
      </c>
      <c r="J786" s="82">
        <v>7.5</v>
      </c>
    </row>
    <row r="787" spans="1:11" x14ac:dyDescent="0.2">
      <c r="A787" t="s">
        <v>21</v>
      </c>
      <c r="B787" s="89">
        <v>1674</v>
      </c>
      <c r="C787" s="82">
        <v>1</v>
      </c>
      <c r="D787" s="83">
        <v>33437</v>
      </c>
      <c r="E787" s="84">
        <f t="shared" si="12"/>
        <v>1991</v>
      </c>
      <c r="F787" s="82" t="s">
        <v>22</v>
      </c>
      <c r="G787" s="82">
        <v>2</v>
      </c>
      <c r="H787" s="82">
        <v>9</v>
      </c>
      <c r="I787" s="82">
        <v>16</v>
      </c>
      <c r="J787" s="82">
        <v>7.1</v>
      </c>
    </row>
    <row r="788" spans="1:11" x14ac:dyDescent="0.2">
      <c r="A788" t="s">
        <v>21</v>
      </c>
      <c r="B788" s="89">
        <v>1674</v>
      </c>
      <c r="C788" s="82">
        <v>1</v>
      </c>
      <c r="D788" s="83">
        <v>33437</v>
      </c>
      <c r="E788" s="84">
        <f t="shared" si="12"/>
        <v>1991</v>
      </c>
      <c r="F788" s="82" t="s">
        <v>22</v>
      </c>
      <c r="G788" s="82">
        <v>2</v>
      </c>
      <c r="H788" s="82">
        <v>11</v>
      </c>
      <c r="I788" s="82">
        <v>16</v>
      </c>
      <c r="J788" s="82">
        <v>7.1</v>
      </c>
    </row>
    <row r="789" spans="1:11" x14ac:dyDescent="0.2">
      <c r="A789" t="s">
        <v>21</v>
      </c>
      <c r="B789" s="89">
        <v>1674</v>
      </c>
      <c r="C789" s="82">
        <v>1</v>
      </c>
      <c r="D789" s="83">
        <v>33437</v>
      </c>
      <c r="E789" s="84">
        <f t="shared" si="12"/>
        <v>1991</v>
      </c>
      <c r="F789" s="82" t="s">
        <v>22</v>
      </c>
      <c r="G789" s="82">
        <v>2</v>
      </c>
      <c r="H789" s="82">
        <v>13</v>
      </c>
      <c r="I789" s="82">
        <v>15.5</v>
      </c>
      <c r="J789" s="82">
        <v>2.7</v>
      </c>
    </row>
    <row r="790" spans="1:11" x14ac:dyDescent="0.2">
      <c r="A790" t="s">
        <v>21</v>
      </c>
      <c r="B790" s="89">
        <v>1674</v>
      </c>
      <c r="C790" s="82">
        <v>1</v>
      </c>
      <c r="D790" s="83">
        <v>33448</v>
      </c>
      <c r="E790" s="84">
        <f t="shared" si="12"/>
        <v>1991</v>
      </c>
      <c r="F790" s="82" t="s">
        <v>22</v>
      </c>
      <c r="G790" s="82">
        <v>2</v>
      </c>
      <c r="H790" s="82">
        <v>0</v>
      </c>
      <c r="I790" s="82">
        <v>23</v>
      </c>
      <c r="J790" s="82">
        <v>9.3000000000000007</v>
      </c>
      <c r="K790" s="89" t="s">
        <v>193</v>
      </c>
    </row>
    <row r="791" spans="1:11" x14ac:dyDescent="0.2">
      <c r="A791" t="s">
        <v>21</v>
      </c>
      <c r="B791" s="89">
        <v>1674</v>
      </c>
      <c r="C791" s="82">
        <v>1</v>
      </c>
      <c r="D791" s="83">
        <v>33448</v>
      </c>
      <c r="E791" s="84">
        <f t="shared" si="12"/>
        <v>1991</v>
      </c>
      <c r="F791" s="82" t="s">
        <v>22</v>
      </c>
      <c r="G791" s="82">
        <v>2</v>
      </c>
      <c r="H791" s="82">
        <v>1</v>
      </c>
      <c r="I791" s="82">
        <v>22.8</v>
      </c>
      <c r="J791" s="82">
        <v>9.4</v>
      </c>
      <c r="K791" s="89" t="s">
        <v>193</v>
      </c>
    </row>
    <row r="792" spans="1:11" x14ac:dyDescent="0.2">
      <c r="A792" t="s">
        <v>21</v>
      </c>
      <c r="B792" s="89">
        <v>1674</v>
      </c>
      <c r="C792" s="82">
        <v>1</v>
      </c>
      <c r="D792" s="83">
        <v>33448</v>
      </c>
      <c r="E792" s="84">
        <f t="shared" si="12"/>
        <v>1991</v>
      </c>
      <c r="F792" s="82" t="s">
        <v>22</v>
      </c>
      <c r="G792" s="82">
        <v>2</v>
      </c>
      <c r="H792" s="82">
        <v>2</v>
      </c>
      <c r="I792" s="82">
        <v>22</v>
      </c>
      <c r="J792" s="82">
        <v>9.5</v>
      </c>
      <c r="K792" s="89" t="s">
        <v>193</v>
      </c>
    </row>
    <row r="793" spans="1:11" x14ac:dyDescent="0.2">
      <c r="A793" t="s">
        <v>21</v>
      </c>
      <c r="B793" s="89">
        <v>1674</v>
      </c>
      <c r="C793" s="82">
        <v>1</v>
      </c>
      <c r="D793" s="83">
        <v>33448</v>
      </c>
      <c r="E793" s="84">
        <f t="shared" si="12"/>
        <v>1991</v>
      </c>
      <c r="F793" s="82" t="s">
        <v>22</v>
      </c>
      <c r="G793" s="82">
        <v>2</v>
      </c>
      <c r="H793" s="82">
        <v>3</v>
      </c>
      <c r="I793" s="82">
        <v>21.8</v>
      </c>
      <c r="J793" s="82">
        <v>9.5</v>
      </c>
      <c r="K793" s="89" t="s">
        <v>193</v>
      </c>
    </row>
    <row r="794" spans="1:11" x14ac:dyDescent="0.2">
      <c r="A794" t="s">
        <v>21</v>
      </c>
      <c r="B794" s="89">
        <v>1674</v>
      </c>
      <c r="C794" s="82">
        <v>1</v>
      </c>
      <c r="D794" s="83">
        <v>33448</v>
      </c>
      <c r="E794" s="84">
        <f t="shared" si="12"/>
        <v>1991</v>
      </c>
      <c r="F794" s="82" t="s">
        <v>22</v>
      </c>
      <c r="G794" s="82">
        <v>2</v>
      </c>
      <c r="H794" s="82">
        <v>4</v>
      </c>
      <c r="I794" s="82">
        <v>21.7</v>
      </c>
      <c r="J794" s="82">
        <v>9.3000000000000007</v>
      </c>
      <c r="K794" s="89" t="s">
        <v>193</v>
      </c>
    </row>
    <row r="795" spans="1:11" x14ac:dyDescent="0.2">
      <c r="A795" t="s">
        <v>21</v>
      </c>
      <c r="B795" s="89">
        <v>1674</v>
      </c>
      <c r="C795" s="82">
        <v>1</v>
      </c>
      <c r="D795" s="83">
        <v>33448</v>
      </c>
      <c r="E795" s="84">
        <f t="shared" si="12"/>
        <v>1991</v>
      </c>
      <c r="F795" s="82" t="s">
        <v>22</v>
      </c>
      <c r="G795" s="82">
        <v>2</v>
      </c>
      <c r="H795" s="82">
        <v>5</v>
      </c>
      <c r="I795" s="82">
        <v>21.7</v>
      </c>
      <c r="J795" s="82">
        <v>9.1999999999999993</v>
      </c>
      <c r="K795" s="89" t="s">
        <v>193</v>
      </c>
    </row>
    <row r="796" spans="1:11" x14ac:dyDescent="0.2">
      <c r="A796" t="s">
        <v>21</v>
      </c>
      <c r="B796" s="89">
        <v>1674</v>
      </c>
      <c r="C796" s="82">
        <v>1</v>
      </c>
      <c r="D796" s="83">
        <v>33448</v>
      </c>
      <c r="E796" s="84">
        <f t="shared" si="12"/>
        <v>1991</v>
      </c>
      <c r="F796" s="82" t="s">
        <v>22</v>
      </c>
      <c r="G796" s="82">
        <v>2</v>
      </c>
      <c r="H796" s="82">
        <v>6</v>
      </c>
      <c r="I796" s="82">
        <v>21.6</v>
      </c>
      <c r="J796" s="82">
        <v>9.1</v>
      </c>
      <c r="K796" s="89" t="s">
        <v>193</v>
      </c>
    </row>
    <row r="797" spans="1:11" x14ac:dyDescent="0.2">
      <c r="A797" t="s">
        <v>21</v>
      </c>
      <c r="B797" s="89">
        <v>1674</v>
      </c>
      <c r="C797" s="82">
        <v>1</v>
      </c>
      <c r="D797" s="83">
        <v>33448</v>
      </c>
      <c r="E797" s="84">
        <f t="shared" si="12"/>
        <v>1991</v>
      </c>
      <c r="F797" s="82" t="s">
        <v>22</v>
      </c>
      <c r="G797" s="82">
        <v>2</v>
      </c>
      <c r="H797" s="82">
        <v>7</v>
      </c>
      <c r="I797" s="82">
        <v>20.2</v>
      </c>
      <c r="J797" s="82">
        <v>7.7</v>
      </c>
      <c r="K797" s="89" t="s">
        <v>193</v>
      </c>
    </row>
    <row r="798" spans="1:11" x14ac:dyDescent="0.2">
      <c r="A798" t="s">
        <v>21</v>
      </c>
      <c r="B798" s="89">
        <v>1674</v>
      </c>
      <c r="C798" s="82">
        <v>1</v>
      </c>
      <c r="D798" s="83">
        <v>33448</v>
      </c>
      <c r="E798" s="84">
        <f t="shared" si="12"/>
        <v>1991</v>
      </c>
      <c r="F798" s="82" t="s">
        <v>22</v>
      </c>
      <c r="G798" s="82">
        <v>2</v>
      </c>
      <c r="H798" s="82">
        <v>8</v>
      </c>
      <c r="I798" s="82">
        <v>19.8</v>
      </c>
      <c r="J798" s="82">
        <v>6.6</v>
      </c>
      <c r="K798" s="89" t="s">
        <v>193</v>
      </c>
    </row>
    <row r="799" spans="1:11" x14ac:dyDescent="0.2">
      <c r="A799" t="s">
        <v>21</v>
      </c>
      <c r="B799" s="89">
        <v>1674</v>
      </c>
      <c r="C799" s="82">
        <v>1</v>
      </c>
      <c r="D799" s="83">
        <v>33448</v>
      </c>
      <c r="E799" s="84">
        <f t="shared" si="12"/>
        <v>1991</v>
      </c>
      <c r="F799" s="82" t="s">
        <v>22</v>
      </c>
      <c r="G799" s="82">
        <v>2</v>
      </c>
      <c r="H799" s="82">
        <v>9</v>
      </c>
      <c r="I799" s="82">
        <v>18.2</v>
      </c>
      <c r="J799" s="82">
        <v>4.7</v>
      </c>
      <c r="K799" s="89" t="s">
        <v>193</v>
      </c>
    </row>
    <row r="800" spans="1:11" x14ac:dyDescent="0.2">
      <c r="A800" t="s">
        <v>21</v>
      </c>
      <c r="B800" s="89">
        <v>1674</v>
      </c>
      <c r="C800" s="82">
        <v>1</v>
      </c>
      <c r="D800" s="83">
        <v>33448</v>
      </c>
      <c r="E800" s="84">
        <f t="shared" si="12"/>
        <v>1991</v>
      </c>
      <c r="F800" s="82" t="s">
        <v>22</v>
      </c>
      <c r="G800" s="82">
        <v>2</v>
      </c>
      <c r="H800" s="82">
        <v>10</v>
      </c>
      <c r="I800" s="82">
        <v>18.100000000000001</v>
      </c>
      <c r="J800" s="82">
        <v>4</v>
      </c>
      <c r="K800" s="89" t="s">
        <v>193</v>
      </c>
    </row>
    <row r="801" spans="1:11" x14ac:dyDescent="0.2">
      <c r="A801" t="s">
        <v>21</v>
      </c>
      <c r="B801" s="89">
        <v>1674</v>
      </c>
      <c r="C801" s="82">
        <v>1</v>
      </c>
      <c r="D801" s="83">
        <v>33448</v>
      </c>
      <c r="E801" s="84">
        <f t="shared" si="12"/>
        <v>1991</v>
      </c>
      <c r="F801" s="82" t="s">
        <v>22</v>
      </c>
      <c r="G801" s="82">
        <v>2</v>
      </c>
      <c r="H801" s="82">
        <v>11</v>
      </c>
      <c r="I801" s="82">
        <v>17.8</v>
      </c>
      <c r="J801" s="82">
        <v>3</v>
      </c>
      <c r="K801" s="89" t="s">
        <v>193</v>
      </c>
    </row>
    <row r="802" spans="1:11" x14ac:dyDescent="0.2">
      <c r="A802" t="s">
        <v>21</v>
      </c>
      <c r="B802" s="89">
        <v>1674</v>
      </c>
      <c r="C802" s="82">
        <v>1</v>
      </c>
      <c r="D802" s="83">
        <v>33448</v>
      </c>
      <c r="E802" s="84">
        <f t="shared" si="12"/>
        <v>1991</v>
      </c>
      <c r="F802" s="82" t="s">
        <v>22</v>
      </c>
      <c r="G802" s="82">
        <v>2</v>
      </c>
      <c r="H802" s="82">
        <v>12</v>
      </c>
      <c r="I802" s="82">
        <v>17</v>
      </c>
      <c r="J802" s="82">
        <v>2.2000000000000002</v>
      </c>
      <c r="K802" s="89" t="s">
        <v>193</v>
      </c>
    </row>
    <row r="803" spans="1:11" x14ac:dyDescent="0.2">
      <c r="A803" t="s">
        <v>21</v>
      </c>
      <c r="B803" s="89">
        <v>1674</v>
      </c>
      <c r="C803" s="82">
        <v>1</v>
      </c>
      <c r="D803" s="83">
        <v>33448</v>
      </c>
      <c r="E803" s="84">
        <f t="shared" si="12"/>
        <v>1991</v>
      </c>
      <c r="F803" s="82" t="s">
        <v>22</v>
      </c>
      <c r="G803" s="82">
        <v>2</v>
      </c>
      <c r="H803" s="82">
        <v>13</v>
      </c>
      <c r="I803" s="82">
        <v>16.8</v>
      </c>
      <c r="J803" s="82">
        <v>0.3</v>
      </c>
      <c r="K803" s="89" t="s">
        <v>193</v>
      </c>
    </row>
    <row r="804" spans="1:11" x14ac:dyDescent="0.2">
      <c r="A804" t="s">
        <v>21</v>
      </c>
      <c r="B804" s="89">
        <v>1674</v>
      </c>
      <c r="C804" s="82">
        <v>1</v>
      </c>
      <c r="D804" s="83">
        <v>33471</v>
      </c>
      <c r="E804" s="84">
        <f t="shared" si="12"/>
        <v>1991</v>
      </c>
      <c r="F804" s="82" t="s">
        <v>22</v>
      </c>
      <c r="G804" s="82">
        <v>2</v>
      </c>
      <c r="H804" s="82">
        <v>0</v>
      </c>
      <c r="I804" s="82">
        <v>19.600000000000001</v>
      </c>
      <c r="J804" s="82">
        <v>8.6</v>
      </c>
      <c r="K804" s="89" t="s">
        <v>193</v>
      </c>
    </row>
    <row r="805" spans="1:11" x14ac:dyDescent="0.2">
      <c r="A805" t="s">
        <v>21</v>
      </c>
      <c r="B805" s="89">
        <v>1674</v>
      </c>
      <c r="C805" s="82">
        <v>1</v>
      </c>
      <c r="D805" s="83">
        <v>33471</v>
      </c>
      <c r="E805" s="84">
        <f t="shared" si="12"/>
        <v>1991</v>
      </c>
      <c r="F805" s="82" t="s">
        <v>22</v>
      </c>
      <c r="G805" s="82">
        <v>2</v>
      </c>
      <c r="H805" s="82">
        <v>1</v>
      </c>
      <c r="I805" s="82">
        <v>19.600000000000001</v>
      </c>
      <c r="J805" s="82">
        <v>8.6</v>
      </c>
      <c r="K805" s="89" t="s">
        <v>193</v>
      </c>
    </row>
    <row r="806" spans="1:11" x14ac:dyDescent="0.2">
      <c r="A806" t="s">
        <v>21</v>
      </c>
      <c r="B806" s="89">
        <v>1674</v>
      </c>
      <c r="C806" s="82">
        <v>1</v>
      </c>
      <c r="D806" s="83">
        <v>33471</v>
      </c>
      <c r="E806" s="84">
        <f t="shared" si="12"/>
        <v>1991</v>
      </c>
      <c r="F806" s="82" t="s">
        <v>22</v>
      </c>
      <c r="G806" s="82">
        <v>2</v>
      </c>
      <c r="H806" s="82">
        <v>2</v>
      </c>
      <c r="I806" s="82">
        <v>19.600000000000001</v>
      </c>
      <c r="J806" s="82">
        <v>8.5</v>
      </c>
      <c r="K806" s="89" t="s">
        <v>193</v>
      </c>
    </row>
    <row r="807" spans="1:11" x14ac:dyDescent="0.2">
      <c r="A807" t="s">
        <v>21</v>
      </c>
      <c r="B807" s="89">
        <v>1674</v>
      </c>
      <c r="C807" s="82">
        <v>1</v>
      </c>
      <c r="D807" s="83">
        <v>33471</v>
      </c>
      <c r="E807" s="84">
        <f t="shared" si="12"/>
        <v>1991</v>
      </c>
      <c r="F807" s="82" t="s">
        <v>22</v>
      </c>
      <c r="G807" s="82">
        <v>2</v>
      </c>
      <c r="H807" s="82">
        <v>3</v>
      </c>
      <c r="I807" s="82">
        <v>19.600000000000001</v>
      </c>
      <c r="J807" s="82">
        <v>8.5</v>
      </c>
      <c r="K807" s="89" t="s">
        <v>193</v>
      </c>
    </row>
    <row r="808" spans="1:11" x14ac:dyDescent="0.2">
      <c r="A808" t="s">
        <v>21</v>
      </c>
      <c r="B808" s="89">
        <v>1674</v>
      </c>
      <c r="C808" s="82">
        <v>1</v>
      </c>
      <c r="D808" s="83">
        <v>33471</v>
      </c>
      <c r="E808" s="84">
        <f t="shared" si="12"/>
        <v>1991</v>
      </c>
      <c r="F808" s="82" t="s">
        <v>22</v>
      </c>
      <c r="G808" s="82">
        <v>2</v>
      </c>
      <c r="H808" s="82">
        <v>4</v>
      </c>
      <c r="I808" s="82">
        <v>19.600000000000001</v>
      </c>
      <c r="J808" s="82">
        <v>8.5</v>
      </c>
      <c r="K808" s="89" t="s">
        <v>193</v>
      </c>
    </row>
    <row r="809" spans="1:11" x14ac:dyDescent="0.2">
      <c r="A809" t="s">
        <v>21</v>
      </c>
      <c r="B809" s="89">
        <v>1674</v>
      </c>
      <c r="C809" s="82">
        <v>1</v>
      </c>
      <c r="D809" s="83">
        <v>33471</v>
      </c>
      <c r="E809" s="84">
        <f t="shared" si="12"/>
        <v>1991</v>
      </c>
      <c r="F809" s="82" t="s">
        <v>22</v>
      </c>
      <c r="G809" s="82">
        <v>2</v>
      </c>
      <c r="H809" s="82">
        <v>5</v>
      </c>
      <c r="I809" s="82">
        <v>19.600000000000001</v>
      </c>
      <c r="J809" s="82">
        <v>8.5</v>
      </c>
      <c r="K809" s="89" t="s">
        <v>193</v>
      </c>
    </row>
    <row r="810" spans="1:11" x14ac:dyDescent="0.2">
      <c r="A810" t="s">
        <v>21</v>
      </c>
      <c r="B810" s="89">
        <v>1674</v>
      </c>
      <c r="C810" s="82">
        <v>1</v>
      </c>
      <c r="D810" s="83">
        <v>33471</v>
      </c>
      <c r="E810" s="84">
        <f t="shared" si="12"/>
        <v>1991</v>
      </c>
      <c r="F810" s="82" t="s">
        <v>22</v>
      </c>
      <c r="G810" s="82">
        <v>2</v>
      </c>
      <c r="H810" s="82">
        <v>6</v>
      </c>
      <c r="I810" s="82">
        <v>19.600000000000001</v>
      </c>
      <c r="J810" s="82">
        <v>8.5</v>
      </c>
      <c r="K810" s="89" t="s">
        <v>193</v>
      </c>
    </row>
    <row r="811" spans="1:11" x14ac:dyDescent="0.2">
      <c r="A811" t="s">
        <v>21</v>
      </c>
      <c r="B811" s="89">
        <v>1674</v>
      </c>
      <c r="C811" s="82">
        <v>1</v>
      </c>
      <c r="D811" s="83">
        <v>33471</v>
      </c>
      <c r="E811" s="84">
        <f t="shared" si="12"/>
        <v>1991</v>
      </c>
      <c r="F811" s="82" t="s">
        <v>22</v>
      </c>
      <c r="G811" s="82">
        <v>2</v>
      </c>
      <c r="H811" s="82">
        <v>7</v>
      </c>
      <c r="I811" s="82">
        <v>19.600000000000001</v>
      </c>
      <c r="J811" s="82">
        <v>8.5</v>
      </c>
      <c r="K811" s="89" t="s">
        <v>193</v>
      </c>
    </row>
    <row r="812" spans="1:11" x14ac:dyDescent="0.2">
      <c r="A812" t="s">
        <v>21</v>
      </c>
      <c r="B812" s="89">
        <v>1674</v>
      </c>
      <c r="C812" s="82">
        <v>1</v>
      </c>
      <c r="D812" s="83">
        <v>33471</v>
      </c>
      <c r="E812" s="84">
        <f t="shared" si="12"/>
        <v>1991</v>
      </c>
      <c r="F812" s="82" t="s">
        <v>22</v>
      </c>
      <c r="G812" s="82">
        <v>2</v>
      </c>
      <c r="H812" s="82">
        <v>8</v>
      </c>
      <c r="I812" s="82">
        <v>19.600000000000001</v>
      </c>
      <c r="J812" s="82">
        <v>8.5</v>
      </c>
      <c r="K812" s="89" t="s">
        <v>193</v>
      </c>
    </row>
    <row r="813" spans="1:11" x14ac:dyDescent="0.2">
      <c r="A813" t="s">
        <v>21</v>
      </c>
      <c r="B813" s="89">
        <v>1674</v>
      </c>
      <c r="C813" s="82">
        <v>1</v>
      </c>
      <c r="D813" s="83">
        <v>33471</v>
      </c>
      <c r="E813" s="84">
        <f t="shared" si="12"/>
        <v>1991</v>
      </c>
      <c r="F813" s="82" t="s">
        <v>22</v>
      </c>
      <c r="G813" s="82">
        <v>2</v>
      </c>
      <c r="H813" s="82">
        <v>9</v>
      </c>
      <c r="I813" s="82">
        <v>19.600000000000001</v>
      </c>
      <c r="J813" s="82">
        <v>8.5</v>
      </c>
      <c r="K813" s="89" t="s">
        <v>193</v>
      </c>
    </row>
    <row r="814" spans="1:11" x14ac:dyDescent="0.2">
      <c r="A814" t="s">
        <v>21</v>
      </c>
      <c r="B814" s="89">
        <v>1674</v>
      </c>
      <c r="C814" s="82">
        <v>1</v>
      </c>
      <c r="D814" s="83">
        <v>33471</v>
      </c>
      <c r="E814" s="84">
        <f t="shared" si="12"/>
        <v>1991</v>
      </c>
      <c r="F814" s="82" t="s">
        <v>22</v>
      </c>
      <c r="G814" s="82">
        <v>2</v>
      </c>
      <c r="H814" s="82">
        <v>10</v>
      </c>
      <c r="I814" s="82">
        <v>19.600000000000001</v>
      </c>
      <c r="J814" s="82">
        <v>8.5</v>
      </c>
      <c r="K814" s="89" t="s">
        <v>193</v>
      </c>
    </row>
    <row r="815" spans="1:11" x14ac:dyDescent="0.2">
      <c r="A815" t="s">
        <v>21</v>
      </c>
      <c r="B815" s="89">
        <v>1674</v>
      </c>
      <c r="C815" s="82">
        <v>1</v>
      </c>
      <c r="D815" s="83">
        <v>33471</v>
      </c>
      <c r="E815" s="84">
        <f t="shared" si="12"/>
        <v>1991</v>
      </c>
      <c r="F815" s="82" t="s">
        <v>22</v>
      </c>
      <c r="G815" s="82">
        <v>2</v>
      </c>
      <c r="H815" s="82">
        <v>11</v>
      </c>
      <c r="I815" s="82">
        <v>19.600000000000001</v>
      </c>
      <c r="J815" s="82">
        <v>8.5</v>
      </c>
      <c r="K815" s="89" t="s">
        <v>193</v>
      </c>
    </row>
    <row r="816" spans="1:11" x14ac:dyDescent="0.2">
      <c r="A816" t="s">
        <v>21</v>
      </c>
      <c r="B816" s="89">
        <v>1674</v>
      </c>
      <c r="C816" s="82">
        <v>1</v>
      </c>
      <c r="D816" s="83">
        <v>33471</v>
      </c>
      <c r="E816" s="84">
        <f t="shared" si="12"/>
        <v>1991</v>
      </c>
      <c r="F816" s="82" t="s">
        <v>22</v>
      </c>
      <c r="G816" s="82">
        <v>2</v>
      </c>
      <c r="H816" s="82">
        <v>12</v>
      </c>
      <c r="I816" s="82">
        <v>19.3</v>
      </c>
      <c r="J816" s="82">
        <v>8.5</v>
      </c>
      <c r="K816" s="89" t="s">
        <v>193</v>
      </c>
    </row>
    <row r="817" spans="1:10" x14ac:dyDescent="0.2">
      <c r="A817" t="s">
        <v>21</v>
      </c>
      <c r="B817" s="89">
        <v>1674</v>
      </c>
      <c r="C817" s="82">
        <v>1</v>
      </c>
      <c r="D817" s="83">
        <v>33752</v>
      </c>
      <c r="E817" s="84">
        <f t="shared" si="12"/>
        <v>1992</v>
      </c>
      <c r="F817" s="82" t="s">
        <v>22</v>
      </c>
      <c r="G817" s="82">
        <v>2</v>
      </c>
      <c r="H817" s="82">
        <v>0</v>
      </c>
      <c r="I817" s="82">
        <v>15</v>
      </c>
      <c r="J817" s="82">
        <v>10.6</v>
      </c>
    </row>
    <row r="818" spans="1:10" x14ac:dyDescent="0.2">
      <c r="A818" t="s">
        <v>21</v>
      </c>
      <c r="B818" s="89">
        <v>1674</v>
      </c>
      <c r="C818" s="82">
        <v>1</v>
      </c>
      <c r="D818" s="83">
        <v>33752</v>
      </c>
      <c r="E818" s="84">
        <f t="shared" si="12"/>
        <v>1992</v>
      </c>
      <c r="F818" s="82" t="s">
        <v>22</v>
      </c>
      <c r="G818" s="82">
        <v>2</v>
      </c>
      <c r="H818" s="82">
        <v>1</v>
      </c>
      <c r="I818" s="82">
        <v>15</v>
      </c>
      <c r="J818" s="82">
        <v>10.4</v>
      </c>
    </row>
    <row r="819" spans="1:10" x14ac:dyDescent="0.2">
      <c r="A819" t="s">
        <v>21</v>
      </c>
      <c r="B819" s="89">
        <v>1674</v>
      </c>
      <c r="C819" s="82">
        <v>1</v>
      </c>
      <c r="D819" s="83">
        <v>33752</v>
      </c>
      <c r="E819" s="84">
        <f t="shared" si="12"/>
        <v>1992</v>
      </c>
      <c r="F819" s="82" t="s">
        <v>22</v>
      </c>
      <c r="G819" s="82">
        <v>2</v>
      </c>
      <c r="H819" s="82">
        <v>2</v>
      </c>
      <c r="I819" s="82">
        <v>14</v>
      </c>
      <c r="J819" s="82">
        <v>10.199999999999999</v>
      </c>
    </row>
    <row r="820" spans="1:10" x14ac:dyDescent="0.2">
      <c r="A820" t="s">
        <v>21</v>
      </c>
      <c r="B820" s="89">
        <v>1674</v>
      </c>
      <c r="C820" s="82">
        <v>1</v>
      </c>
      <c r="D820" s="83">
        <v>33752</v>
      </c>
      <c r="E820" s="84">
        <f t="shared" si="12"/>
        <v>1992</v>
      </c>
      <c r="F820" s="82" t="s">
        <v>22</v>
      </c>
      <c r="G820" s="82">
        <v>2</v>
      </c>
      <c r="H820" s="82">
        <v>3</v>
      </c>
      <c r="I820" s="82">
        <v>14</v>
      </c>
      <c r="J820" s="82">
        <v>10.199999999999999</v>
      </c>
    </row>
    <row r="821" spans="1:10" x14ac:dyDescent="0.2">
      <c r="A821" t="s">
        <v>21</v>
      </c>
      <c r="B821" s="89">
        <v>1674</v>
      </c>
      <c r="C821" s="82">
        <v>1</v>
      </c>
      <c r="D821" s="83">
        <v>33752</v>
      </c>
      <c r="E821" s="84">
        <f t="shared" si="12"/>
        <v>1992</v>
      </c>
      <c r="F821" s="82" t="s">
        <v>22</v>
      </c>
      <c r="G821" s="82">
        <v>2</v>
      </c>
      <c r="H821" s="82">
        <v>4</v>
      </c>
      <c r="I821" s="82">
        <v>14</v>
      </c>
      <c r="J821" s="82">
        <v>10.199999999999999</v>
      </c>
    </row>
    <row r="822" spans="1:10" x14ac:dyDescent="0.2">
      <c r="A822" t="s">
        <v>21</v>
      </c>
      <c r="B822" s="89">
        <v>1674</v>
      </c>
      <c r="C822" s="82">
        <v>1</v>
      </c>
      <c r="D822" s="83">
        <v>33752</v>
      </c>
      <c r="E822" s="84">
        <f t="shared" si="12"/>
        <v>1992</v>
      </c>
      <c r="F822" s="82" t="s">
        <v>22</v>
      </c>
      <c r="G822" s="82">
        <v>2</v>
      </c>
      <c r="H822" s="82">
        <v>5</v>
      </c>
      <c r="I822" s="82">
        <v>13.9</v>
      </c>
      <c r="J822" s="82">
        <v>10.199999999999999</v>
      </c>
    </row>
    <row r="823" spans="1:10" x14ac:dyDescent="0.2">
      <c r="A823" t="s">
        <v>21</v>
      </c>
      <c r="B823" s="89">
        <v>1674</v>
      </c>
      <c r="C823" s="82">
        <v>1</v>
      </c>
      <c r="D823" s="83">
        <v>33752</v>
      </c>
      <c r="E823" s="84">
        <f t="shared" si="12"/>
        <v>1992</v>
      </c>
      <c r="F823" s="82" t="s">
        <v>22</v>
      </c>
      <c r="G823" s="82">
        <v>2</v>
      </c>
      <c r="H823" s="82">
        <v>6</v>
      </c>
      <c r="I823" s="82">
        <v>13.5</v>
      </c>
      <c r="J823" s="82">
        <v>10</v>
      </c>
    </row>
    <row r="824" spans="1:10" x14ac:dyDescent="0.2">
      <c r="A824" t="s">
        <v>21</v>
      </c>
      <c r="B824" s="89">
        <v>1674</v>
      </c>
      <c r="C824" s="82">
        <v>1</v>
      </c>
      <c r="D824" s="83">
        <v>33752</v>
      </c>
      <c r="E824" s="84">
        <f t="shared" si="12"/>
        <v>1992</v>
      </c>
      <c r="F824" s="82" t="s">
        <v>22</v>
      </c>
      <c r="G824" s="82">
        <v>2</v>
      </c>
      <c r="H824" s="82">
        <v>7</v>
      </c>
      <c r="I824" s="82">
        <v>12.8</v>
      </c>
      <c r="J824" s="82">
        <v>9.6</v>
      </c>
    </row>
    <row r="825" spans="1:10" x14ac:dyDescent="0.2">
      <c r="A825" t="s">
        <v>21</v>
      </c>
      <c r="B825" s="89">
        <v>1674</v>
      </c>
      <c r="C825" s="82">
        <v>1</v>
      </c>
      <c r="D825" s="83">
        <v>33752</v>
      </c>
      <c r="E825" s="84">
        <f t="shared" si="12"/>
        <v>1992</v>
      </c>
      <c r="F825" s="82" t="s">
        <v>22</v>
      </c>
      <c r="G825" s="82">
        <v>2</v>
      </c>
      <c r="H825" s="82">
        <v>8</v>
      </c>
      <c r="I825" s="82">
        <v>11</v>
      </c>
      <c r="J825" s="82">
        <v>9.6</v>
      </c>
    </row>
    <row r="826" spans="1:10" x14ac:dyDescent="0.2">
      <c r="A826" t="s">
        <v>21</v>
      </c>
      <c r="B826" s="89">
        <v>1674</v>
      </c>
      <c r="C826" s="82">
        <v>1</v>
      </c>
      <c r="D826" s="83">
        <v>33752</v>
      </c>
      <c r="E826" s="84">
        <f t="shared" si="12"/>
        <v>1992</v>
      </c>
      <c r="F826" s="82" t="s">
        <v>22</v>
      </c>
      <c r="G826" s="82">
        <v>2</v>
      </c>
      <c r="H826" s="82">
        <v>9</v>
      </c>
      <c r="I826" s="82">
        <v>10.9</v>
      </c>
      <c r="J826" s="82">
        <v>9.6</v>
      </c>
    </row>
    <row r="827" spans="1:10" x14ac:dyDescent="0.2">
      <c r="A827" t="s">
        <v>21</v>
      </c>
      <c r="B827" s="89">
        <v>1674</v>
      </c>
      <c r="C827" s="82">
        <v>1</v>
      </c>
      <c r="D827" s="83">
        <v>33752</v>
      </c>
      <c r="E827" s="84">
        <f t="shared" si="12"/>
        <v>1992</v>
      </c>
      <c r="F827" s="82" t="s">
        <v>22</v>
      </c>
      <c r="G827" s="82">
        <v>2</v>
      </c>
      <c r="H827" s="82">
        <v>10</v>
      </c>
      <c r="I827" s="82">
        <v>10.5</v>
      </c>
      <c r="J827" s="82">
        <v>9.4</v>
      </c>
    </row>
    <row r="828" spans="1:10" x14ac:dyDescent="0.2">
      <c r="A828" t="s">
        <v>21</v>
      </c>
      <c r="B828" s="89">
        <v>1674</v>
      </c>
      <c r="C828" s="82">
        <v>1</v>
      </c>
      <c r="D828" s="83">
        <v>33752</v>
      </c>
      <c r="E828" s="84">
        <f t="shared" si="12"/>
        <v>1992</v>
      </c>
      <c r="F828" s="82" t="s">
        <v>22</v>
      </c>
      <c r="G828" s="82">
        <v>2</v>
      </c>
      <c r="H828" s="82">
        <v>11</v>
      </c>
      <c r="I828" s="82">
        <v>10.5</v>
      </c>
      <c r="J828" s="82">
        <v>9.4</v>
      </c>
    </row>
    <row r="829" spans="1:10" x14ac:dyDescent="0.2">
      <c r="A829" t="s">
        <v>21</v>
      </c>
      <c r="B829" s="89">
        <v>1674</v>
      </c>
      <c r="C829" s="82">
        <v>1</v>
      </c>
      <c r="D829" s="83">
        <v>33752</v>
      </c>
      <c r="E829" s="84">
        <f t="shared" si="12"/>
        <v>1992</v>
      </c>
      <c r="F829" s="82" t="s">
        <v>22</v>
      </c>
      <c r="G829" s="82">
        <v>2</v>
      </c>
      <c r="H829" s="82">
        <v>12</v>
      </c>
      <c r="I829" s="82">
        <v>10.5</v>
      </c>
      <c r="J829" s="82">
        <v>9</v>
      </c>
    </row>
    <row r="830" spans="1:10" x14ac:dyDescent="0.2">
      <c r="A830" t="s">
        <v>21</v>
      </c>
      <c r="B830" s="89">
        <v>1674</v>
      </c>
      <c r="C830" s="82">
        <v>1</v>
      </c>
      <c r="D830" s="83">
        <v>33752</v>
      </c>
      <c r="E830" s="84">
        <f t="shared" si="12"/>
        <v>1992</v>
      </c>
      <c r="F830" s="82" t="s">
        <v>22</v>
      </c>
      <c r="G830" s="82">
        <v>2</v>
      </c>
      <c r="H830" s="82">
        <v>13</v>
      </c>
      <c r="I830" s="82">
        <v>10.5</v>
      </c>
      <c r="J830" s="82">
        <v>8.6999999999999993</v>
      </c>
    </row>
    <row r="831" spans="1:10" x14ac:dyDescent="0.2">
      <c r="A831" t="s">
        <v>21</v>
      </c>
      <c r="B831" s="89">
        <v>1674</v>
      </c>
      <c r="C831" s="82">
        <v>1</v>
      </c>
      <c r="D831" s="83">
        <v>33752</v>
      </c>
      <c r="E831" s="84">
        <f t="shared" si="12"/>
        <v>1992</v>
      </c>
      <c r="F831" s="82" t="s">
        <v>22</v>
      </c>
      <c r="G831" s="82">
        <v>2</v>
      </c>
      <c r="H831" s="82">
        <v>14</v>
      </c>
      <c r="I831" s="82">
        <v>10.1</v>
      </c>
      <c r="J831" s="82">
        <v>8.4</v>
      </c>
    </row>
    <row r="832" spans="1:10" x14ac:dyDescent="0.2">
      <c r="A832" t="s">
        <v>21</v>
      </c>
      <c r="B832" s="89">
        <v>1674</v>
      </c>
      <c r="C832" s="82">
        <v>1</v>
      </c>
      <c r="D832" s="83">
        <v>33793</v>
      </c>
      <c r="E832" s="84">
        <f t="shared" si="12"/>
        <v>1992</v>
      </c>
      <c r="F832" s="82" t="s">
        <v>22</v>
      </c>
      <c r="G832" s="82">
        <v>2</v>
      </c>
      <c r="H832" s="82">
        <v>0</v>
      </c>
      <c r="I832" s="82">
        <v>19.399999999999999</v>
      </c>
      <c r="J832" s="82">
        <v>7.9</v>
      </c>
    </row>
    <row r="833" spans="1:10" x14ac:dyDescent="0.2">
      <c r="A833" t="s">
        <v>21</v>
      </c>
      <c r="B833" s="89">
        <v>1674</v>
      </c>
      <c r="C833" s="82">
        <v>1</v>
      </c>
      <c r="D833" s="83">
        <v>33793</v>
      </c>
      <c r="E833" s="84">
        <f t="shared" si="12"/>
        <v>1992</v>
      </c>
      <c r="F833" s="82" t="s">
        <v>22</v>
      </c>
      <c r="G833" s="82">
        <v>2</v>
      </c>
      <c r="H833" s="82">
        <v>1</v>
      </c>
      <c r="I833" s="82">
        <v>18</v>
      </c>
      <c r="J833" s="82">
        <v>8.5</v>
      </c>
    </row>
    <row r="834" spans="1:10" x14ac:dyDescent="0.2">
      <c r="A834" t="s">
        <v>21</v>
      </c>
      <c r="B834" s="89">
        <v>1674</v>
      </c>
      <c r="C834" s="82">
        <v>1</v>
      </c>
      <c r="D834" s="83">
        <v>33793</v>
      </c>
      <c r="E834" s="84">
        <f t="shared" ref="E834:E897" si="13">YEAR(D834)</f>
        <v>1992</v>
      </c>
      <c r="F834" s="82" t="s">
        <v>22</v>
      </c>
      <c r="G834" s="82">
        <v>2</v>
      </c>
      <c r="H834" s="82">
        <v>2</v>
      </c>
      <c r="I834" s="82">
        <v>17.8</v>
      </c>
      <c r="J834" s="82">
        <v>8.1999999999999993</v>
      </c>
    </row>
    <row r="835" spans="1:10" x14ac:dyDescent="0.2">
      <c r="A835" t="s">
        <v>21</v>
      </c>
      <c r="B835" s="89">
        <v>1674</v>
      </c>
      <c r="C835" s="82">
        <v>1</v>
      </c>
      <c r="D835" s="83">
        <v>33793</v>
      </c>
      <c r="E835" s="84">
        <f t="shared" si="13"/>
        <v>1992</v>
      </c>
      <c r="F835" s="82" t="s">
        <v>22</v>
      </c>
      <c r="G835" s="82">
        <v>2</v>
      </c>
      <c r="H835" s="82">
        <v>3</v>
      </c>
      <c r="I835" s="82">
        <v>17.2</v>
      </c>
      <c r="J835" s="82">
        <v>7.8</v>
      </c>
    </row>
    <row r="836" spans="1:10" x14ac:dyDescent="0.2">
      <c r="A836" t="s">
        <v>21</v>
      </c>
      <c r="B836" s="89">
        <v>1674</v>
      </c>
      <c r="C836" s="82">
        <v>1</v>
      </c>
      <c r="D836" s="83">
        <v>33793</v>
      </c>
      <c r="E836" s="84">
        <f t="shared" si="13"/>
        <v>1992</v>
      </c>
      <c r="F836" s="82" t="s">
        <v>22</v>
      </c>
      <c r="G836" s="82">
        <v>2</v>
      </c>
      <c r="H836" s="82">
        <v>4</v>
      </c>
      <c r="I836" s="82">
        <v>17.2</v>
      </c>
      <c r="J836" s="82">
        <v>7.7</v>
      </c>
    </row>
    <row r="837" spans="1:10" x14ac:dyDescent="0.2">
      <c r="A837" t="s">
        <v>21</v>
      </c>
      <c r="B837" s="89">
        <v>1674</v>
      </c>
      <c r="C837" s="82">
        <v>1</v>
      </c>
      <c r="D837" s="83">
        <v>33793</v>
      </c>
      <c r="E837" s="84">
        <f t="shared" si="13"/>
        <v>1992</v>
      </c>
      <c r="F837" s="82" t="s">
        <v>22</v>
      </c>
      <c r="G837" s="82">
        <v>2</v>
      </c>
      <c r="H837" s="82">
        <v>5</v>
      </c>
      <c r="I837" s="82">
        <v>17.2</v>
      </c>
      <c r="J837" s="82">
        <v>7.7</v>
      </c>
    </row>
    <row r="838" spans="1:10" x14ac:dyDescent="0.2">
      <c r="A838" t="s">
        <v>21</v>
      </c>
      <c r="B838" s="89">
        <v>1674</v>
      </c>
      <c r="C838" s="82">
        <v>1</v>
      </c>
      <c r="D838" s="83">
        <v>33793</v>
      </c>
      <c r="E838" s="84">
        <f t="shared" si="13"/>
        <v>1992</v>
      </c>
      <c r="F838" s="82" t="s">
        <v>22</v>
      </c>
      <c r="G838" s="82">
        <v>2</v>
      </c>
      <c r="H838" s="82">
        <v>6</v>
      </c>
      <c r="I838" s="82">
        <v>17</v>
      </c>
      <c r="J838" s="82">
        <v>7.6</v>
      </c>
    </row>
    <row r="839" spans="1:10" x14ac:dyDescent="0.2">
      <c r="A839" t="s">
        <v>21</v>
      </c>
      <c r="B839" s="89">
        <v>1674</v>
      </c>
      <c r="C839" s="82">
        <v>1</v>
      </c>
      <c r="D839" s="83">
        <v>33793</v>
      </c>
      <c r="E839" s="84">
        <f t="shared" si="13"/>
        <v>1992</v>
      </c>
      <c r="F839" s="82" t="s">
        <v>22</v>
      </c>
      <c r="G839" s="82">
        <v>2</v>
      </c>
      <c r="H839" s="82">
        <v>7</v>
      </c>
      <c r="I839" s="82">
        <v>17</v>
      </c>
      <c r="J839" s="82">
        <v>7.5</v>
      </c>
    </row>
    <row r="840" spans="1:10" x14ac:dyDescent="0.2">
      <c r="A840" t="s">
        <v>21</v>
      </c>
      <c r="B840" s="89">
        <v>1674</v>
      </c>
      <c r="C840" s="82">
        <v>1</v>
      </c>
      <c r="D840" s="83">
        <v>33793</v>
      </c>
      <c r="E840" s="84">
        <f t="shared" si="13"/>
        <v>1992</v>
      </c>
      <c r="F840" s="82" t="s">
        <v>22</v>
      </c>
      <c r="G840" s="82">
        <v>2</v>
      </c>
      <c r="H840" s="82">
        <v>8</v>
      </c>
      <c r="I840" s="82">
        <v>17</v>
      </c>
      <c r="J840" s="82">
        <v>7.5</v>
      </c>
    </row>
    <row r="841" spans="1:10" x14ac:dyDescent="0.2">
      <c r="A841" t="s">
        <v>21</v>
      </c>
      <c r="B841" s="89">
        <v>1674</v>
      </c>
      <c r="C841" s="82">
        <v>1</v>
      </c>
      <c r="D841" s="83">
        <v>33793</v>
      </c>
      <c r="E841" s="84">
        <f t="shared" si="13"/>
        <v>1992</v>
      </c>
      <c r="F841" s="82" t="s">
        <v>22</v>
      </c>
      <c r="G841" s="82">
        <v>2</v>
      </c>
      <c r="H841" s="82">
        <v>9</v>
      </c>
      <c r="I841" s="82">
        <v>17</v>
      </c>
      <c r="J841" s="82">
        <v>7.4</v>
      </c>
    </row>
    <row r="842" spans="1:10" x14ac:dyDescent="0.2">
      <c r="A842" t="s">
        <v>21</v>
      </c>
      <c r="B842" s="89">
        <v>1674</v>
      </c>
      <c r="C842" s="82">
        <v>1</v>
      </c>
      <c r="D842" s="83">
        <v>33793</v>
      </c>
      <c r="E842" s="84">
        <f t="shared" si="13"/>
        <v>1992</v>
      </c>
      <c r="F842" s="82" t="s">
        <v>22</v>
      </c>
      <c r="G842" s="82">
        <v>2</v>
      </c>
      <c r="H842" s="82">
        <v>10</v>
      </c>
      <c r="I842" s="82">
        <v>17</v>
      </c>
      <c r="J842" s="82">
        <v>7.4</v>
      </c>
    </row>
    <row r="843" spans="1:10" x14ac:dyDescent="0.2">
      <c r="A843" t="s">
        <v>21</v>
      </c>
      <c r="B843" s="89">
        <v>1674</v>
      </c>
      <c r="C843" s="82">
        <v>1</v>
      </c>
      <c r="D843" s="83">
        <v>33793</v>
      </c>
      <c r="E843" s="84">
        <f t="shared" si="13"/>
        <v>1992</v>
      </c>
      <c r="F843" s="82" t="s">
        <v>22</v>
      </c>
      <c r="G843" s="82">
        <v>2</v>
      </c>
      <c r="H843" s="82">
        <v>11</v>
      </c>
      <c r="I843" s="82">
        <v>16.899999999999999</v>
      </c>
      <c r="J843" s="82">
        <v>6.7</v>
      </c>
    </row>
    <row r="844" spans="1:10" x14ac:dyDescent="0.2">
      <c r="A844" t="s">
        <v>21</v>
      </c>
      <c r="B844" s="89">
        <v>1674</v>
      </c>
      <c r="C844" s="82">
        <v>1</v>
      </c>
      <c r="D844" s="83">
        <v>33793</v>
      </c>
      <c r="E844" s="84">
        <f t="shared" si="13"/>
        <v>1992</v>
      </c>
      <c r="F844" s="82" t="s">
        <v>22</v>
      </c>
      <c r="G844" s="82">
        <v>2</v>
      </c>
      <c r="H844" s="82">
        <v>12</v>
      </c>
      <c r="I844" s="82">
        <v>15.9</v>
      </c>
      <c r="J844" s="82">
        <v>4.0999999999999996</v>
      </c>
    </row>
    <row r="845" spans="1:10" x14ac:dyDescent="0.2">
      <c r="A845" t="s">
        <v>21</v>
      </c>
      <c r="B845" s="89">
        <v>1674</v>
      </c>
      <c r="C845" s="82">
        <v>1</v>
      </c>
      <c r="D845" s="83">
        <v>33793</v>
      </c>
      <c r="E845" s="84">
        <f t="shared" si="13"/>
        <v>1992</v>
      </c>
      <c r="F845" s="82" t="s">
        <v>22</v>
      </c>
      <c r="G845" s="82">
        <v>2</v>
      </c>
      <c r="H845" s="82">
        <v>13</v>
      </c>
      <c r="I845" s="82">
        <v>13</v>
      </c>
      <c r="J845" s="82">
        <v>0.1</v>
      </c>
    </row>
    <row r="846" spans="1:10" x14ac:dyDescent="0.2">
      <c r="A846" t="s">
        <v>21</v>
      </c>
      <c r="B846" s="89">
        <v>1674</v>
      </c>
      <c r="C846" s="82">
        <v>1</v>
      </c>
      <c r="D846" s="83">
        <v>33793</v>
      </c>
      <c r="E846" s="84">
        <f t="shared" si="13"/>
        <v>1992</v>
      </c>
      <c r="F846" s="82" t="s">
        <v>22</v>
      </c>
      <c r="G846" s="82">
        <v>2</v>
      </c>
      <c r="H846" s="82">
        <v>14</v>
      </c>
      <c r="I846" s="82">
        <v>11.3</v>
      </c>
      <c r="J846" s="82">
        <v>0</v>
      </c>
    </row>
    <row r="847" spans="1:10" x14ac:dyDescent="0.2">
      <c r="A847" t="s">
        <v>21</v>
      </c>
      <c r="B847" s="89">
        <v>1674</v>
      </c>
      <c r="C847" s="82">
        <v>1</v>
      </c>
      <c r="D847" s="83">
        <v>33805</v>
      </c>
      <c r="E847" s="84">
        <f t="shared" si="13"/>
        <v>1992</v>
      </c>
      <c r="F847" s="82" t="s">
        <v>22</v>
      </c>
      <c r="G847" s="82">
        <v>2</v>
      </c>
      <c r="H847" s="82">
        <v>0</v>
      </c>
      <c r="I847" s="82">
        <v>21</v>
      </c>
      <c r="J847" s="82">
        <v>9.6999999999999993</v>
      </c>
    </row>
    <row r="848" spans="1:10" x14ac:dyDescent="0.2">
      <c r="A848" t="s">
        <v>21</v>
      </c>
      <c r="B848" s="89">
        <v>1674</v>
      </c>
      <c r="C848" s="82">
        <v>1</v>
      </c>
      <c r="D848" s="83">
        <v>33805</v>
      </c>
      <c r="E848" s="84">
        <f t="shared" si="13"/>
        <v>1992</v>
      </c>
      <c r="F848" s="82" t="s">
        <v>22</v>
      </c>
      <c r="G848" s="82">
        <v>2</v>
      </c>
      <c r="H848" s="82">
        <v>1</v>
      </c>
      <c r="I848" s="82">
        <v>20</v>
      </c>
      <c r="J848" s="82">
        <v>10</v>
      </c>
    </row>
    <row r="849" spans="1:10" x14ac:dyDescent="0.2">
      <c r="A849" t="s">
        <v>21</v>
      </c>
      <c r="B849" s="89">
        <v>1674</v>
      </c>
      <c r="C849" s="82">
        <v>1</v>
      </c>
      <c r="D849" s="83">
        <v>33805</v>
      </c>
      <c r="E849" s="84">
        <f t="shared" si="13"/>
        <v>1992</v>
      </c>
      <c r="F849" s="82" t="s">
        <v>22</v>
      </c>
      <c r="G849" s="82">
        <v>2</v>
      </c>
      <c r="H849" s="82">
        <v>2</v>
      </c>
      <c r="I849" s="82">
        <v>19.7</v>
      </c>
      <c r="J849" s="82">
        <v>10</v>
      </c>
    </row>
    <row r="850" spans="1:10" x14ac:dyDescent="0.2">
      <c r="A850" t="s">
        <v>21</v>
      </c>
      <c r="B850" s="89">
        <v>1674</v>
      </c>
      <c r="C850" s="82">
        <v>1</v>
      </c>
      <c r="D850" s="83">
        <v>33805</v>
      </c>
      <c r="E850" s="84">
        <f t="shared" si="13"/>
        <v>1992</v>
      </c>
      <c r="F850" s="82" t="s">
        <v>22</v>
      </c>
      <c r="G850" s="82">
        <v>2</v>
      </c>
      <c r="H850" s="82">
        <v>3</v>
      </c>
      <c r="I850" s="82">
        <v>19.5</v>
      </c>
      <c r="J850" s="82">
        <v>10</v>
      </c>
    </row>
    <row r="851" spans="1:10" x14ac:dyDescent="0.2">
      <c r="A851" t="s">
        <v>21</v>
      </c>
      <c r="B851" s="89">
        <v>1674</v>
      </c>
      <c r="C851" s="82">
        <v>1</v>
      </c>
      <c r="D851" s="83">
        <v>33805</v>
      </c>
      <c r="E851" s="84">
        <f t="shared" si="13"/>
        <v>1992</v>
      </c>
      <c r="F851" s="82" t="s">
        <v>22</v>
      </c>
      <c r="G851" s="82">
        <v>2</v>
      </c>
      <c r="H851" s="82">
        <v>4</v>
      </c>
      <c r="I851" s="82">
        <v>19</v>
      </c>
      <c r="J851" s="82">
        <v>9.8000000000000007</v>
      </c>
    </row>
    <row r="852" spans="1:10" x14ac:dyDescent="0.2">
      <c r="A852" t="s">
        <v>21</v>
      </c>
      <c r="B852" s="89">
        <v>1674</v>
      </c>
      <c r="C852" s="82">
        <v>1</v>
      </c>
      <c r="D852" s="83">
        <v>33805</v>
      </c>
      <c r="E852" s="84">
        <f t="shared" si="13"/>
        <v>1992</v>
      </c>
      <c r="F852" s="82" t="s">
        <v>22</v>
      </c>
      <c r="G852" s="82">
        <v>2</v>
      </c>
      <c r="H852" s="82">
        <v>5</v>
      </c>
      <c r="I852" s="82">
        <v>18.2</v>
      </c>
      <c r="J852" s="82">
        <v>9.8000000000000007</v>
      </c>
    </row>
    <row r="853" spans="1:10" x14ac:dyDescent="0.2">
      <c r="A853" t="s">
        <v>21</v>
      </c>
      <c r="B853" s="89">
        <v>1674</v>
      </c>
      <c r="C853" s="82">
        <v>1</v>
      </c>
      <c r="D853" s="83">
        <v>33805</v>
      </c>
      <c r="E853" s="84">
        <f t="shared" si="13"/>
        <v>1992</v>
      </c>
      <c r="F853" s="82" t="s">
        <v>22</v>
      </c>
      <c r="G853" s="82">
        <v>2</v>
      </c>
      <c r="H853" s="82">
        <v>6</v>
      </c>
      <c r="I853" s="82">
        <v>18</v>
      </c>
      <c r="J853" s="82">
        <v>9.1</v>
      </c>
    </row>
    <row r="854" spans="1:10" x14ac:dyDescent="0.2">
      <c r="A854" t="s">
        <v>21</v>
      </c>
      <c r="B854" s="89">
        <v>1674</v>
      </c>
      <c r="C854" s="82">
        <v>1</v>
      </c>
      <c r="D854" s="83">
        <v>33805</v>
      </c>
      <c r="E854" s="84">
        <f t="shared" si="13"/>
        <v>1992</v>
      </c>
      <c r="F854" s="82" t="s">
        <v>22</v>
      </c>
      <c r="G854" s="82">
        <v>2</v>
      </c>
      <c r="H854" s="82">
        <v>7</v>
      </c>
      <c r="I854" s="82">
        <v>18</v>
      </c>
      <c r="J854" s="82">
        <v>8.6</v>
      </c>
    </row>
    <row r="855" spans="1:10" x14ac:dyDescent="0.2">
      <c r="A855" t="s">
        <v>21</v>
      </c>
      <c r="B855" s="89">
        <v>1674</v>
      </c>
      <c r="C855" s="82">
        <v>1</v>
      </c>
      <c r="D855" s="83">
        <v>33805</v>
      </c>
      <c r="E855" s="84">
        <f t="shared" si="13"/>
        <v>1992</v>
      </c>
      <c r="F855" s="82" t="s">
        <v>22</v>
      </c>
      <c r="G855" s="82">
        <v>2</v>
      </c>
      <c r="H855" s="82">
        <v>8</v>
      </c>
      <c r="I855" s="82">
        <v>17.8</v>
      </c>
      <c r="J855" s="82">
        <v>8.3000000000000007</v>
      </c>
    </row>
    <row r="856" spans="1:10" x14ac:dyDescent="0.2">
      <c r="A856" t="s">
        <v>21</v>
      </c>
      <c r="B856" s="89">
        <v>1674</v>
      </c>
      <c r="C856" s="82">
        <v>1</v>
      </c>
      <c r="D856" s="83">
        <v>33805</v>
      </c>
      <c r="E856" s="84">
        <f t="shared" si="13"/>
        <v>1992</v>
      </c>
      <c r="F856" s="82" t="s">
        <v>22</v>
      </c>
      <c r="G856" s="82">
        <v>2</v>
      </c>
      <c r="H856" s="82">
        <v>9</v>
      </c>
      <c r="I856" s="82">
        <v>17.100000000000001</v>
      </c>
      <c r="J856" s="82">
        <v>6.9</v>
      </c>
    </row>
    <row r="857" spans="1:10" x14ac:dyDescent="0.2">
      <c r="A857" t="s">
        <v>21</v>
      </c>
      <c r="B857" s="89">
        <v>1674</v>
      </c>
      <c r="C857" s="82">
        <v>1</v>
      </c>
      <c r="D857" s="83">
        <v>33805</v>
      </c>
      <c r="E857" s="84">
        <f t="shared" si="13"/>
        <v>1992</v>
      </c>
      <c r="F857" s="82" t="s">
        <v>22</v>
      </c>
      <c r="G857" s="82">
        <v>2</v>
      </c>
      <c r="H857" s="82">
        <v>10</v>
      </c>
      <c r="I857" s="82">
        <v>17</v>
      </c>
      <c r="J857" s="82">
        <v>6.5</v>
      </c>
    </row>
    <row r="858" spans="1:10" x14ac:dyDescent="0.2">
      <c r="A858" t="s">
        <v>21</v>
      </c>
      <c r="B858" s="89">
        <v>1674</v>
      </c>
      <c r="C858" s="82">
        <v>1</v>
      </c>
      <c r="D858" s="83">
        <v>33805</v>
      </c>
      <c r="E858" s="84">
        <f t="shared" si="13"/>
        <v>1992</v>
      </c>
      <c r="F858" s="82" t="s">
        <v>22</v>
      </c>
      <c r="G858" s="82">
        <v>2</v>
      </c>
      <c r="H858" s="82">
        <v>11</v>
      </c>
      <c r="I858" s="82">
        <v>17</v>
      </c>
      <c r="J858" s="82">
        <v>6.5</v>
      </c>
    </row>
    <row r="859" spans="1:10" x14ac:dyDescent="0.2">
      <c r="A859" t="s">
        <v>21</v>
      </c>
      <c r="B859" s="89">
        <v>1674</v>
      </c>
      <c r="C859" s="82">
        <v>1</v>
      </c>
      <c r="D859" s="83">
        <v>33805</v>
      </c>
      <c r="E859" s="84">
        <f t="shared" si="13"/>
        <v>1992</v>
      </c>
      <c r="F859" s="82" t="s">
        <v>22</v>
      </c>
      <c r="G859" s="82">
        <v>2</v>
      </c>
      <c r="H859" s="82">
        <v>12</v>
      </c>
      <c r="I859" s="82">
        <v>16.100000000000001</v>
      </c>
      <c r="J859" s="82">
        <v>3.2</v>
      </c>
    </row>
    <row r="860" spans="1:10" x14ac:dyDescent="0.2">
      <c r="A860" t="s">
        <v>21</v>
      </c>
      <c r="B860" s="89">
        <v>1674</v>
      </c>
      <c r="C860" s="82">
        <v>1</v>
      </c>
      <c r="D860" s="83">
        <v>33805</v>
      </c>
      <c r="E860" s="84">
        <f t="shared" si="13"/>
        <v>1992</v>
      </c>
      <c r="F860" s="82" t="s">
        <v>22</v>
      </c>
      <c r="G860" s="82">
        <v>2</v>
      </c>
      <c r="H860" s="82">
        <v>13</v>
      </c>
      <c r="I860" s="82">
        <v>15.6</v>
      </c>
      <c r="J860" s="82">
        <v>2.2000000000000002</v>
      </c>
    </row>
    <row r="861" spans="1:10" x14ac:dyDescent="0.2">
      <c r="A861" t="s">
        <v>21</v>
      </c>
      <c r="B861" s="89">
        <v>1674</v>
      </c>
      <c r="C861" s="82">
        <v>1</v>
      </c>
      <c r="D861" s="83">
        <v>33805</v>
      </c>
      <c r="E861" s="84">
        <f t="shared" si="13"/>
        <v>1992</v>
      </c>
      <c r="F861" s="82" t="s">
        <v>22</v>
      </c>
      <c r="G861" s="82">
        <v>2</v>
      </c>
      <c r="H861" s="82">
        <v>14</v>
      </c>
      <c r="I861" s="82">
        <v>15</v>
      </c>
      <c r="J861" s="82">
        <v>0.2</v>
      </c>
    </row>
    <row r="862" spans="1:10" x14ac:dyDescent="0.2">
      <c r="A862" t="s">
        <v>21</v>
      </c>
      <c r="B862" s="89">
        <v>1674</v>
      </c>
      <c r="C862" s="82">
        <v>1</v>
      </c>
      <c r="D862" s="83">
        <v>33815</v>
      </c>
      <c r="E862" s="84">
        <f t="shared" si="13"/>
        <v>1992</v>
      </c>
      <c r="F862" s="82" t="s">
        <v>22</v>
      </c>
      <c r="G862" s="82">
        <v>2</v>
      </c>
      <c r="H862" s="82">
        <v>0</v>
      </c>
      <c r="I862" s="82">
        <v>19.2</v>
      </c>
      <c r="J862" s="82">
        <v>9.8000000000000007</v>
      </c>
    </row>
    <row r="863" spans="1:10" x14ac:dyDescent="0.2">
      <c r="A863" t="s">
        <v>21</v>
      </c>
      <c r="B863" s="89">
        <v>1674</v>
      </c>
      <c r="C863" s="82">
        <v>1</v>
      </c>
      <c r="D863" s="83">
        <v>33815</v>
      </c>
      <c r="E863" s="84">
        <f t="shared" si="13"/>
        <v>1992</v>
      </c>
      <c r="F863" s="82" t="s">
        <v>22</v>
      </c>
      <c r="G863" s="82">
        <v>2</v>
      </c>
      <c r="H863" s="82">
        <v>1</v>
      </c>
      <c r="I863" s="82">
        <v>19.2</v>
      </c>
      <c r="J863" s="82">
        <v>9.8000000000000007</v>
      </c>
    </row>
    <row r="864" spans="1:10" x14ac:dyDescent="0.2">
      <c r="A864" t="s">
        <v>21</v>
      </c>
      <c r="B864" s="89">
        <v>1674</v>
      </c>
      <c r="C864" s="82">
        <v>1</v>
      </c>
      <c r="D864" s="83">
        <v>33815</v>
      </c>
      <c r="E864" s="84">
        <f t="shared" si="13"/>
        <v>1992</v>
      </c>
      <c r="F864" s="82" t="s">
        <v>22</v>
      </c>
      <c r="G864" s="82">
        <v>2</v>
      </c>
      <c r="H864" s="82">
        <v>3</v>
      </c>
      <c r="I864" s="82">
        <v>19.2</v>
      </c>
      <c r="J864" s="82">
        <v>9.8000000000000007</v>
      </c>
    </row>
    <row r="865" spans="1:10" x14ac:dyDescent="0.2">
      <c r="A865" t="s">
        <v>21</v>
      </c>
      <c r="B865" s="89">
        <v>1674</v>
      </c>
      <c r="C865" s="82">
        <v>1</v>
      </c>
      <c r="D865" s="83">
        <v>33815</v>
      </c>
      <c r="E865" s="84">
        <f t="shared" si="13"/>
        <v>1992</v>
      </c>
      <c r="F865" s="82" t="s">
        <v>22</v>
      </c>
      <c r="G865" s="82">
        <v>2</v>
      </c>
      <c r="H865" s="82">
        <v>5</v>
      </c>
      <c r="I865" s="82">
        <v>19</v>
      </c>
      <c r="J865" s="82">
        <v>9.8000000000000007</v>
      </c>
    </row>
    <row r="866" spans="1:10" x14ac:dyDescent="0.2">
      <c r="A866" t="s">
        <v>21</v>
      </c>
      <c r="B866" s="89">
        <v>1674</v>
      </c>
      <c r="C866" s="82">
        <v>1</v>
      </c>
      <c r="D866" s="83">
        <v>33815</v>
      </c>
      <c r="E866" s="84">
        <f t="shared" si="13"/>
        <v>1992</v>
      </c>
      <c r="F866" s="82" t="s">
        <v>22</v>
      </c>
      <c r="G866" s="82">
        <v>2</v>
      </c>
      <c r="H866" s="82">
        <v>6</v>
      </c>
      <c r="I866" s="82">
        <v>19</v>
      </c>
      <c r="J866" s="82">
        <v>9.8000000000000007</v>
      </c>
    </row>
    <row r="867" spans="1:10" x14ac:dyDescent="0.2">
      <c r="A867" t="s">
        <v>21</v>
      </c>
      <c r="B867" s="89">
        <v>1674</v>
      </c>
      <c r="C867" s="82">
        <v>1</v>
      </c>
      <c r="D867" s="83">
        <v>33815</v>
      </c>
      <c r="E867" s="84">
        <f t="shared" si="13"/>
        <v>1992</v>
      </c>
      <c r="F867" s="82" t="s">
        <v>22</v>
      </c>
      <c r="G867" s="82">
        <v>2</v>
      </c>
      <c r="H867" s="82">
        <v>7</v>
      </c>
      <c r="I867" s="82">
        <v>19</v>
      </c>
      <c r="J867" s="82">
        <v>9.8000000000000007</v>
      </c>
    </row>
    <row r="868" spans="1:10" x14ac:dyDescent="0.2">
      <c r="A868" t="s">
        <v>21</v>
      </c>
      <c r="B868" s="89">
        <v>1674</v>
      </c>
      <c r="C868" s="82">
        <v>1</v>
      </c>
      <c r="D868" s="83">
        <v>33815</v>
      </c>
      <c r="E868" s="84">
        <f t="shared" si="13"/>
        <v>1992</v>
      </c>
      <c r="F868" s="82" t="s">
        <v>22</v>
      </c>
      <c r="G868" s="82">
        <v>2</v>
      </c>
      <c r="H868" s="82">
        <v>8</v>
      </c>
      <c r="I868" s="82">
        <v>18.2</v>
      </c>
      <c r="J868" s="82">
        <v>8.1999999999999993</v>
      </c>
    </row>
    <row r="869" spans="1:10" x14ac:dyDescent="0.2">
      <c r="A869" t="s">
        <v>21</v>
      </c>
      <c r="B869" s="89">
        <v>1674</v>
      </c>
      <c r="C869" s="82">
        <v>1</v>
      </c>
      <c r="D869" s="83">
        <v>33815</v>
      </c>
      <c r="E869" s="84">
        <f t="shared" si="13"/>
        <v>1992</v>
      </c>
      <c r="F869" s="82" t="s">
        <v>22</v>
      </c>
      <c r="G869" s="82">
        <v>2</v>
      </c>
      <c r="H869" s="82">
        <v>9</v>
      </c>
      <c r="I869" s="82">
        <v>17.2</v>
      </c>
      <c r="J869" s="82">
        <v>6.2</v>
      </c>
    </row>
    <row r="870" spans="1:10" x14ac:dyDescent="0.2">
      <c r="A870" t="s">
        <v>21</v>
      </c>
      <c r="B870" s="89">
        <v>1674</v>
      </c>
      <c r="C870" s="82">
        <v>1</v>
      </c>
      <c r="D870" s="83">
        <v>33815</v>
      </c>
      <c r="E870" s="84">
        <f t="shared" si="13"/>
        <v>1992</v>
      </c>
      <c r="F870" s="82" t="s">
        <v>22</v>
      </c>
      <c r="G870" s="82">
        <v>2</v>
      </c>
      <c r="H870" s="82">
        <v>10</v>
      </c>
      <c r="I870" s="82">
        <v>17.2</v>
      </c>
      <c r="J870" s="82">
        <v>5.7</v>
      </c>
    </row>
    <row r="871" spans="1:10" x14ac:dyDescent="0.2">
      <c r="A871" t="s">
        <v>21</v>
      </c>
      <c r="B871" s="89">
        <v>1674</v>
      </c>
      <c r="C871" s="82">
        <v>1</v>
      </c>
      <c r="D871" s="83">
        <v>33815</v>
      </c>
      <c r="E871" s="84">
        <f t="shared" si="13"/>
        <v>1992</v>
      </c>
      <c r="F871" s="82" t="s">
        <v>22</v>
      </c>
      <c r="G871" s="82">
        <v>2</v>
      </c>
      <c r="H871" s="82">
        <v>11</v>
      </c>
      <c r="I871" s="82">
        <v>16.8</v>
      </c>
      <c r="J871" s="82">
        <v>5.2</v>
      </c>
    </row>
    <row r="872" spans="1:10" x14ac:dyDescent="0.2">
      <c r="A872" t="s">
        <v>21</v>
      </c>
      <c r="B872" s="89">
        <v>1674</v>
      </c>
      <c r="C872" s="82">
        <v>1</v>
      </c>
      <c r="D872" s="83">
        <v>33815</v>
      </c>
      <c r="E872" s="84">
        <f t="shared" si="13"/>
        <v>1992</v>
      </c>
      <c r="F872" s="82" t="s">
        <v>22</v>
      </c>
      <c r="G872" s="82">
        <v>2</v>
      </c>
      <c r="H872" s="82">
        <v>12</v>
      </c>
      <c r="I872" s="82">
        <v>16.2</v>
      </c>
      <c r="J872" s="82">
        <v>4</v>
      </c>
    </row>
    <row r="873" spans="1:10" x14ac:dyDescent="0.2">
      <c r="A873" t="s">
        <v>21</v>
      </c>
      <c r="B873" s="89">
        <v>1674</v>
      </c>
      <c r="C873" s="82">
        <v>1</v>
      </c>
      <c r="D873" s="83">
        <v>33815</v>
      </c>
      <c r="E873" s="84">
        <f t="shared" si="13"/>
        <v>1992</v>
      </c>
      <c r="F873" s="82" t="s">
        <v>22</v>
      </c>
      <c r="G873" s="82">
        <v>2</v>
      </c>
      <c r="H873" s="82">
        <v>13</v>
      </c>
      <c r="I873" s="82">
        <v>15.8</v>
      </c>
      <c r="J873" s="82">
        <v>1.6</v>
      </c>
    </row>
    <row r="874" spans="1:10" x14ac:dyDescent="0.2">
      <c r="A874" t="s">
        <v>21</v>
      </c>
      <c r="B874" s="89">
        <v>1674</v>
      </c>
      <c r="C874" s="82">
        <v>1</v>
      </c>
      <c r="D874" s="83">
        <v>33815</v>
      </c>
      <c r="E874" s="84">
        <f t="shared" si="13"/>
        <v>1992</v>
      </c>
      <c r="F874" s="82" t="s">
        <v>22</v>
      </c>
      <c r="G874" s="82">
        <v>2</v>
      </c>
      <c r="H874" s="82">
        <v>14</v>
      </c>
      <c r="I874" s="82">
        <v>15.2</v>
      </c>
      <c r="J874" s="82">
        <v>0.8</v>
      </c>
    </row>
    <row r="875" spans="1:10" x14ac:dyDescent="0.2">
      <c r="A875" t="s">
        <v>21</v>
      </c>
      <c r="B875" s="89">
        <v>1674</v>
      </c>
      <c r="C875" s="82">
        <v>1</v>
      </c>
      <c r="D875" s="83">
        <v>33829</v>
      </c>
      <c r="E875" s="84">
        <f t="shared" si="13"/>
        <v>1992</v>
      </c>
      <c r="F875" s="82" t="s">
        <v>22</v>
      </c>
      <c r="G875" s="82">
        <v>2</v>
      </c>
      <c r="H875" s="82">
        <v>0</v>
      </c>
      <c r="I875" s="82">
        <v>18.5</v>
      </c>
      <c r="J875" s="82">
        <v>9</v>
      </c>
    </row>
    <row r="876" spans="1:10" x14ac:dyDescent="0.2">
      <c r="A876" t="s">
        <v>21</v>
      </c>
      <c r="B876" s="89">
        <v>1674</v>
      </c>
      <c r="C876" s="82">
        <v>1</v>
      </c>
      <c r="D876" s="83">
        <v>33829</v>
      </c>
      <c r="E876" s="84">
        <f t="shared" si="13"/>
        <v>1992</v>
      </c>
      <c r="F876" s="82" t="s">
        <v>22</v>
      </c>
      <c r="G876" s="82">
        <v>2</v>
      </c>
      <c r="H876" s="82">
        <v>1</v>
      </c>
      <c r="I876" s="82">
        <v>8.4</v>
      </c>
      <c r="J876" s="82">
        <v>9.1</v>
      </c>
    </row>
    <row r="877" spans="1:10" x14ac:dyDescent="0.2">
      <c r="A877" t="s">
        <v>21</v>
      </c>
      <c r="B877" s="89">
        <v>1674</v>
      </c>
      <c r="C877" s="82">
        <v>1</v>
      </c>
      <c r="D877" s="83">
        <v>33829</v>
      </c>
      <c r="E877" s="84">
        <f t="shared" si="13"/>
        <v>1992</v>
      </c>
      <c r="F877" s="82" t="s">
        <v>22</v>
      </c>
      <c r="G877" s="82">
        <v>2</v>
      </c>
      <c r="H877" s="82">
        <v>2</v>
      </c>
      <c r="I877" s="82">
        <v>17.5</v>
      </c>
      <c r="J877" s="82">
        <v>9</v>
      </c>
    </row>
    <row r="878" spans="1:10" x14ac:dyDescent="0.2">
      <c r="A878" t="s">
        <v>21</v>
      </c>
      <c r="B878" s="89">
        <v>1674</v>
      </c>
      <c r="C878" s="82">
        <v>1</v>
      </c>
      <c r="D878" s="83">
        <v>33829</v>
      </c>
      <c r="E878" s="84">
        <f t="shared" si="13"/>
        <v>1992</v>
      </c>
      <c r="F878" s="82" t="s">
        <v>22</v>
      </c>
      <c r="G878" s="82">
        <v>2</v>
      </c>
      <c r="H878" s="82">
        <v>3</v>
      </c>
      <c r="I878" s="82">
        <v>17.399999999999999</v>
      </c>
      <c r="J878" s="82">
        <v>8.6999999999999993</v>
      </c>
    </row>
    <row r="879" spans="1:10" x14ac:dyDescent="0.2">
      <c r="A879" t="s">
        <v>21</v>
      </c>
      <c r="B879" s="89">
        <v>1674</v>
      </c>
      <c r="C879" s="82">
        <v>1</v>
      </c>
      <c r="D879" s="83">
        <v>33829</v>
      </c>
      <c r="E879" s="84">
        <f t="shared" si="13"/>
        <v>1992</v>
      </c>
      <c r="F879" s="82" t="s">
        <v>22</v>
      </c>
      <c r="G879" s="82">
        <v>2</v>
      </c>
      <c r="H879" s="82">
        <v>4</v>
      </c>
      <c r="I879" s="82">
        <v>17.399999999999999</v>
      </c>
      <c r="J879" s="82">
        <v>8.6</v>
      </c>
    </row>
    <row r="880" spans="1:10" x14ac:dyDescent="0.2">
      <c r="A880" t="s">
        <v>21</v>
      </c>
      <c r="B880" s="89">
        <v>1674</v>
      </c>
      <c r="C880" s="82">
        <v>1</v>
      </c>
      <c r="D880" s="83">
        <v>33829</v>
      </c>
      <c r="E880" s="84">
        <f t="shared" si="13"/>
        <v>1992</v>
      </c>
      <c r="F880" s="82" t="s">
        <v>22</v>
      </c>
      <c r="G880" s="82">
        <v>2</v>
      </c>
      <c r="H880" s="82">
        <v>5</v>
      </c>
      <c r="I880" s="82">
        <v>17.3</v>
      </c>
      <c r="J880" s="82">
        <v>8.6</v>
      </c>
    </row>
    <row r="881" spans="1:10" x14ac:dyDescent="0.2">
      <c r="A881" t="s">
        <v>21</v>
      </c>
      <c r="B881" s="89">
        <v>1674</v>
      </c>
      <c r="C881" s="82">
        <v>1</v>
      </c>
      <c r="D881" s="83">
        <v>33829</v>
      </c>
      <c r="E881" s="84">
        <f t="shared" si="13"/>
        <v>1992</v>
      </c>
      <c r="F881" s="82" t="s">
        <v>22</v>
      </c>
      <c r="G881" s="82">
        <v>2</v>
      </c>
      <c r="H881" s="82">
        <v>6</v>
      </c>
      <c r="I881" s="82">
        <v>17.3</v>
      </c>
      <c r="J881" s="82">
        <v>8.6</v>
      </c>
    </row>
    <row r="882" spans="1:10" x14ac:dyDescent="0.2">
      <c r="A882" t="s">
        <v>21</v>
      </c>
      <c r="B882" s="89">
        <v>1674</v>
      </c>
      <c r="C882" s="82">
        <v>1</v>
      </c>
      <c r="D882" s="83">
        <v>33829</v>
      </c>
      <c r="E882" s="84">
        <f t="shared" si="13"/>
        <v>1992</v>
      </c>
      <c r="F882" s="82" t="s">
        <v>22</v>
      </c>
      <c r="G882" s="82">
        <v>2</v>
      </c>
      <c r="H882" s="82">
        <v>7</v>
      </c>
      <c r="I882" s="82">
        <v>17.3</v>
      </c>
      <c r="J882" s="82">
        <v>8.6</v>
      </c>
    </row>
    <row r="883" spans="1:10" x14ac:dyDescent="0.2">
      <c r="A883" t="s">
        <v>21</v>
      </c>
      <c r="B883" s="89">
        <v>1674</v>
      </c>
      <c r="C883" s="82">
        <v>1</v>
      </c>
      <c r="D883" s="83">
        <v>33829</v>
      </c>
      <c r="E883" s="84">
        <f t="shared" si="13"/>
        <v>1992</v>
      </c>
      <c r="F883" s="82" t="s">
        <v>22</v>
      </c>
      <c r="G883" s="82">
        <v>2</v>
      </c>
      <c r="H883" s="82">
        <v>8</v>
      </c>
      <c r="I883" s="82">
        <v>17.3</v>
      </c>
      <c r="J883" s="82">
        <v>8.6999999999999993</v>
      </c>
    </row>
    <row r="884" spans="1:10" x14ac:dyDescent="0.2">
      <c r="A884" t="s">
        <v>21</v>
      </c>
      <c r="B884" s="89">
        <v>1674</v>
      </c>
      <c r="C884" s="82">
        <v>1</v>
      </c>
      <c r="D884" s="83">
        <v>33829</v>
      </c>
      <c r="E884" s="84">
        <f t="shared" si="13"/>
        <v>1992</v>
      </c>
      <c r="F884" s="82" t="s">
        <v>22</v>
      </c>
      <c r="G884" s="82">
        <v>2</v>
      </c>
      <c r="H884" s="82">
        <v>9</v>
      </c>
      <c r="I884" s="82">
        <v>17.2</v>
      </c>
      <c r="J884" s="82">
        <v>8.6999999999999993</v>
      </c>
    </row>
    <row r="885" spans="1:10" x14ac:dyDescent="0.2">
      <c r="A885" t="s">
        <v>21</v>
      </c>
      <c r="B885" s="89">
        <v>1674</v>
      </c>
      <c r="C885" s="82">
        <v>1</v>
      </c>
      <c r="D885" s="83">
        <v>33829</v>
      </c>
      <c r="E885" s="84">
        <f t="shared" si="13"/>
        <v>1992</v>
      </c>
      <c r="F885" s="82" t="s">
        <v>22</v>
      </c>
      <c r="G885" s="82">
        <v>2</v>
      </c>
      <c r="H885" s="82">
        <v>10</v>
      </c>
      <c r="I885" s="82">
        <v>17.100000000000001</v>
      </c>
      <c r="J885" s="82">
        <v>8.3000000000000007</v>
      </c>
    </row>
    <row r="886" spans="1:10" x14ac:dyDescent="0.2">
      <c r="A886" t="s">
        <v>21</v>
      </c>
      <c r="B886" s="89">
        <v>1674</v>
      </c>
      <c r="C886" s="82">
        <v>1</v>
      </c>
      <c r="D886" s="83">
        <v>33829</v>
      </c>
      <c r="E886" s="84">
        <f t="shared" si="13"/>
        <v>1992</v>
      </c>
      <c r="F886" s="82" t="s">
        <v>22</v>
      </c>
      <c r="G886" s="82">
        <v>2</v>
      </c>
      <c r="H886" s="82">
        <v>11</v>
      </c>
      <c r="I886" s="82">
        <v>16.8</v>
      </c>
      <c r="J886" s="82">
        <v>7.7</v>
      </c>
    </row>
    <row r="887" spans="1:10" x14ac:dyDescent="0.2">
      <c r="A887" t="s">
        <v>21</v>
      </c>
      <c r="B887" s="89">
        <v>1674</v>
      </c>
      <c r="C887" s="82">
        <v>1</v>
      </c>
      <c r="D887" s="83">
        <v>33829</v>
      </c>
      <c r="E887" s="84">
        <f t="shared" si="13"/>
        <v>1992</v>
      </c>
      <c r="F887" s="82" t="s">
        <v>22</v>
      </c>
      <c r="G887" s="82">
        <v>2</v>
      </c>
      <c r="H887" s="82">
        <v>12</v>
      </c>
      <c r="I887" s="82">
        <v>16.100000000000001</v>
      </c>
      <c r="J887" s="82">
        <v>3</v>
      </c>
    </row>
    <row r="888" spans="1:10" x14ac:dyDescent="0.2">
      <c r="A888" t="s">
        <v>21</v>
      </c>
      <c r="B888" s="89">
        <v>1674</v>
      </c>
      <c r="C888" s="82">
        <v>1</v>
      </c>
      <c r="D888" s="83">
        <v>33829</v>
      </c>
      <c r="E888" s="84">
        <f t="shared" si="13"/>
        <v>1992</v>
      </c>
      <c r="F888" s="82" t="s">
        <v>22</v>
      </c>
      <c r="G888" s="82">
        <v>2</v>
      </c>
      <c r="H888" s="82">
        <v>13</v>
      </c>
      <c r="I888" s="82">
        <v>15.4</v>
      </c>
      <c r="J888" s="82">
        <v>0.4</v>
      </c>
    </row>
    <row r="889" spans="1:10" x14ac:dyDescent="0.2">
      <c r="A889" t="s">
        <v>21</v>
      </c>
      <c r="B889" s="89">
        <v>1674</v>
      </c>
      <c r="C889" s="82">
        <v>1</v>
      </c>
      <c r="D889" s="83">
        <v>33829</v>
      </c>
      <c r="E889" s="84">
        <f t="shared" si="13"/>
        <v>1992</v>
      </c>
      <c r="F889" s="82" t="s">
        <v>22</v>
      </c>
      <c r="G889" s="82">
        <v>2</v>
      </c>
      <c r="H889" s="82">
        <v>13.5</v>
      </c>
      <c r="I889" s="82">
        <v>15</v>
      </c>
      <c r="J889" s="82">
        <v>0.1</v>
      </c>
    </row>
    <row r="890" spans="1:10" x14ac:dyDescent="0.2">
      <c r="A890" t="s">
        <v>21</v>
      </c>
      <c r="B890" s="89">
        <v>1674</v>
      </c>
      <c r="C890" s="82">
        <v>1</v>
      </c>
      <c r="D890" s="83">
        <v>33862</v>
      </c>
      <c r="E890" s="84">
        <f t="shared" si="13"/>
        <v>1992</v>
      </c>
      <c r="F890" s="82" t="s">
        <v>22</v>
      </c>
      <c r="G890" s="82">
        <v>2</v>
      </c>
      <c r="H890" s="82">
        <v>0</v>
      </c>
      <c r="I890" s="82">
        <v>12.4</v>
      </c>
      <c r="J890" s="82">
        <v>10.4</v>
      </c>
    </row>
    <row r="891" spans="1:10" x14ac:dyDescent="0.2">
      <c r="A891" t="s">
        <v>21</v>
      </c>
      <c r="B891" s="89">
        <v>1674</v>
      </c>
      <c r="C891" s="82">
        <v>1</v>
      </c>
      <c r="D891" s="83">
        <v>33862</v>
      </c>
      <c r="E891" s="84">
        <f t="shared" si="13"/>
        <v>1992</v>
      </c>
      <c r="F891" s="82" t="s">
        <v>22</v>
      </c>
      <c r="G891" s="82">
        <v>2</v>
      </c>
      <c r="H891" s="82">
        <v>1</v>
      </c>
      <c r="I891" s="82">
        <v>12.3</v>
      </c>
      <c r="J891" s="82">
        <v>10.1</v>
      </c>
    </row>
    <row r="892" spans="1:10" x14ac:dyDescent="0.2">
      <c r="A892" t="s">
        <v>21</v>
      </c>
      <c r="B892" s="89">
        <v>1674</v>
      </c>
      <c r="C892" s="82">
        <v>1</v>
      </c>
      <c r="D892" s="83">
        <v>33862</v>
      </c>
      <c r="E892" s="84">
        <f t="shared" si="13"/>
        <v>1992</v>
      </c>
      <c r="F892" s="82" t="s">
        <v>22</v>
      </c>
      <c r="G892" s="82">
        <v>2</v>
      </c>
      <c r="H892" s="82">
        <v>2</v>
      </c>
      <c r="I892" s="82">
        <v>12.3</v>
      </c>
      <c r="J892" s="82">
        <v>10.4</v>
      </c>
    </row>
    <row r="893" spans="1:10" x14ac:dyDescent="0.2">
      <c r="A893" t="s">
        <v>21</v>
      </c>
      <c r="B893" s="89">
        <v>1674</v>
      </c>
      <c r="C893" s="82">
        <v>1</v>
      </c>
      <c r="D893" s="83">
        <v>33862</v>
      </c>
      <c r="E893" s="84">
        <f t="shared" si="13"/>
        <v>1992</v>
      </c>
      <c r="F893" s="82" t="s">
        <v>22</v>
      </c>
      <c r="G893" s="82">
        <v>2</v>
      </c>
      <c r="H893" s="82">
        <v>3</v>
      </c>
      <c r="I893" s="82">
        <v>12.3</v>
      </c>
      <c r="J893" s="82">
        <v>10.1</v>
      </c>
    </row>
    <row r="894" spans="1:10" x14ac:dyDescent="0.2">
      <c r="A894" t="s">
        <v>21</v>
      </c>
      <c r="B894" s="89">
        <v>1674</v>
      </c>
      <c r="C894" s="82">
        <v>1</v>
      </c>
      <c r="D894" s="83">
        <v>33862</v>
      </c>
      <c r="E894" s="84">
        <f t="shared" si="13"/>
        <v>1992</v>
      </c>
      <c r="F894" s="82" t="s">
        <v>22</v>
      </c>
      <c r="G894" s="82">
        <v>2</v>
      </c>
      <c r="H894" s="82">
        <v>4</v>
      </c>
      <c r="I894" s="82">
        <v>12.3</v>
      </c>
      <c r="J894" s="82">
        <v>10.4</v>
      </c>
    </row>
    <row r="895" spans="1:10" x14ac:dyDescent="0.2">
      <c r="A895" t="s">
        <v>21</v>
      </c>
      <c r="B895" s="89">
        <v>1674</v>
      </c>
      <c r="C895" s="82">
        <v>1</v>
      </c>
      <c r="D895" s="83">
        <v>33862</v>
      </c>
      <c r="E895" s="84">
        <f t="shared" si="13"/>
        <v>1992</v>
      </c>
      <c r="F895" s="82" t="s">
        <v>22</v>
      </c>
      <c r="G895" s="82">
        <v>2</v>
      </c>
      <c r="H895" s="82">
        <v>5</v>
      </c>
      <c r="I895" s="82">
        <v>12.3</v>
      </c>
      <c r="J895" s="82">
        <v>10.3</v>
      </c>
    </row>
    <row r="896" spans="1:10" x14ac:dyDescent="0.2">
      <c r="A896" t="s">
        <v>21</v>
      </c>
      <c r="B896" s="89">
        <v>1674</v>
      </c>
      <c r="C896" s="82">
        <v>1</v>
      </c>
      <c r="D896" s="83">
        <v>33862</v>
      </c>
      <c r="E896" s="84">
        <f t="shared" si="13"/>
        <v>1992</v>
      </c>
      <c r="F896" s="82" t="s">
        <v>22</v>
      </c>
      <c r="G896" s="82">
        <v>2</v>
      </c>
      <c r="H896" s="82">
        <v>6</v>
      </c>
      <c r="I896" s="82">
        <v>12.5</v>
      </c>
      <c r="J896" s="82">
        <v>10.199999999999999</v>
      </c>
    </row>
    <row r="897" spans="1:11" x14ac:dyDescent="0.2">
      <c r="A897" t="s">
        <v>21</v>
      </c>
      <c r="B897" s="89">
        <v>1674</v>
      </c>
      <c r="C897" s="82">
        <v>1</v>
      </c>
      <c r="D897" s="83">
        <v>33862</v>
      </c>
      <c r="E897" s="84">
        <f t="shared" si="13"/>
        <v>1992</v>
      </c>
      <c r="F897" s="82" t="s">
        <v>22</v>
      </c>
      <c r="G897" s="82">
        <v>2</v>
      </c>
      <c r="H897" s="82">
        <v>7</v>
      </c>
      <c r="I897" s="82">
        <v>12.9</v>
      </c>
      <c r="J897" s="82">
        <v>10.199999999999999</v>
      </c>
    </row>
    <row r="898" spans="1:11" x14ac:dyDescent="0.2">
      <c r="A898" t="s">
        <v>21</v>
      </c>
      <c r="B898" s="89">
        <v>1674</v>
      </c>
      <c r="C898" s="82">
        <v>1</v>
      </c>
      <c r="D898" s="83">
        <v>33862</v>
      </c>
      <c r="E898" s="84">
        <f t="shared" ref="E898:E961" si="14">YEAR(D898)</f>
        <v>1992</v>
      </c>
      <c r="F898" s="82" t="s">
        <v>22</v>
      </c>
      <c r="G898" s="82">
        <v>2</v>
      </c>
      <c r="H898" s="82">
        <v>8</v>
      </c>
      <c r="I898" s="82">
        <v>13</v>
      </c>
      <c r="J898" s="82">
        <v>10.199999999999999</v>
      </c>
    </row>
    <row r="899" spans="1:11" x14ac:dyDescent="0.2">
      <c r="A899" t="s">
        <v>21</v>
      </c>
      <c r="B899" s="89">
        <v>1674</v>
      </c>
      <c r="C899" s="82">
        <v>1</v>
      </c>
      <c r="D899" s="83">
        <v>33862</v>
      </c>
      <c r="E899" s="84">
        <f t="shared" si="14"/>
        <v>1992</v>
      </c>
      <c r="F899" s="82" t="s">
        <v>22</v>
      </c>
      <c r="G899" s="82">
        <v>2</v>
      </c>
      <c r="H899" s="82">
        <v>9</v>
      </c>
      <c r="I899" s="82">
        <v>13.3</v>
      </c>
      <c r="J899" s="82">
        <v>10.4</v>
      </c>
    </row>
    <row r="900" spans="1:11" x14ac:dyDescent="0.2">
      <c r="A900" t="s">
        <v>21</v>
      </c>
      <c r="B900" s="89">
        <v>1674</v>
      </c>
      <c r="C900" s="82">
        <v>1</v>
      </c>
      <c r="D900" s="83">
        <v>33862</v>
      </c>
      <c r="E900" s="84">
        <f t="shared" si="14"/>
        <v>1992</v>
      </c>
      <c r="F900" s="82" t="s">
        <v>22</v>
      </c>
      <c r="G900" s="82">
        <v>2</v>
      </c>
      <c r="H900" s="82">
        <v>10</v>
      </c>
      <c r="I900" s="82">
        <v>13.4</v>
      </c>
      <c r="J900" s="82">
        <v>10.199999999999999</v>
      </c>
    </row>
    <row r="901" spans="1:11" x14ac:dyDescent="0.2">
      <c r="A901" t="s">
        <v>21</v>
      </c>
      <c r="B901" s="89">
        <v>1674</v>
      </c>
      <c r="C901" s="82">
        <v>1</v>
      </c>
      <c r="D901" s="83">
        <v>33862</v>
      </c>
      <c r="E901" s="84">
        <f t="shared" si="14"/>
        <v>1992</v>
      </c>
      <c r="F901" s="82" t="s">
        <v>22</v>
      </c>
      <c r="G901" s="82">
        <v>2</v>
      </c>
      <c r="H901" s="82">
        <v>11</v>
      </c>
      <c r="I901" s="82">
        <v>13.5</v>
      </c>
      <c r="J901" s="82">
        <v>10.7</v>
      </c>
    </row>
    <row r="902" spans="1:11" x14ac:dyDescent="0.2">
      <c r="A902" t="s">
        <v>21</v>
      </c>
      <c r="B902" s="89">
        <v>1674</v>
      </c>
      <c r="C902" s="82">
        <v>1</v>
      </c>
      <c r="D902" s="83">
        <v>33862</v>
      </c>
      <c r="E902" s="84">
        <f t="shared" si="14"/>
        <v>1992</v>
      </c>
      <c r="F902" s="82" t="s">
        <v>22</v>
      </c>
      <c r="G902" s="82">
        <v>2</v>
      </c>
      <c r="H902" s="82">
        <v>12</v>
      </c>
      <c r="I902" s="82">
        <v>13.5</v>
      </c>
      <c r="J902" s="82">
        <v>9.6</v>
      </c>
    </row>
    <row r="903" spans="1:11" x14ac:dyDescent="0.2">
      <c r="A903" t="s">
        <v>21</v>
      </c>
      <c r="B903" s="89">
        <v>1674</v>
      </c>
      <c r="C903" s="82">
        <v>1</v>
      </c>
      <c r="D903" s="83">
        <v>33862</v>
      </c>
      <c r="E903" s="84">
        <f t="shared" si="14"/>
        <v>1992</v>
      </c>
      <c r="F903" s="82" t="s">
        <v>22</v>
      </c>
      <c r="G903" s="82">
        <v>2</v>
      </c>
      <c r="H903" s="82">
        <v>13</v>
      </c>
      <c r="I903" s="82">
        <v>13.4</v>
      </c>
      <c r="J903" s="82">
        <v>9</v>
      </c>
    </row>
    <row r="904" spans="1:11" x14ac:dyDescent="0.2">
      <c r="A904" t="s">
        <v>21</v>
      </c>
      <c r="B904" s="89">
        <v>1674</v>
      </c>
      <c r="C904" s="82">
        <v>1</v>
      </c>
      <c r="D904" s="83">
        <v>33862</v>
      </c>
      <c r="E904" s="84">
        <f t="shared" si="14"/>
        <v>1992</v>
      </c>
      <c r="F904" s="82" t="s">
        <v>22</v>
      </c>
      <c r="G904" s="82">
        <v>2</v>
      </c>
      <c r="H904" s="82">
        <v>14</v>
      </c>
      <c r="I904" s="82">
        <v>13.3</v>
      </c>
      <c r="J904" s="82">
        <v>5.0999999999999996</v>
      </c>
    </row>
    <row r="905" spans="1:11" x14ac:dyDescent="0.2">
      <c r="A905" t="s">
        <v>21</v>
      </c>
      <c r="B905" s="89">
        <v>1674</v>
      </c>
      <c r="C905" s="82">
        <v>1</v>
      </c>
      <c r="D905" s="83">
        <v>34511</v>
      </c>
      <c r="E905" s="84">
        <f t="shared" si="14"/>
        <v>1994</v>
      </c>
      <c r="F905" s="82" t="s">
        <v>22</v>
      </c>
      <c r="G905" s="82">
        <v>2</v>
      </c>
      <c r="H905" s="82">
        <v>0</v>
      </c>
      <c r="I905" s="82">
        <v>19</v>
      </c>
      <c r="J905" s="82">
        <v>8.9</v>
      </c>
      <c r="K905" s="89" t="s">
        <v>193</v>
      </c>
    </row>
    <row r="906" spans="1:11" x14ac:dyDescent="0.2">
      <c r="A906" t="s">
        <v>21</v>
      </c>
      <c r="B906" s="89">
        <v>1674</v>
      </c>
      <c r="C906" s="82">
        <v>1</v>
      </c>
      <c r="D906" s="83">
        <v>34511</v>
      </c>
      <c r="E906" s="84">
        <f t="shared" si="14"/>
        <v>1994</v>
      </c>
      <c r="F906" s="82" t="s">
        <v>22</v>
      </c>
      <c r="G906" s="82">
        <v>2</v>
      </c>
      <c r="H906" s="82">
        <v>1</v>
      </c>
      <c r="I906" s="82">
        <v>19</v>
      </c>
      <c r="J906" s="82">
        <v>8.8000000000000007</v>
      </c>
      <c r="K906" s="89" t="s">
        <v>193</v>
      </c>
    </row>
    <row r="907" spans="1:11" x14ac:dyDescent="0.2">
      <c r="A907" t="s">
        <v>21</v>
      </c>
      <c r="B907" s="89">
        <v>1674</v>
      </c>
      <c r="C907" s="82">
        <v>1</v>
      </c>
      <c r="D907" s="83">
        <v>34511</v>
      </c>
      <c r="E907" s="84">
        <f t="shared" si="14"/>
        <v>1994</v>
      </c>
      <c r="F907" s="82" t="s">
        <v>22</v>
      </c>
      <c r="G907" s="82">
        <v>2</v>
      </c>
      <c r="H907" s="82">
        <v>3</v>
      </c>
      <c r="I907" s="82">
        <v>18.899999999999999</v>
      </c>
      <c r="J907" s="82">
        <v>8.6</v>
      </c>
      <c r="K907" s="89" t="s">
        <v>193</v>
      </c>
    </row>
    <row r="908" spans="1:11" x14ac:dyDescent="0.2">
      <c r="A908" t="s">
        <v>21</v>
      </c>
      <c r="B908" s="89">
        <v>1674</v>
      </c>
      <c r="C908" s="82">
        <v>1</v>
      </c>
      <c r="D908" s="83">
        <v>34511</v>
      </c>
      <c r="E908" s="84">
        <f t="shared" si="14"/>
        <v>1994</v>
      </c>
      <c r="F908" s="82" t="s">
        <v>22</v>
      </c>
      <c r="G908" s="82">
        <v>2</v>
      </c>
      <c r="H908" s="82">
        <v>4</v>
      </c>
      <c r="I908" s="82">
        <v>18.8</v>
      </c>
      <c r="J908" s="82">
        <v>8.6</v>
      </c>
      <c r="K908" s="89" t="s">
        <v>193</v>
      </c>
    </row>
    <row r="909" spans="1:11" x14ac:dyDescent="0.2">
      <c r="A909" t="s">
        <v>21</v>
      </c>
      <c r="B909" s="89">
        <v>1674</v>
      </c>
      <c r="C909" s="82">
        <v>1</v>
      </c>
      <c r="D909" s="83">
        <v>34511</v>
      </c>
      <c r="E909" s="84">
        <f t="shared" si="14"/>
        <v>1994</v>
      </c>
      <c r="F909" s="82" t="s">
        <v>22</v>
      </c>
      <c r="G909" s="82">
        <v>2</v>
      </c>
      <c r="H909" s="82">
        <v>5</v>
      </c>
      <c r="I909" s="82">
        <v>18.3</v>
      </c>
      <c r="J909" s="82">
        <v>8.1999999999999993</v>
      </c>
      <c r="K909" s="89" t="s">
        <v>193</v>
      </c>
    </row>
    <row r="910" spans="1:11" x14ac:dyDescent="0.2">
      <c r="A910" t="s">
        <v>21</v>
      </c>
      <c r="B910" s="89">
        <v>1674</v>
      </c>
      <c r="C910" s="82">
        <v>1</v>
      </c>
      <c r="D910" s="83">
        <v>34511</v>
      </c>
      <c r="E910" s="84">
        <f t="shared" si="14"/>
        <v>1994</v>
      </c>
      <c r="F910" s="82" t="s">
        <v>22</v>
      </c>
      <c r="G910" s="82">
        <v>2</v>
      </c>
      <c r="H910" s="82">
        <v>6</v>
      </c>
      <c r="I910" s="82">
        <v>17.899999999999999</v>
      </c>
      <c r="J910" s="82">
        <v>7.7</v>
      </c>
      <c r="K910" s="89" t="s">
        <v>193</v>
      </c>
    </row>
    <row r="911" spans="1:11" x14ac:dyDescent="0.2">
      <c r="A911" t="s">
        <v>21</v>
      </c>
      <c r="B911" s="89">
        <v>1674</v>
      </c>
      <c r="C911" s="82">
        <v>1</v>
      </c>
      <c r="D911" s="83">
        <v>34511</v>
      </c>
      <c r="E911" s="84">
        <f t="shared" si="14"/>
        <v>1994</v>
      </c>
      <c r="F911" s="82" t="s">
        <v>22</v>
      </c>
      <c r="G911" s="82">
        <v>2</v>
      </c>
      <c r="H911" s="82">
        <v>7</v>
      </c>
      <c r="I911" s="82">
        <v>17.3</v>
      </c>
      <c r="J911" s="82">
        <v>7.4</v>
      </c>
      <c r="K911" s="89" t="s">
        <v>193</v>
      </c>
    </row>
    <row r="912" spans="1:11" x14ac:dyDescent="0.2">
      <c r="A912" t="s">
        <v>21</v>
      </c>
      <c r="B912" s="89">
        <v>1674</v>
      </c>
      <c r="C912" s="82">
        <v>1</v>
      </c>
      <c r="D912" s="83">
        <v>34511</v>
      </c>
      <c r="E912" s="84">
        <f t="shared" si="14"/>
        <v>1994</v>
      </c>
      <c r="F912" s="82" t="s">
        <v>22</v>
      </c>
      <c r="G912" s="82">
        <v>2</v>
      </c>
      <c r="H912" s="82">
        <v>8</v>
      </c>
      <c r="I912" s="82">
        <v>17</v>
      </c>
      <c r="J912" s="82">
        <v>7</v>
      </c>
      <c r="K912" s="89" t="s">
        <v>193</v>
      </c>
    </row>
    <row r="913" spans="1:11" x14ac:dyDescent="0.2">
      <c r="A913" t="s">
        <v>21</v>
      </c>
      <c r="B913" s="89">
        <v>1674</v>
      </c>
      <c r="C913" s="82">
        <v>1</v>
      </c>
      <c r="D913" s="83">
        <v>34511</v>
      </c>
      <c r="E913" s="84">
        <f t="shared" si="14"/>
        <v>1994</v>
      </c>
      <c r="F913" s="82" t="s">
        <v>22</v>
      </c>
      <c r="G913" s="82">
        <v>2</v>
      </c>
      <c r="H913" s="82">
        <v>9</v>
      </c>
      <c r="I913" s="82">
        <v>16.8</v>
      </c>
      <c r="J913" s="82">
        <v>6.5</v>
      </c>
      <c r="K913" s="89" t="s">
        <v>193</v>
      </c>
    </row>
    <row r="914" spans="1:11" x14ac:dyDescent="0.2">
      <c r="A914" t="s">
        <v>21</v>
      </c>
      <c r="B914" s="89">
        <v>1674</v>
      </c>
      <c r="C914" s="82">
        <v>1</v>
      </c>
      <c r="D914" s="83">
        <v>34511</v>
      </c>
      <c r="E914" s="84">
        <f t="shared" si="14"/>
        <v>1994</v>
      </c>
      <c r="F914" s="82" t="s">
        <v>22</v>
      </c>
      <c r="G914" s="82">
        <v>2</v>
      </c>
      <c r="H914" s="82">
        <v>10</v>
      </c>
      <c r="I914" s="82">
        <v>16.100000000000001</v>
      </c>
      <c r="J914" s="82">
        <v>6.2</v>
      </c>
      <c r="K914" s="89" t="s">
        <v>193</v>
      </c>
    </row>
    <row r="915" spans="1:11" x14ac:dyDescent="0.2">
      <c r="A915" t="s">
        <v>21</v>
      </c>
      <c r="B915" s="89">
        <v>1674</v>
      </c>
      <c r="C915" s="82">
        <v>1</v>
      </c>
      <c r="D915" s="83">
        <v>34511</v>
      </c>
      <c r="E915" s="84">
        <f t="shared" si="14"/>
        <v>1994</v>
      </c>
      <c r="F915" s="82" t="s">
        <v>22</v>
      </c>
      <c r="G915" s="82">
        <v>2</v>
      </c>
      <c r="H915" s="82">
        <v>11</v>
      </c>
      <c r="I915" s="82">
        <v>15.9</v>
      </c>
      <c r="J915" s="82">
        <v>5.8</v>
      </c>
      <c r="K915" s="89" t="s">
        <v>193</v>
      </c>
    </row>
    <row r="916" spans="1:11" x14ac:dyDescent="0.2">
      <c r="A916" t="s">
        <v>21</v>
      </c>
      <c r="B916" s="89">
        <v>1674</v>
      </c>
      <c r="C916" s="82">
        <v>1</v>
      </c>
      <c r="D916" s="83">
        <v>34573</v>
      </c>
      <c r="E916" s="84">
        <f t="shared" si="14"/>
        <v>1994</v>
      </c>
      <c r="F916" s="82" t="s">
        <v>22</v>
      </c>
      <c r="G916" s="82">
        <v>2</v>
      </c>
      <c r="H916" s="82">
        <v>0</v>
      </c>
      <c r="I916" s="82">
        <v>21.2</v>
      </c>
      <c r="J916" s="82">
        <v>9.4</v>
      </c>
      <c r="K916" s="89" t="s">
        <v>193</v>
      </c>
    </row>
    <row r="917" spans="1:11" x14ac:dyDescent="0.2">
      <c r="A917" t="s">
        <v>21</v>
      </c>
      <c r="B917" s="89">
        <v>1674</v>
      </c>
      <c r="C917" s="82">
        <v>1</v>
      </c>
      <c r="D917" s="83">
        <v>34573</v>
      </c>
      <c r="E917" s="84">
        <f t="shared" si="14"/>
        <v>1994</v>
      </c>
      <c r="F917" s="82" t="s">
        <v>22</v>
      </c>
      <c r="G917" s="82">
        <v>2</v>
      </c>
      <c r="H917" s="82">
        <v>1</v>
      </c>
      <c r="I917" s="82">
        <v>21.2</v>
      </c>
      <c r="J917" s="82">
        <v>9.4</v>
      </c>
      <c r="K917" s="89" t="s">
        <v>193</v>
      </c>
    </row>
    <row r="918" spans="1:11" x14ac:dyDescent="0.2">
      <c r="A918" t="s">
        <v>21</v>
      </c>
      <c r="B918" s="89">
        <v>1674</v>
      </c>
      <c r="C918" s="82">
        <v>1</v>
      </c>
      <c r="D918" s="83">
        <v>34573</v>
      </c>
      <c r="E918" s="84">
        <f t="shared" si="14"/>
        <v>1994</v>
      </c>
      <c r="F918" s="82" t="s">
        <v>22</v>
      </c>
      <c r="G918" s="82">
        <v>2</v>
      </c>
      <c r="H918" s="82">
        <v>3</v>
      </c>
      <c r="I918" s="82">
        <v>21.2</v>
      </c>
      <c r="J918" s="82">
        <v>9.4</v>
      </c>
      <c r="K918" s="89" t="s">
        <v>193</v>
      </c>
    </row>
    <row r="919" spans="1:11" x14ac:dyDescent="0.2">
      <c r="A919" t="s">
        <v>21</v>
      </c>
      <c r="B919" s="89">
        <v>1674</v>
      </c>
      <c r="C919" s="82">
        <v>1</v>
      </c>
      <c r="D919" s="83">
        <v>34573</v>
      </c>
      <c r="E919" s="84">
        <f t="shared" si="14"/>
        <v>1994</v>
      </c>
      <c r="F919" s="82" t="s">
        <v>22</v>
      </c>
      <c r="G919" s="82">
        <v>2</v>
      </c>
      <c r="H919" s="82">
        <v>4</v>
      </c>
      <c r="I919" s="82">
        <v>20.8</v>
      </c>
      <c r="J919" s="82">
        <v>9.1999999999999993</v>
      </c>
      <c r="K919" s="89" t="s">
        <v>193</v>
      </c>
    </row>
    <row r="920" spans="1:11" x14ac:dyDescent="0.2">
      <c r="A920" t="s">
        <v>21</v>
      </c>
      <c r="B920" s="89">
        <v>1674</v>
      </c>
      <c r="C920" s="82">
        <v>1</v>
      </c>
      <c r="D920" s="83">
        <v>34573</v>
      </c>
      <c r="E920" s="84">
        <f t="shared" si="14"/>
        <v>1994</v>
      </c>
      <c r="F920" s="82" t="s">
        <v>22</v>
      </c>
      <c r="G920" s="82">
        <v>2</v>
      </c>
      <c r="H920" s="82">
        <v>5</v>
      </c>
      <c r="I920" s="82">
        <v>20</v>
      </c>
      <c r="J920" s="82">
        <v>9</v>
      </c>
      <c r="K920" s="89" t="s">
        <v>193</v>
      </c>
    </row>
    <row r="921" spans="1:11" x14ac:dyDescent="0.2">
      <c r="A921" t="s">
        <v>21</v>
      </c>
      <c r="B921" s="89">
        <v>1674</v>
      </c>
      <c r="C921" s="82">
        <v>1</v>
      </c>
      <c r="D921" s="83">
        <v>34573</v>
      </c>
      <c r="E921" s="84">
        <f t="shared" si="14"/>
        <v>1994</v>
      </c>
      <c r="F921" s="82" t="s">
        <v>22</v>
      </c>
      <c r="G921" s="82">
        <v>2</v>
      </c>
      <c r="H921" s="82">
        <v>6</v>
      </c>
      <c r="I921" s="82">
        <v>19.5</v>
      </c>
      <c r="J921" s="82">
        <v>8.3000000000000007</v>
      </c>
      <c r="K921" s="89" t="s">
        <v>193</v>
      </c>
    </row>
    <row r="922" spans="1:11" x14ac:dyDescent="0.2">
      <c r="A922" t="s">
        <v>21</v>
      </c>
      <c r="B922" s="89">
        <v>1674</v>
      </c>
      <c r="C922" s="82">
        <v>1</v>
      </c>
      <c r="D922" s="83">
        <v>34573</v>
      </c>
      <c r="E922" s="84">
        <f t="shared" si="14"/>
        <v>1994</v>
      </c>
      <c r="F922" s="82" t="s">
        <v>22</v>
      </c>
      <c r="G922" s="82">
        <v>2</v>
      </c>
      <c r="H922" s="82">
        <v>7</v>
      </c>
      <c r="I922" s="82">
        <v>19.2</v>
      </c>
      <c r="J922" s="82">
        <v>7.9</v>
      </c>
      <c r="K922" s="89" t="s">
        <v>193</v>
      </c>
    </row>
    <row r="923" spans="1:11" x14ac:dyDescent="0.2">
      <c r="A923" t="s">
        <v>21</v>
      </c>
      <c r="B923" s="89">
        <v>1674</v>
      </c>
      <c r="C923" s="82">
        <v>1</v>
      </c>
      <c r="D923" s="83">
        <v>34573</v>
      </c>
      <c r="E923" s="84">
        <f t="shared" si="14"/>
        <v>1994</v>
      </c>
      <c r="F923" s="82" t="s">
        <v>22</v>
      </c>
      <c r="G923" s="82">
        <v>2</v>
      </c>
      <c r="H923" s="82">
        <v>8</v>
      </c>
      <c r="I923" s="82">
        <v>19.100000000000001</v>
      </c>
      <c r="J923" s="82">
        <v>7.7</v>
      </c>
      <c r="K923" s="89" t="s">
        <v>193</v>
      </c>
    </row>
    <row r="924" spans="1:11" x14ac:dyDescent="0.2">
      <c r="A924" t="s">
        <v>21</v>
      </c>
      <c r="B924" s="89">
        <v>1674</v>
      </c>
      <c r="C924" s="82">
        <v>1</v>
      </c>
      <c r="D924" s="83">
        <v>34573</v>
      </c>
      <c r="E924" s="84">
        <f t="shared" si="14"/>
        <v>1994</v>
      </c>
      <c r="F924" s="82" t="s">
        <v>22</v>
      </c>
      <c r="G924" s="82">
        <v>2</v>
      </c>
      <c r="H924" s="82">
        <v>9</v>
      </c>
      <c r="I924" s="82">
        <v>19</v>
      </c>
      <c r="J924" s="82">
        <v>6.9</v>
      </c>
      <c r="K924" s="89" t="s">
        <v>193</v>
      </c>
    </row>
    <row r="925" spans="1:11" x14ac:dyDescent="0.2">
      <c r="A925" t="s">
        <v>21</v>
      </c>
      <c r="B925" s="89">
        <v>1674</v>
      </c>
      <c r="C925" s="82">
        <v>1</v>
      </c>
      <c r="D925" s="83">
        <v>34573</v>
      </c>
      <c r="E925" s="84">
        <f t="shared" si="14"/>
        <v>1994</v>
      </c>
      <c r="F925" s="82" t="s">
        <v>22</v>
      </c>
      <c r="G925" s="82">
        <v>2</v>
      </c>
      <c r="H925" s="82">
        <v>10</v>
      </c>
      <c r="I925" s="82">
        <v>19</v>
      </c>
      <c r="J925" s="82">
        <v>6.8</v>
      </c>
      <c r="K925" s="89" t="s">
        <v>193</v>
      </c>
    </row>
    <row r="926" spans="1:11" x14ac:dyDescent="0.2">
      <c r="A926" t="s">
        <v>21</v>
      </c>
      <c r="B926" s="89">
        <v>1674</v>
      </c>
      <c r="C926" s="82">
        <v>1</v>
      </c>
      <c r="D926" s="83">
        <v>34573</v>
      </c>
      <c r="E926" s="84">
        <f t="shared" si="14"/>
        <v>1994</v>
      </c>
      <c r="F926" s="82" t="s">
        <v>22</v>
      </c>
      <c r="G926" s="82">
        <v>2</v>
      </c>
      <c r="H926" s="82">
        <v>11</v>
      </c>
      <c r="I926" s="82">
        <v>18.899999999999999</v>
      </c>
      <c r="J926" s="82">
        <v>5.8</v>
      </c>
      <c r="K926" s="89" t="s">
        <v>193</v>
      </c>
    </row>
    <row r="927" spans="1:11" x14ac:dyDescent="0.2">
      <c r="A927" t="s">
        <v>21</v>
      </c>
      <c r="B927" s="89">
        <v>1674</v>
      </c>
      <c r="C927" s="82">
        <v>1</v>
      </c>
      <c r="D927" s="83">
        <v>34573</v>
      </c>
      <c r="E927" s="84">
        <f t="shared" si="14"/>
        <v>1994</v>
      </c>
      <c r="F927" s="82" t="s">
        <v>22</v>
      </c>
      <c r="G927" s="82">
        <v>2</v>
      </c>
      <c r="H927" s="82">
        <v>12</v>
      </c>
      <c r="I927" s="82">
        <v>18.7</v>
      </c>
      <c r="J927" s="82">
        <v>5.2</v>
      </c>
      <c r="K927" s="89" t="s">
        <v>193</v>
      </c>
    </row>
    <row r="928" spans="1:11" x14ac:dyDescent="0.2">
      <c r="A928" t="s">
        <v>21</v>
      </c>
      <c r="B928" s="89">
        <v>1674</v>
      </c>
      <c r="C928" s="82">
        <v>1</v>
      </c>
      <c r="D928" s="83">
        <v>34573</v>
      </c>
      <c r="E928" s="84">
        <f t="shared" si="14"/>
        <v>1994</v>
      </c>
      <c r="F928" s="82" t="s">
        <v>22</v>
      </c>
      <c r="G928" s="82">
        <v>2</v>
      </c>
      <c r="H928" s="82">
        <v>13</v>
      </c>
      <c r="I928" s="82">
        <v>17.100000000000001</v>
      </c>
      <c r="J928" s="82">
        <v>0.6</v>
      </c>
      <c r="K928" s="89" t="s">
        <v>193</v>
      </c>
    </row>
    <row r="929" spans="1:11" x14ac:dyDescent="0.2">
      <c r="A929" t="s">
        <v>21</v>
      </c>
      <c r="B929" s="89">
        <v>1674</v>
      </c>
      <c r="C929" s="82">
        <v>1</v>
      </c>
      <c r="D929" s="83">
        <v>34839</v>
      </c>
      <c r="E929" s="84">
        <f t="shared" si="14"/>
        <v>1995</v>
      </c>
      <c r="F929" s="82" t="s">
        <v>22</v>
      </c>
      <c r="G929" s="82">
        <v>2</v>
      </c>
      <c r="H929" s="82">
        <v>0</v>
      </c>
      <c r="I929" s="82">
        <v>9.9</v>
      </c>
      <c r="J929" s="82">
        <v>11.3</v>
      </c>
      <c r="K929" s="89" t="s">
        <v>193</v>
      </c>
    </row>
    <row r="930" spans="1:11" x14ac:dyDescent="0.2">
      <c r="A930" t="s">
        <v>21</v>
      </c>
      <c r="B930" s="89">
        <v>1674</v>
      </c>
      <c r="C930" s="82">
        <v>1</v>
      </c>
      <c r="D930" s="83">
        <v>34839</v>
      </c>
      <c r="E930" s="84">
        <f t="shared" si="14"/>
        <v>1995</v>
      </c>
      <c r="F930" s="82" t="s">
        <v>22</v>
      </c>
      <c r="G930" s="82">
        <v>2</v>
      </c>
      <c r="H930" s="82">
        <v>1</v>
      </c>
      <c r="I930" s="82">
        <v>9.8000000000000007</v>
      </c>
      <c r="J930" s="82">
        <v>11.3</v>
      </c>
      <c r="K930" s="89" t="s">
        <v>193</v>
      </c>
    </row>
    <row r="931" spans="1:11" x14ac:dyDescent="0.2">
      <c r="A931" t="s">
        <v>21</v>
      </c>
      <c r="B931" s="89">
        <v>1674</v>
      </c>
      <c r="C931" s="82">
        <v>1</v>
      </c>
      <c r="D931" s="83">
        <v>34839</v>
      </c>
      <c r="E931" s="84">
        <f t="shared" si="14"/>
        <v>1995</v>
      </c>
      <c r="F931" s="82" t="s">
        <v>22</v>
      </c>
      <c r="G931" s="82">
        <v>2</v>
      </c>
      <c r="H931" s="82">
        <v>5</v>
      </c>
      <c r="I931" s="82">
        <v>9</v>
      </c>
      <c r="J931" s="82">
        <v>11.2</v>
      </c>
      <c r="K931" s="89" t="s">
        <v>193</v>
      </c>
    </row>
    <row r="932" spans="1:11" x14ac:dyDescent="0.2">
      <c r="A932" t="s">
        <v>21</v>
      </c>
      <c r="B932" s="89">
        <v>1674</v>
      </c>
      <c r="C932" s="82">
        <v>1</v>
      </c>
      <c r="D932" s="83">
        <v>34839</v>
      </c>
      <c r="E932" s="84">
        <f t="shared" si="14"/>
        <v>1995</v>
      </c>
      <c r="F932" s="82" t="s">
        <v>22</v>
      </c>
      <c r="G932" s="82">
        <v>2</v>
      </c>
      <c r="H932" s="82">
        <v>8</v>
      </c>
      <c r="I932" s="82">
        <v>8.1999999999999993</v>
      </c>
      <c r="J932" s="82">
        <v>10.8</v>
      </c>
      <c r="K932" s="89" t="s">
        <v>193</v>
      </c>
    </row>
    <row r="933" spans="1:11" x14ac:dyDescent="0.2">
      <c r="A933" t="s">
        <v>21</v>
      </c>
      <c r="B933" s="89">
        <v>1674</v>
      </c>
      <c r="C933" s="82">
        <v>1</v>
      </c>
      <c r="D933" s="83">
        <v>34839</v>
      </c>
      <c r="E933" s="84">
        <f t="shared" si="14"/>
        <v>1995</v>
      </c>
      <c r="F933" s="82" t="s">
        <v>22</v>
      </c>
      <c r="G933" s="82">
        <v>2</v>
      </c>
      <c r="H933" s="82">
        <v>10</v>
      </c>
      <c r="I933" s="82">
        <v>8.1</v>
      </c>
      <c r="J933" s="82">
        <v>11</v>
      </c>
      <c r="K933" s="89" t="s">
        <v>193</v>
      </c>
    </row>
    <row r="934" spans="1:11" x14ac:dyDescent="0.2">
      <c r="A934" t="s">
        <v>21</v>
      </c>
      <c r="B934" s="89">
        <v>1674</v>
      </c>
      <c r="C934" s="82">
        <v>1</v>
      </c>
      <c r="D934" s="83">
        <v>34839</v>
      </c>
      <c r="E934" s="84">
        <f t="shared" si="14"/>
        <v>1995</v>
      </c>
      <c r="F934" s="82" t="s">
        <v>22</v>
      </c>
      <c r="G934" s="82">
        <v>2</v>
      </c>
      <c r="H934" s="82">
        <v>11</v>
      </c>
      <c r="I934" s="82">
        <v>6.8</v>
      </c>
      <c r="J934" s="82">
        <v>9.6</v>
      </c>
      <c r="K934" s="89" t="s">
        <v>193</v>
      </c>
    </row>
    <row r="935" spans="1:11" x14ac:dyDescent="0.2">
      <c r="A935" t="s">
        <v>21</v>
      </c>
      <c r="B935" s="89">
        <v>1674</v>
      </c>
      <c r="C935" s="82">
        <v>1</v>
      </c>
      <c r="D935" s="83">
        <v>34839</v>
      </c>
      <c r="E935" s="84">
        <f t="shared" si="14"/>
        <v>1995</v>
      </c>
      <c r="F935" s="82" t="s">
        <v>22</v>
      </c>
      <c r="G935" s="82">
        <v>2</v>
      </c>
      <c r="H935" s="82">
        <v>12</v>
      </c>
      <c r="I935" s="82">
        <v>6.2</v>
      </c>
      <c r="J935" s="82">
        <v>0.4</v>
      </c>
      <c r="K935" s="89" t="s">
        <v>193</v>
      </c>
    </row>
    <row r="936" spans="1:11" x14ac:dyDescent="0.2">
      <c r="A936" t="s">
        <v>21</v>
      </c>
      <c r="B936" s="89">
        <v>1674</v>
      </c>
      <c r="C936" s="82">
        <v>1</v>
      </c>
      <c r="D936" s="83">
        <v>35654</v>
      </c>
      <c r="E936" s="84">
        <f t="shared" si="14"/>
        <v>1997</v>
      </c>
      <c r="F936" s="82" t="s">
        <v>22</v>
      </c>
      <c r="G936" s="82">
        <v>2</v>
      </c>
      <c r="H936" s="82">
        <v>0</v>
      </c>
      <c r="I936" s="82">
        <v>20</v>
      </c>
      <c r="J936" s="82">
        <v>8.4</v>
      </c>
      <c r="K936" s="89" t="s">
        <v>193</v>
      </c>
    </row>
    <row r="937" spans="1:11" x14ac:dyDescent="0.2">
      <c r="A937" t="s">
        <v>21</v>
      </c>
      <c r="B937" s="89">
        <v>1674</v>
      </c>
      <c r="C937" s="82">
        <v>1</v>
      </c>
      <c r="D937" s="83">
        <v>35654</v>
      </c>
      <c r="E937" s="84">
        <f t="shared" si="14"/>
        <v>1997</v>
      </c>
      <c r="F937" s="82" t="s">
        <v>22</v>
      </c>
      <c r="G937" s="82">
        <v>2</v>
      </c>
      <c r="H937" s="82">
        <v>1</v>
      </c>
      <c r="I937" s="82">
        <v>20</v>
      </c>
      <c r="J937" s="82">
        <v>8.4</v>
      </c>
      <c r="K937" s="89" t="s">
        <v>193</v>
      </c>
    </row>
    <row r="938" spans="1:11" x14ac:dyDescent="0.2">
      <c r="A938" t="s">
        <v>21</v>
      </c>
      <c r="B938" s="89">
        <v>1674</v>
      </c>
      <c r="C938" s="82">
        <v>1</v>
      </c>
      <c r="D938" s="83">
        <v>35654</v>
      </c>
      <c r="E938" s="84">
        <f t="shared" si="14"/>
        <v>1997</v>
      </c>
      <c r="F938" s="82" t="s">
        <v>22</v>
      </c>
      <c r="G938" s="82">
        <v>2</v>
      </c>
      <c r="H938" s="82">
        <v>2</v>
      </c>
      <c r="I938" s="82">
        <v>20</v>
      </c>
      <c r="J938" s="82">
        <v>8.4</v>
      </c>
      <c r="K938" s="89" t="s">
        <v>193</v>
      </c>
    </row>
    <row r="939" spans="1:11" x14ac:dyDescent="0.2">
      <c r="A939" t="s">
        <v>21</v>
      </c>
      <c r="B939" s="89">
        <v>1674</v>
      </c>
      <c r="C939" s="82">
        <v>1</v>
      </c>
      <c r="D939" s="83">
        <v>35654</v>
      </c>
      <c r="E939" s="84">
        <f t="shared" si="14"/>
        <v>1997</v>
      </c>
      <c r="F939" s="82" t="s">
        <v>22</v>
      </c>
      <c r="G939" s="82">
        <v>2</v>
      </c>
      <c r="H939" s="82">
        <v>3</v>
      </c>
      <c r="I939" s="82">
        <v>20</v>
      </c>
      <c r="J939" s="82">
        <v>8.4</v>
      </c>
      <c r="K939" s="89" t="s">
        <v>193</v>
      </c>
    </row>
    <row r="940" spans="1:11" x14ac:dyDescent="0.2">
      <c r="A940" t="s">
        <v>21</v>
      </c>
      <c r="B940" s="89">
        <v>1674</v>
      </c>
      <c r="C940" s="82">
        <v>1</v>
      </c>
      <c r="D940" s="83">
        <v>35654</v>
      </c>
      <c r="E940" s="84">
        <f t="shared" si="14"/>
        <v>1997</v>
      </c>
      <c r="F940" s="82" t="s">
        <v>22</v>
      </c>
      <c r="G940" s="82">
        <v>2</v>
      </c>
      <c r="H940" s="82">
        <v>4</v>
      </c>
      <c r="I940" s="82">
        <v>20</v>
      </c>
      <c r="J940" s="82">
        <v>8.4</v>
      </c>
      <c r="K940" s="89" t="s">
        <v>193</v>
      </c>
    </row>
    <row r="941" spans="1:11" x14ac:dyDescent="0.2">
      <c r="A941" t="s">
        <v>21</v>
      </c>
      <c r="B941" s="89">
        <v>1674</v>
      </c>
      <c r="C941" s="82">
        <v>1</v>
      </c>
      <c r="D941" s="83">
        <v>35654</v>
      </c>
      <c r="E941" s="84">
        <f t="shared" si="14"/>
        <v>1997</v>
      </c>
      <c r="F941" s="82" t="s">
        <v>22</v>
      </c>
      <c r="G941" s="82">
        <v>2</v>
      </c>
      <c r="H941" s="82">
        <v>5</v>
      </c>
      <c r="I941" s="82">
        <v>20</v>
      </c>
      <c r="J941" s="82">
        <v>8.1999999999999993</v>
      </c>
      <c r="K941" s="89" t="s">
        <v>193</v>
      </c>
    </row>
    <row r="942" spans="1:11" x14ac:dyDescent="0.2">
      <c r="A942" t="s">
        <v>21</v>
      </c>
      <c r="B942" s="89">
        <v>1674</v>
      </c>
      <c r="C942" s="82">
        <v>1</v>
      </c>
      <c r="D942" s="83">
        <v>35654</v>
      </c>
      <c r="E942" s="84">
        <f t="shared" si="14"/>
        <v>1997</v>
      </c>
      <c r="F942" s="82" t="s">
        <v>22</v>
      </c>
      <c r="G942" s="82">
        <v>2</v>
      </c>
      <c r="H942" s="82">
        <v>6</v>
      </c>
      <c r="I942" s="82">
        <v>20</v>
      </c>
      <c r="J942" s="82">
        <v>8.1</v>
      </c>
      <c r="K942" s="89" t="s">
        <v>193</v>
      </c>
    </row>
    <row r="943" spans="1:11" x14ac:dyDescent="0.2">
      <c r="A943" t="s">
        <v>21</v>
      </c>
      <c r="B943" s="89">
        <v>1674</v>
      </c>
      <c r="C943" s="82">
        <v>1</v>
      </c>
      <c r="D943" s="83">
        <v>35654</v>
      </c>
      <c r="E943" s="84">
        <f t="shared" si="14"/>
        <v>1997</v>
      </c>
      <c r="F943" s="82" t="s">
        <v>22</v>
      </c>
      <c r="G943" s="82">
        <v>2</v>
      </c>
      <c r="H943" s="82">
        <v>7</v>
      </c>
      <c r="I943" s="82">
        <v>20</v>
      </c>
      <c r="J943" s="82">
        <v>7.9</v>
      </c>
      <c r="K943" s="89" t="s">
        <v>193</v>
      </c>
    </row>
    <row r="944" spans="1:11" x14ac:dyDescent="0.2">
      <c r="A944" t="s">
        <v>21</v>
      </c>
      <c r="B944" s="89">
        <v>1674</v>
      </c>
      <c r="C944" s="82">
        <v>1</v>
      </c>
      <c r="D944" s="83">
        <v>35654</v>
      </c>
      <c r="E944" s="84">
        <f t="shared" si="14"/>
        <v>1997</v>
      </c>
      <c r="F944" s="82" t="s">
        <v>22</v>
      </c>
      <c r="G944" s="82">
        <v>2</v>
      </c>
      <c r="H944" s="82">
        <v>8</v>
      </c>
      <c r="I944" s="82">
        <v>20</v>
      </c>
      <c r="J944" s="82">
        <v>8</v>
      </c>
      <c r="K944" s="89" t="s">
        <v>193</v>
      </c>
    </row>
    <row r="945" spans="1:11" x14ac:dyDescent="0.2">
      <c r="A945" t="s">
        <v>21</v>
      </c>
      <c r="B945" s="89">
        <v>1674</v>
      </c>
      <c r="C945" s="82">
        <v>1</v>
      </c>
      <c r="D945" s="83">
        <v>35654</v>
      </c>
      <c r="E945" s="84">
        <f t="shared" si="14"/>
        <v>1997</v>
      </c>
      <c r="F945" s="82" t="s">
        <v>22</v>
      </c>
      <c r="G945" s="82">
        <v>2</v>
      </c>
      <c r="H945" s="82">
        <v>9</v>
      </c>
      <c r="I945" s="82">
        <v>19.8</v>
      </c>
      <c r="J945" s="82">
        <v>7.1</v>
      </c>
      <c r="K945" s="89" t="s">
        <v>193</v>
      </c>
    </row>
    <row r="946" spans="1:11" x14ac:dyDescent="0.2">
      <c r="A946" t="s">
        <v>21</v>
      </c>
      <c r="B946" s="89">
        <v>1674</v>
      </c>
      <c r="C946" s="82">
        <v>1</v>
      </c>
      <c r="D946" s="83">
        <v>35654</v>
      </c>
      <c r="E946" s="84">
        <f t="shared" si="14"/>
        <v>1997</v>
      </c>
      <c r="F946" s="82" t="s">
        <v>22</v>
      </c>
      <c r="G946" s="82">
        <v>2</v>
      </c>
      <c r="H946" s="82">
        <v>10</v>
      </c>
      <c r="I946" s="82">
        <v>19.5</v>
      </c>
      <c r="J946" s="82">
        <v>6</v>
      </c>
      <c r="K946" s="89" t="s">
        <v>193</v>
      </c>
    </row>
    <row r="947" spans="1:11" x14ac:dyDescent="0.2">
      <c r="A947" t="s">
        <v>21</v>
      </c>
      <c r="B947" s="89">
        <v>1674</v>
      </c>
      <c r="C947" s="82">
        <v>1</v>
      </c>
      <c r="D947" s="83">
        <v>35654</v>
      </c>
      <c r="E947" s="84">
        <f t="shared" si="14"/>
        <v>1997</v>
      </c>
      <c r="F947" s="82" t="s">
        <v>22</v>
      </c>
      <c r="G947" s="82">
        <v>2</v>
      </c>
      <c r="H947" s="82">
        <v>11</v>
      </c>
      <c r="I947" s="82">
        <v>18.5</v>
      </c>
      <c r="J947" s="82">
        <v>2.2999999999999998</v>
      </c>
      <c r="K947" s="89" t="s">
        <v>193</v>
      </c>
    </row>
    <row r="948" spans="1:11" x14ac:dyDescent="0.2">
      <c r="A948" t="s">
        <v>21</v>
      </c>
      <c r="B948" s="89">
        <v>1674</v>
      </c>
      <c r="C948" s="82">
        <v>1</v>
      </c>
      <c r="D948" s="83">
        <v>35654</v>
      </c>
      <c r="E948" s="84">
        <f t="shared" si="14"/>
        <v>1997</v>
      </c>
      <c r="F948" s="82" t="s">
        <v>22</v>
      </c>
      <c r="G948" s="82">
        <v>2</v>
      </c>
      <c r="H948" s="82">
        <v>12</v>
      </c>
      <c r="I948" s="82">
        <v>18.100000000000001</v>
      </c>
      <c r="J948" s="82">
        <v>0.9</v>
      </c>
      <c r="K948" s="89" t="s">
        <v>193</v>
      </c>
    </row>
    <row r="949" spans="1:11" x14ac:dyDescent="0.2">
      <c r="A949" t="s">
        <v>21</v>
      </c>
      <c r="B949" s="89">
        <v>1674</v>
      </c>
      <c r="C949" s="82">
        <v>1</v>
      </c>
      <c r="D949" s="83">
        <v>36689</v>
      </c>
      <c r="E949" s="84">
        <f t="shared" si="14"/>
        <v>2000</v>
      </c>
      <c r="F949" s="82" t="s">
        <v>22</v>
      </c>
      <c r="G949" s="82">
        <v>2</v>
      </c>
      <c r="H949" s="82">
        <v>5</v>
      </c>
      <c r="I949" s="82">
        <v>14.1</v>
      </c>
      <c r="J949" s="82">
        <v>9.8000000000000007</v>
      </c>
      <c r="K949" s="89" t="s">
        <v>193</v>
      </c>
    </row>
    <row r="950" spans="1:11" x14ac:dyDescent="0.2">
      <c r="A950" t="s">
        <v>21</v>
      </c>
      <c r="B950" s="89">
        <v>1674</v>
      </c>
      <c r="C950" s="82">
        <v>1</v>
      </c>
      <c r="D950" s="83">
        <v>36689</v>
      </c>
      <c r="E950" s="84">
        <f t="shared" si="14"/>
        <v>2000</v>
      </c>
      <c r="F950" s="82" t="s">
        <v>22</v>
      </c>
      <c r="G950" s="82">
        <v>2</v>
      </c>
      <c r="H950" s="82">
        <v>0</v>
      </c>
      <c r="I950" s="82">
        <v>16.8</v>
      </c>
      <c r="J950" s="82">
        <v>10.3</v>
      </c>
      <c r="K950" s="89" t="s">
        <v>193</v>
      </c>
    </row>
    <row r="951" spans="1:11" x14ac:dyDescent="0.2">
      <c r="A951" t="s">
        <v>21</v>
      </c>
      <c r="B951" s="89">
        <v>1674</v>
      </c>
      <c r="C951" s="82">
        <v>1</v>
      </c>
      <c r="D951" s="83">
        <v>36689</v>
      </c>
      <c r="E951" s="84">
        <f t="shared" si="14"/>
        <v>2000</v>
      </c>
      <c r="F951" s="82" t="s">
        <v>22</v>
      </c>
      <c r="G951" s="82">
        <v>2</v>
      </c>
      <c r="H951" s="82">
        <v>1</v>
      </c>
      <c r="I951" s="82">
        <v>15.8</v>
      </c>
      <c r="J951" s="82">
        <v>10.3</v>
      </c>
      <c r="K951" s="89" t="s">
        <v>193</v>
      </c>
    </row>
    <row r="952" spans="1:11" x14ac:dyDescent="0.2">
      <c r="A952" t="s">
        <v>21</v>
      </c>
      <c r="B952" s="89">
        <v>1674</v>
      </c>
      <c r="C952" s="82">
        <v>1</v>
      </c>
      <c r="D952" s="83">
        <v>36689</v>
      </c>
      <c r="E952" s="84">
        <f t="shared" si="14"/>
        <v>2000</v>
      </c>
      <c r="F952" s="82" t="s">
        <v>22</v>
      </c>
      <c r="G952" s="82">
        <v>2</v>
      </c>
      <c r="H952" s="82">
        <v>2</v>
      </c>
      <c r="I952" s="82">
        <v>14.9</v>
      </c>
      <c r="J952" s="82">
        <v>10.4</v>
      </c>
      <c r="K952" s="89" t="s">
        <v>193</v>
      </c>
    </row>
    <row r="953" spans="1:11" x14ac:dyDescent="0.2">
      <c r="A953" t="s">
        <v>21</v>
      </c>
      <c r="B953" s="89">
        <v>1674</v>
      </c>
      <c r="C953" s="82">
        <v>1</v>
      </c>
      <c r="D953" s="83">
        <v>36689</v>
      </c>
      <c r="E953" s="84">
        <f t="shared" si="14"/>
        <v>2000</v>
      </c>
      <c r="F953" s="82" t="s">
        <v>22</v>
      </c>
      <c r="G953" s="82">
        <v>2</v>
      </c>
      <c r="H953" s="82">
        <v>4</v>
      </c>
      <c r="I953" s="82">
        <v>14.7</v>
      </c>
      <c r="J953" s="82">
        <v>10.199999999999999</v>
      </c>
      <c r="K953" s="89" t="s">
        <v>193</v>
      </c>
    </row>
    <row r="954" spans="1:11" x14ac:dyDescent="0.2">
      <c r="A954" t="s">
        <v>21</v>
      </c>
      <c r="B954" s="89">
        <v>1674</v>
      </c>
      <c r="C954" s="82">
        <v>1</v>
      </c>
      <c r="D954" s="83">
        <v>36689</v>
      </c>
      <c r="E954" s="84">
        <f t="shared" si="14"/>
        <v>2000</v>
      </c>
      <c r="F954" s="82" t="s">
        <v>22</v>
      </c>
      <c r="G954" s="82">
        <v>2</v>
      </c>
      <c r="H954" s="82">
        <v>12</v>
      </c>
      <c r="I954" s="82">
        <v>13.1</v>
      </c>
      <c r="J954" s="82">
        <v>8.8000000000000007</v>
      </c>
      <c r="K954" s="89" t="s">
        <v>193</v>
      </c>
    </row>
    <row r="955" spans="1:11" x14ac:dyDescent="0.2">
      <c r="A955" t="s">
        <v>21</v>
      </c>
      <c r="B955" s="89">
        <v>1674</v>
      </c>
      <c r="C955" s="82">
        <v>1</v>
      </c>
      <c r="D955" s="83">
        <v>36689</v>
      </c>
      <c r="E955" s="84">
        <f t="shared" si="14"/>
        <v>2000</v>
      </c>
      <c r="F955" s="82" t="s">
        <v>22</v>
      </c>
      <c r="G955" s="82">
        <v>2</v>
      </c>
      <c r="H955" s="82">
        <v>3</v>
      </c>
      <c r="I955" s="82">
        <v>14.8</v>
      </c>
      <c r="J955" s="82">
        <v>10.4</v>
      </c>
      <c r="K955" s="89" t="s">
        <v>193</v>
      </c>
    </row>
    <row r="956" spans="1:11" x14ac:dyDescent="0.2">
      <c r="A956" t="s">
        <v>21</v>
      </c>
      <c r="B956" s="89">
        <v>1674</v>
      </c>
      <c r="C956" s="82">
        <v>1</v>
      </c>
      <c r="D956" s="83">
        <v>36689</v>
      </c>
      <c r="E956" s="84">
        <f t="shared" si="14"/>
        <v>2000</v>
      </c>
      <c r="F956" s="82" t="s">
        <v>22</v>
      </c>
      <c r="G956" s="82">
        <v>2</v>
      </c>
      <c r="H956" s="82">
        <v>13</v>
      </c>
      <c r="I956" s="82">
        <v>13</v>
      </c>
      <c r="J956" s="82">
        <v>8.3000000000000007</v>
      </c>
      <c r="K956" s="89" t="s">
        <v>193</v>
      </c>
    </row>
    <row r="957" spans="1:11" x14ac:dyDescent="0.2">
      <c r="A957" t="s">
        <v>21</v>
      </c>
      <c r="B957" s="89">
        <v>1674</v>
      </c>
      <c r="C957" s="82">
        <v>1</v>
      </c>
      <c r="D957" s="83">
        <v>36689</v>
      </c>
      <c r="E957" s="84">
        <f t="shared" si="14"/>
        <v>2000</v>
      </c>
      <c r="F957" s="82" t="s">
        <v>22</v>
      </c>
      <c r="G957" s="82">
        <v>2</v>
      </c>
      <c r="H957" s="82">
        <v>11</v>
      </c>
      <c r="I957" s="82">
        <v>13.3</v>
      </c>
      <c r="J957" s="82">
        <v>9</v>
      </c>
      <c r="K957" s="89" t="s">
        <v>193</v>
      </c>
    </row>
    <row r="958" spans="1:11" x14ac:dyDescent="0.2">
      <c r="A958" t="s">
        <v>21</v>
      </c>
      <c r="B958" s="89">
        <v>1674</v>
      </c>
      <c r="C958" s="82">
        <v>1</v>
      </c>
      <c r="D958" s="83">
        <v>36689</v>
      </c>
      <c r="E958" s="84">
        <f t="shared" si="14"/>
        <v>2000</v>
      </c>
      <c r="F958" s="82" t="s">
        <v>22</v>
      </c>
      <c r="G958" s="82">
        <v>2</v>
      </c>
      <c r="H958" s="82">
        <v>10</v>
      </c>
      <c r="I958" s="82">
        <v>13.7</v>
      </c>
      <c r="J958" s="82">
        <v>9.1999999999999993</v>
      </c>
      <c r="K958" s="89" t="s">
        <v>193</v>
      </c>
    </row>
    <row r="959" spans="1:11" x14ac:dyDescent="0.2">
      <c r="A959" t="s">
        <v>21</v>
      </c>
      <c r="B959" s="89">
        <v>1674</v>
      </c>
      <c r="C959" s="82">
        <v>1</v>
      </c>
      <c r="D959" s="83">
        <v>36689</v>
      </c>
      <c r="E959" s="84">
        <f t="shared" si="14"/>
        <v>2000</v>
      </c>
      <c r="F959" s="82" t="s">
        <v>22</v>
      </c>
      <c r="G959" s="82">
        <v>2</v>
      </c>
      <c r="H959" s="82">
        <v>9</v>
      </c>
      <c r="I959" s="82">
        <v>13.7</v>
      </c>
      <c r="J959" s="82">
        <v>9.1999999999999993</v>
      </c>
      <c r="K959" s="89" t="s">
        <v>193</v>
      </c>
    </row>
    <row r="960" spans="1:11" x14ac:dyDescent="0.2">
      <c r="A960" t="s">
        <v>21</v>
      </c>
      <c r="B960" s="89">
        <v>1674</v>
      </c>
      <c r="C960" s="82">
        <v>1</v>
      </c>
      <c r="D960" s="83">
        <v>36689</v>
      </c>
      <c r="E960" s="84">
        <f t="shared" si="14"/>
        <v>2000</v>
      </c>
      <c r="F960" s="82" t="s">
        <v>22</v>
      </c>
      <c r="G960" s="82">
        <v>2</v>
      </c>
      <c r="H960" s="82">
        <v>8</v>
      </c>
      <c r="I960" s="82">
        <v>13.9</v>
      </c>
      <c r="J960" s="82">
        <v>9.6</v>
      </c>
      <c r="K960" s="89" t="s">
        <v>193</v>
      </c>
    </row>
    <row r="961" spans="1:11" x14ac:dyDescent="0.2">
      <c r="A961" t="s">
        <v>21</v>
      </c>
      <c r="B961" s="89">
        <v>1674</v>
      </c>
      <c r="C961" s="82">
        <v>1</v>
      </c>
      <c r="D961" s="83">
        <v>36689</v>
      </c>
      <c r="E961" s="84">
        <f t="shared" si="14"/>
        <v>2000</v>
      </c>
      <c r="F961" s="82" t="s">
        <v>22</v>
      </c>
      <c r="G961" s="82">
        <v>2</v>
      </c>
      <c r="H961" s="82">
        <v>7</v>
      </c>
      <c r="I961" s="82">
        <v>13.9</v>
      </c>
      <c r="J961" s="82">
        <v>9.6</v>
      </c>
      <c r="K961" s="89" t="s">
        <v>193</v>
      </c>
    </row>
    <row r="962" spans="1:11" x14ac:dyDescent="0.2">
      <c r="A962" t="s">
        <v>21</v>
      </c>
      <c r="B962" s="89">
        <v>1674</v>
      </c>
      <c r="C962" s="82">
        <v>1</v>
      </c>
      <c r="D962" s="83">
        <v>36689</v>
      </c>
      <c r="E962" s="84">
        <f t="shared" ref="E962:E1025" si="15">YEAR(D962)</f>
        <v>2000</v>
      </c>
      <c r="F962" s="82" t="s">
        <v>22</v>
      </c>
      <c r="G962" s="82">
        <v>2</v>
      </c>
      <c r="H962" s="82">
        <v>6</v>
      </c>
      <c r="I962" s="82">
        <v>14</v>
      </c>
      <c r="J962" s="82">
        <v>9.6</v>
      </c>
      <c r="K962" s="89" t="s">
        <v>193</v>
      </c>
    </row>
    <row r="963" spans="1:11" x14ac:dyDescent="0.2">
      <c r="A963" t="s">
        <v>21</v>
      </c>
      <c r="B963" s="89">
        <v>1674</v>
      </c>
      <c r="C963" s="82">
        <v>1</v>
      </c>
      <c r="D963" s="83">
        <v>36752</v>
      </c>
      <c r="E963" s="84">
        <f t="shared" si="15"/>
        <v>2000</v>
      </c>
      <c r="F963" s="82" t="s">
        <v>22</v>
      </c>
      <c r="G963" s="82">
        <v>2</v>
      </c>
      <c r="H963" s="82">
        <v>9</v>
      </c>
      <c r="I963" s="82">
        <v>19.5</v>
      </c>
      <c r="J963" s="82">
        <v>4.7</v>
      </c>
      <c r="K963" s="89" t="s">
        <v>193</v>
      </c>
    </row>
    <row r="964" spans="1:11" x14ac:dyDescent="0.2">
      <c r="A964" t="s">
        <v>21</v>
      </c>
      <c r="B964" s="89">
        <v>1674</v>
      </c>
      <c r="C964" s="82">
        <v>1</v>
      </c>
      <c r="D964" s="83">
        <v>36752</v>
      </c>
      <c r="E964" s="84">
        <f t="shared" si="15"/>
        <v>2000</v>
      </c>
      <c r="F964" s="82" t="s">
        <v>22</v>
      </c>
      <c r="G964" s="82">
        <v>2</v>
      </c>
      <c r="H964" s="82">
        <v>1</v>
      </c>
      <c r="I964" s="82">
        <v>21.7</v>
      </c>
      <c r="J964" s="82">
        <v>10</v>
      </c>
      <c r="K964" s="89" t="s">
        <v>193</v>
      </c>
    </row>
    <row r="965" spans="1:11" x14ac:dyDescent="0.2">
      <c r="A965" t="s">
        <v>21</v>
      </c>
      <c r="B965" s="89">
        <v>1674</v>
      </c>
      <c r="C965" s="82">
        <v>1</v>
      </c>
      <c r="D965" s="83">
        <v>36752</v>
      </c>
      <c r="E965" s="84">
        <f t="shared" si="15"/>
        <v>2000</v>
      </c>
      <c r="F965" s="82" t="s">
        <v>22</v>
      </c>
      <c r="G965" s="82">
        <v>2</v>
      </c>
      <c r="H965" s="82">
        <v>2</v>
      </c>
      <c r="I965" s="82">
        <v>21</v>
      </c>
      <c r="J965" s="82">
        <v>9.4</v>
      </c>
      <c r="K965" s="89" t="s">
        <v>193</v>
      </c>
    </row>
    <row r="966" spans="1:11" x14ac:dyDescent="0.2">
      <c r="A966" t="s">
        <v>21</v>
      </c>
      <c r="B966" s="89">
        <v>1674</v>
      </c>
      <c r="C966" s="82">
        <v>1</v>
      </c>
      <c r="D966" s="83">
        <v>36752</v>
      </c>
      <c r="E966" s="84">
        <f t="shared" si="15"/>
        <v>2000</v>
      </c>
      <c r="F966" s="82" t="s">
        <v>22</v>
      </c>
      <c r="G966" s="82">
        <v>2</v>
      </c>
      <c r="H966" s="82">
        <v>3</v>
      </c>
      <c r="I966" s="82">
        <v>20.8</v>
      </c>
      <c r="J966" s="82">
        <v>8.4</v>
      </c>
      <c r="K966" s="89" t="s">
        <v>193</v>
      </c>
    </row>
    <row r="967" spans="1:11" x14ac:dyDescent="0.2">
      <c r="A967" t="s">
        <v>21</v>
      </c>
      <c r="B967" s="89">
        <v>1674</v>
      </c>
      <c r="C967" s="82">
        <v>1</v>
      </c>
      <c r="D967" s="83">
        <v>36752</v>
      </c>
      <c r="E967" s="84">
        <f t="shared" si="15"/>
        <v>2000</v>
      </c>
      <c r="F967" s="82" t="s">
        <v>22</v>
      </c>
      <c r="G967" s="82">
        <v>2</v>
      </c>
      <c r="H967" s="82">
        <v>4</v>
      </c>
      <c r="I967" s="82">
        <v>20.7</v>
      </c>
      <c r="J967" s="82">
        <v>8.6</v>
      </c>
      <c r="K967" s="89" t="s">
        <v>193</v>
      </c>
    </row>
    <row r="968" spans="1:11" x14ac:dyDescent="0.2">
      <c r="A968" t="s">
        <v>21</v>
      </c>
      <c r="B968" s="89">
        <v>1674</v>
      </c>
      <c r="C968" s="82">
        <v>1</v>
      </c>
      <c r="D968" s="83">
        <v>36752</v>
      </c>
      <c r="E968" s="84">
        <f t="shared" si="15"/>
        <v>2000</v>
      </c>
      <c r="F968" s="82" t="s">
        <v>22</v>
      </c>
      <c r="G968" s="82">
        <v>2</v>
      </c>
      <c r="H968" s="82">
        <v>5</v>
      </c>
      <c r="I968" s="82">
        <v>20.399999999999999</v>
      </c>
      <c r="J968" s="82">
        <v>7.8</v>
      </c>
      <c r="K968" s="89" t="s">
        <v>193</v>
      </c>
    </row>
    <row r="969" spans="1:11" x14ac:dyDescent="0.2">
      <c r="A969" t="s">
        <v>21</v>
      </c>
      <c r="B969" s="89">
        <v>1674</v>
      </c>
      <c r="C969" s="82">
        <v>1</v>
      </c>
      <c r="D969" s="83">
        <v>36752</v>
      </c>
      <c r="E969" s="84">
        <f t="shared" si="15"/>
        <v>2000</v>
      </c>
      <c r="F969" s="82" t="s">
        <v>22</v>
      </c>
      <c r="G969" s="82">
        <v>2</v>
      </c>
      <c r="H969" s="82">
        <v>0</v>
      </c>
      <c r="I969" s="82">
        <v>22.3</v>
      </c>
      <c r="J969" s="82">
        <v>9.9</v>
      </c>
      <c r="K969" s="89" t="s">
        <v>193</v>
      </c>
    </row>
    <row r="970" spans="1:11" x14ac:dyDescent="0.2">
      <c r="A970" t="s">
        <v>21</v>
      </c>
      <c r="B970" s="89">
        <v>1674</v>
      </c>
      <c r="C970" s="82">
        <v>1</v>
      </c>
      <c r="D970" s="83">
        <v>36752</v>
      </c>
      <c r="E970" s="84">
        <f t="shared" si="15"/>
        <v>2000</v>
      </c>
      <c r="F970" s="82" t="s">
        <v>22</v>
      </c>
      <c r="G970" s="82">
        <v>2</v>
      </c>
      <c r="H970" s="82">
        <v>6</v>
      </c>
      <c r="I970" s="82">
        <v>20.2</v>
      </c>
      <c r="J970" s="82">
        <v>7.1</v>
      </c>
      <c r="K970" s="89" t="s">
        <v>193</v>
      </c>
    </row>
    <row r="971" spans="1:11" x14ac:dyDescent="0.2">
      <c r="A971" t="s">
        <v>21</v>
      </c>
      <c r="B971" s="89">
        <v>1674</v>
      </c>
      <c r="C971" s="82">
        <v>1</v>
      </c>
      <c r="D971" s="83">
        <v>36752</v>
      </c>
      <c r="E971" s="84">
        <f t="shared" si="15"/>
        <v>2000</v>
      </c>
      <c r="F971" s="82" t="s">
        <v>22</v>
      </c>
      <c r="G971" s="82">
        <v>2</v>
      </c>
      <c r="H971" s="82">
        <v>8</v>
      </c>
      <c r="I971" s="82">
        <v>19.7</v>
      </c>
      <c r="J971" s="82">
        <v>5.2</v>
      </c>
      <c r="K971" s="89" t="s">
        <v>193</v>
      </c>
    </row>
    <row r="972" spans="1:11" x14ac:dyDescent="0.2">
      <c r="A972" t="s">
        <v>21</v>
      </c>
      <c r="B972" s="89">
        <v>1674</v>
      </c>
      <c r="C972" s="82">
        <v>1</v>
      </c>
      <c r="D972" s="83">
        <v>36752</v>
      </c>
      <c r="E972" s="84">
        <f t="shared" si="15"/>
        <v>2000</v>
      </c>
      <c r="F972" s="82" t="s">
        <v>22</v>
      </c>
      <c r="G972" s="82">
        <v>2</v>
      </c>
      <c r="H972" s="82">
        <v>10</v>
      </c>
      <c r="I972" s="82">
        <v>19.399999999999999</v>
      </c>
      <c r="J972" s="82">
        <v>4.2</v>
      </c>
      <c r="K972" s="89" t="s">
        <v>193</v>
      </c>
    </row>
    <row r="973" spans="1:11" x14ac:dyDescent="0.2">
      <c r="A973" t="s">
        <v>21</v>
      </c>
      <c r="B973" s="89">
        <v>1674</v>
      </c>
      <c r="C973" s="82">
        <v>1</v>
      </c>
      <c r="D973" s="83">
        <v>36752</v>
      </c>
      <c r="E973" s="84">
        <f t="shared" si="15"/>
        <v>2000</v>
      </c>
      <c r="F973" s="82" t="s">
        <v>22</v>
      </c>
      <c r="G973" s="82">
        <v>2</v>
      </c>
      <c r="H973" s="82">
        <v>11</v>
      </c>
      <c r="I973" s="82">
        <v>19.100000000000001</v>
      </c>
      <c r="J973" s="82">
        <v>3.5</v>
      </c>
      <c r="K973" s="89" t="s">
        <v>193</v>
      </c>
    </row>
    <row r="974" spans="1:11" x14ac:dyDescent="0.2">
      <c r="A974" t="s">
        <v>21</v>
      </c>
      <c r="B974" s="89">
        <v>1674</v>
      </c>
      <c r="C974" s="82">
        <v>1</v>
      </c>
      <c r="D974" s="83">
        <v>36752</v>
      </c>
      <c r="E974" s="84">
        <f t="shared" si="15"/>
        <v>2000</v>
      </c>
      <c r="F974" s="82" t="s">
        <v>22</v>
      </c>
      <c r="G974" s="82">
        <v>2</v>
      </c>
      <c r="H974" s="82">
        <v>12</v>
      </c>
      <c r="I974" s="82">
        <v>18.600000000000001</v>
      </c>
      <c r="J974" s="82">
        <v>0.4</v>
      </c>
      <c r="K974" s="89" t="s">
        <v>193</v>
      </c>
    </row>
    <row r="975" spans="1:11" x14ac:dyDescent="0.2">
      <c r="A975" t="s">
        <v>21</v>
      </c>
      <c r="B975" s="89">
        <v>1674</v>
      </c>
      <c r="C975" s="82">
        <v>1</v>
      </c>
      <c r="D975" s="83">
        <v>36752</v>
      </c>
      <c r="E975" s="84">
        <f t="shared" si="15"/>
        <v>2000</v>
      </c>
      <c r="F975" s="82" t="s">
        <v>22</v>
      </c>
      <c r="G975" s="82">
        <v>2</v>
      </c>
      <c r="H975" s="82">
        <v>13</v>
      </c>
      <c r="I975" s="82">
        <v>15</v>
      </c>
      <c r="J975" s="82">
        <v>0.1</v>
      </c>
      <c r="K975" s="89" t="s">
        <v>193</v>
      </c>
    </row>
    <row r="976" spans="1:11" x14ac:dyDescent="0.2">
      <c r="A976" t="s">
        <v>21</v>
      </c>
      <c r="B976" s="89">
        <v>1674</v>
      </c>
      <c r="C976" s="82">
        <v>1</v>
      </c>
      <c r="D976" s="83">
        <v>36752</v>
      </c>
      <c r="E976" s="84">
        <f t="shared" si="15"/>
        <v>2000</v>
      </c>
      <c r="F976" s="82" t="s">
        <v>22</v>
      </c>
      <c r="G976" s="82">
        <v>2</v>
      </c>
      <c r="H976" s="82">
        <v>7</v>
      </c>
      <c r="I976" s="82">
        <v>20</v>
      </c>
      <c r="J976" s="82">
        <v>6.5</v>
      </c>
      <c r="K976" s="89" t="s">
        <v>193</v>
      </c>
    </row>
    <row r="977" spans="1:11" x14ac:dyDescent="0.2">
      <c r="A977" t="s">
        <v>21</v>
      </c>
      <c r="B977" s="89">
        <v>1674</v>
      </c>
      <c r="C977" s="82">
        <v>1</v>
      </c>
      <c r="D977" s="83">
        <v>37394</v>
      </c>
      <c r="E977" s="84">
        <f t="shared" si="15"/>
        <v>2002</v>
      </c>
      <c r="F977" s="82" t="s">
        <v>22</v>
      </c>
      <c r="G977" s="82">
        <v>2</v>
      </c>
      <c r="H977" s="82">
        <v>5</v>
      </c>
      <c r="I977" s="82">
        <v>8</v>
      </c>
      <c r="J977" s="82">
        <v>11.5</v>
      </c>
      <c r="K977" s="89" t="s">
        <v>193</v>
      </c>
    </row>
    <row r="978" spans="1:11" x14ac:dyDescent="0.2">
      <c r="A978" t="s">
        <v>21</v>
      </c>
      <c r="B978" s="89">
        <v>1674</v>
      </c>
      <c r="C978" s="82">
        <v>1</v>
      </c>
      <c r="D978" s="83">
        <v>37394</v>
      </c>
      <c r="E978" s="84">
        <f t="shared" si="15"/>
        <v>2002</v>
      </c>
      <c r="F978" s="82" t="s">
        <v>22</v>
      </c>
      <c r="G978" s="82">
        <v>2</v>
      </c>
      <c r="H978" s="82">
        <v>6</v>
      </c>
      <c r="I978" s="82">
        <v>8</v>
      </c>
      <c r="J978" s="82">
        <v>11.5</v>
      </c>
      <c r="K978" s="89" t="s">
        <v>193</v>
      </c>
    </row>
    <row r="979" spans="1:11" x14ac:dyDescent="0.2">
      <c r="A979" t="s">
        <v>21</v>
      </c>
      <c r="B979" s="89">
        <v>1674</v>
      </c>
      <c r="C979" s="82">
        <v>1</v>
      </c>
      <c r="D979" s="83">
        <v>37394</v>
      </c>
      <c r="E979" s="84">
        <f t="shared" si="15"/>
        <v>2002</v>
      </c>
      <c r="F979" s="82" t="s">
        <v>22</v>
      </c>
      <c r="G979" s="82">
        <v>2</v>
      </c>
      <c r="H979" s="82">
        <v>4</v>
      </c>
      <c r="I979" s="82">
        <v>8.1999999999999993</v>
      </c>
      <c r="J979" s="82">
        <v>11.5</v>
      </c>
      <c r="K979" s="89" t="s">
        <v>193</v>
      </c>
    </row>
    <row r="980" spans="1:11" x14ac:dyDescent="0.2">
      <c r="A980" t="s">
        <v>21</v>
      </c>
      <c r="B980" s="89">
        <v>1674</v>
      </c>
      <c r="C980" s="82">
        <v>1</v>
      </c>
      <c r="D980" s="83">
        <v>37394</v>
      </c>
      <c r="E980" s="84">
        <f t="shared" si="15"/>
        <v>2002</v>
      </c>
      <c r="F980" s="82" t="s">
        <v>22</v>
      </c>
      <c r="G980" s="82">
        <v>2</v>
      </c>
      <c r="H980" s="82">
        <v>7</v>
      </c>
      <c r="I980" s="82">
        <v>8</v>
      </c>
      <c r="J980" s="82">
        <v>11.6</v>
      </c>
      <c r="K980" s="89" t="s">
        <v>193</v>
      </c>
    </row>
    <row r="981" spans="1:11" x14ac:dyDescent="0.2">
      <c r="A981" t="s">
        <v>21</v>
      </c>
      <c r="B981" s="89">
        <v>1674</v>
      </c>
      <c r="C981" s="82">
        <v>1</v>
      </c>
      <c r="D981" s="83">
        <v>37394</v>
      </c>
      <c r="E981" s="84">
        <f t="shared" si="15"/>
        <v>2002</v>
      </c>
      <c r="F981" s="82" t="s">
        <v>22</v>
      </c>
      <c r="G981" s="82">
        <v>2</v>
      </c>
      <c r="H981" s="82">
        <v>8</v>
      </c>
      <c r="I981" s="82">
        <v>8</v>
      </c>
      <c r="J981" s="82">
        <v>11.6</v>
      </c>
      <c r="K981" s="89" t="s">
        <v>193</v>
      </c>
    </row>
    <row r="982" spans="1:11" x14ac:dyDescent="0.2">
      <c r="A982" t="s">
        <v>21</v>
      </c>
      <c r="B982" s="89">
        <v>1674</v>
      </c>
      <c r="C982" s="82">
        <v>1</v>
      </c>
      <c r="D982" s="83">
        <v>37394</v>
      </c>
      <c r="E982" s="84">
        <f t="shared" si="15"/>
        <v>2002</v>
      </c>
      <c r="F982" s="82" t="s">
        <v>22</v>
      </c>
      <c r="G982" s="82">
        <v>2</v>
      </c>
      <c r="H982" s="82">
        <v>9</v>
      </c>
      <c r="I982" s="82">
        <v>8</v>
      </c>
      <c r="J982" s="82">
        <v>11.6</v>
      </c>
      <c r="K982" s="89" t="s">
        <v>193</v>
      </c>
    </row>
    <row r="983" spans="1:11" x14ac:dyDescent="0.2">
      <c r="A983" t="s">
        <v>21</v>
      </c>
      <c r="B983" s="89">
        <v>1674</v>
      </c>
      <c r="C983" s="82">
        <v>1</v>
      </c>
      <c r="D983" s="83">
        <v>37394</v>
      </c>
      <c r="E983" s="84">
        <f t="shared" si="15"/>
        <v>2002</v>
      </c>
      <c r="F983" s="82" t="s">
        <v>22</v>
      </c>
      <c r="G983" s="82">
        <v>2</v>
      </c>
      <c r="H983" s="82">
        <v>10</v>
      </c>
      <c r="I983" s="82">
        <v>8</v>
      </c>
      <c r="J983" s="82">
        <v>11.6</v>
      </c>
      <c r="K983" s="89" t="s">
        <v>193</v>
      </c>
    </row>
    <row r="984" spans="1:11" x14ac:dyDescent="0.2">
      <c r="A984" t="s">
        <v>21</v>
      </c>
      <c r="B984" s="89">
        <v>1674</v>
      </c>
      <c r="C984" s="82">
        <v>1</v>
      </c>
      <c r="D984" s="83">
        <v>37394</v>
      </c>
      <c r="E984" s="84">
        <f t="shared" si="15"/>
        <v>2002</v>
      </c>
      <c r="F984" s="82" t="s">
        <v>22</v>
      </c>
      <c r="G984" s="82">
        <v>2</v>
      </c>
      <c r="H984" s="82">
        <v>11</v>
      </c>
      <c r="I984" s="82">
        <v>8</v>
      </c>
      <c r="J984" s="82">
        <v>11.6</v>
      </c>
      <c r="K984" s="89" t="s">
        <v>193</v>
      </c>
    </row>
    <row r="985" spans="1:11" x14ac:dyDescent="0.2">
      <c r="A985" t="s">
        <v>21</v>
      </c>
      <c r="B985" s="89">
        <v>1674</v>
      </c>
      <c r="C985" s="82">
        <v>1</v>
      </c>
      <c r="D985" s="83">
        <v>37394</v>
      </c>
      <c r="E985" s="84">
        <f t="shared" si="15"/>
        <v>2002</v>
      </c>
      <c r="F985" s="82" t="s">
        <v>22</v>
      </c>
      <c r="G985" s="82">
        <v>2</v>
      </c>
      <c r="H985" s="82">
        <v>13</v>
      </c>
      <c r="I985" s="82">
        <v>8</v>
      </c>
      <c r="J985" s="82">
        <v>11.6</v>
      </c>
      <c r="K985" s="89" t="s">
        <v>193</v>
      </c>
    </row>
    <row r="986" spans="1:11" x14ac:dyDescent="0.2">
      <c r="A986" t="s">
        <v>21</v>
      </c>
      <c r="B986" s="89">
        <v>1674</v>
      </c>
      <c r="C986" s="82">
        <v>1</v>
      </c>
      <c r="D986" s="83">
        <v>37394</v>
      </c>
      <c r="E986" s="84">
        <f t="shared" si="15"/>
        <v>2002</v>
      </c>
      <c r="F986" s="82" t="s">
        <v>22</v>
      </c>
      <c r="G986" s="82">
        <v>2</v>
      </c>
      <c r="H986" s="82">
        <v>0</v>
      </c>
      <c r="I986" s="82">
        <v>8.1</v>
      </c>
      <c r="J986" s="82">
        <v>11.6</v>
      </c>
      <c r="K986" s="89" t="s">
        <v>193</v>
      </c>
    </row>
    <row r="987" spans="1:11" x14ac:dyDescent="0.2">
      <c r="A987" t="s">
        <v>21</v>
      </c>
      <c r="B987" s="89">
        <v>1674</v>
      </c>
      <c r="C987" s="82">
        <v>1</v>
      </c>
      <c r="D987" s="83">
        <v>37394</v>
      </c>
      <c r="E987" s="84">
        <f t="shared" si="15"/>
        <v>2002</v>
      </c>
      <c r="F987" s="82" t="s">
        <v>22</v>
      </c>
      <c r="G987" s="82">
        <v>2</v>
      </c>
      <c r="H987" s="82">
        <v>1</v>
      </c>
      <c r="I987" s="82">
        <v>8.1999999999999993</v>
      </c>
      <c r="J987" s="82">
        <v>11.6</v>
      </c>
      <c r="K987" s="89" t="s">
        <v>193</v>
      </c>
    </row>
    <row r="988" spans="1:11" x14ac:dyDescent="0.2">
      <c r="A988" t="s">
        <v>21</v>
      </c>
      <c r="B988" s="89">
        <v>1674</v>
      </c>
      <c r="C988" s="82">
        <v>1</v>
      </c>
      <c r="D988" s="83">
        <v>37394</v>
      </c>
      <c r="E988" s="84">
        <f t="shared" si="15"/>
        <v>2002</v>
      </c>
      <c r="F988" s="82" t="s">
        <v>22</v>
      </c>
      <c r="G988" s="82">
        <v>2</v>
      </c>
      <c r="H988" s="82">
        <v>2</v>
      </c>
      <c r="I988" s="82">
        <v>8.1999999999999993</v>
      </c>
      <c r="J988" s="82">
        <v>11.6</v>
      </c>
      <c r="K988" s="89" t="s">
        <v>193</v>
      </c>
    </row>
    <row r="989" spans="1:11" x14ac:dyDescent="0.2">
      <c r="A989" t="s">
        <v>21</v>
      </c>
      <c r="B989" s="89">
        <v>1674</v>
      </c>
      <c r="C989" s="82">
        <v>1</v>
      </c>
      <c r="D989" s="83">
        <v>37394</v>
      </c>
      <c r="E989" s="84">
        <f t="shared" si="15"/>
        <v>2002</v>
      </c>
      <c r="F989" s="82" t="s">
        <v>22</v>
      </c>
      <c r="G989" s="82">
        <v>2</v>
      </c>
      <c r="H989" s="82">
        <v>3</v>
      </c>
      <c r="I989" s="82">
        <v>8.1999999999999993</v>
      </c>
      <c r="J989" s="82">
        <v>11.6</v>
      </c>
      <c r="K989" s="89" t="s">
        <v>193</v>
      </c>
    </row>
    <row r="990" spans="1:11" x14ac:dyDescent="0.2">
      <c r="A990" t="s">
        <v>21</v>
      </c>
      <c r="B990" s="89">
        <v>1674</v>
      </c>
      <c r="C990" s="82">
        <v>1</v>
      </c>
      <c r="D990" s="83">
        <v>37857</v>
      </c>
      <c r="E990" s="84">
        <f t="shared" si="15"/>
        <v>2003</v>
      </c>
      <c r="F990" s="82" t="s">
        <v>22</v>
      </c>
      <c r="G990" s="82">
        <v>2</v>
      </c>
      <c r="H990" s="82">
        <v>0</v>
      </c>
      <c r="I990" s="82">
        <v>20.5</v>
      </c>
      <c r="J990" s="82">
        <v>7.2</v>
      </c>
      <c r="K990" s="89" t="s">
        <v>193</v>
      </c>
    </row>
    <row r="991" spans="1:11" x14ac:dyDescent="0.2">
      <c r="A991" t="s">
        <v>21</v>
      </c>
      <c r="B991" s="89">
        <v>1674</v>
      </c>
      <c r="C991" s="82">
        <v>1</v>
      </c>
      <c r="D991" s="83">
        <v>37857</v>
      </c>
      <c r="E991" s="84">
        <f t="shared" si="15"/>
        <v>2003</v>
      </c>
      <c r="F991" s="82" t="s">
        <v>22</v>
      </c>
      <c r="G991" s="82">
        <v>2</v>
      </c>
      <c r="H991" s="82">
        <v>1</v>
      </c>
      <c r="I991" s="82">
        <v>20.5</v>
      </c>
      <c r="J991" s="82">
        <v>7.2</v>
      </c>
      <c r="K991" s="89" t="s">
        <v>193</v>
      </c>
    </row>
    <row r="992" spans="1:11" x14ac:dyDescent="0.2">
      <c r="A992" t="s">
        <v>21</v>
      </c>
      <c r="B992" s="89">
        <v>1674</v>
      </c>
      <c r="C992" s="82">
        <v>1</v>
      </c>
      <c r="D992" s="83">
        <v>37857</v>
      </c>
      <c r="E992" s="84">
        <f t="shared" si="15"/>
        <v>2003</v>
      </c>
      <c r="F992" s="82" t="s">
        <v>22</v>
      </c>
      <c r="G992" s="82">
        <v>2</v>
      </c>
      <c r="H992" s="82">
        <v>2</v>
      </c>
      <c r="I992" s="82">
        <v>20.5</v>
      </c>
      <c r="J992" s="82">
        <v>7.2</v>
      </c>
      <c r="K992" s="89" t="s">
        <v>193</v>
      </c>
    </row>
    <row r="993" spans="1:11" x14ac:dyDescent="0.2">
      <c r="A993" t="s">
        <v>21</v>
      </c>
      <c r="B993" s="89">
        <v>1674</v>
      </c>
      <c r="C993" s="82">
        <v>1</v>
      </c>
      <c r="D993" s="83">
        <v>37857</v>
      </c>
      <c r="E993" s="84">
        <f t="shared" si="15"/>
        <v>2003</v>
      </c>
      <c r="F993" s="82" t="s">
        <v>22</v>
      </c>
      <c r="G993" s="82">
        <v>2</v>
      </c>
      <c r="H993" s="82">
        <v>3</v>
      </c>
      <c r="I993" s="82">
        <v>20.5</v>
      </c>
      <c r="J993" s="82">
        <v>7.2</v>
      </c>
      <c r="K993" s="89" t="s">
        <v>193</v>
      </c>
    </row>
    <row r="994" spans="1:11" x14ac:dyDescent="0.2">
      <c r="A994" t="s">
        <v>21</v>
      </c>
      <c r="B994" s="89">
        <v>1674</v>
      </c>
      <c r="C994" s="82">
        <v>1</v>
      </c>
      <c r="D994" s="83">
        <v>37857</v>
      </c>
      <c r="E994" s="84">
        <f t="shared" si="15"/>
        <v>2003</v>
      </c>
      <c r="F994" s="82" t="s">
        <v>22</v>
      </c>
      <c r="G994" s="82">
        <v>2</v>
      </c>
      <c r="H994" s="82">
        <v>4</v>
      </c>
      <c r="I994" s="82">
        <v>20.6</v>
      </c>
      <c r="J994" s="82">
        <v>7.2</v>
      </c>
      <c r="K994" s="89" t="s">
        <v>193</v>
      </c>
    </row>
    <row r="995" spans="1:11" x14ac:dyDescent="0.2">
      <c r="A995" t="s">
        <v>21</v>
      </c>
      <c r="B995" s="89">
        <v>1674</v>
      </c>
      <c r="C995" s="82">
        <v>1</v>
      </c>
      <c r="D995" s="83">
        <v>37857</v>
      </c>
      <c r="E995" s="84">
        <f t="shared" si="15"/>
        <v>2003</v>
      </c>
      <c r="F995" s="82" t="s">
        <v>22</v>
      </c>
      <c r="G995" s="82">
        <v>2</v>
      </c>
      <c r="H995" s="82">
        <v>5</v>
      </c>
      <c r="I995" s="82">
        <v>20.6</v>
      </c>
      <c r="J995" s="82">
        <v>7.2</v>
      </c>
      <c r="K995" s="89" t="s">
        <v>193</v>
      </c>
    </row>
    <row r="996" spans="1:11" x14ac:dyDescent="0.2">
      <c r="A996" t="s">
        <v>21</v>
      </c>
      <c r="B996" s="89">
        <v>1674</v>
      </c>
      <c r="C996" s="82">
        <v>1</v>
      </c>
      <c r="D996" s="83">
        <v>37857</v>
      </c>
      <c r="E996" s="84">
        <f t="shared" si="15"/>
        <v>2003</v>
      </c>
      <c r="F996" s="82" t="s">
        <v>22</v>
      </c>
      <c r="G996" s="82">
        <v>2</v>
      </c>
      <c r="H996" s="82">
        <v>6</v>
      </c>
      <c r="I996" s="82">
        <v>20.6</v>
      </c>
      <c r="J996" s="82">
        <v>7.2</v>
      </c>
      <c r="K996" s="89" t="s">
        <v>193</v>
      </c>
    </row>
    <row r="997" spans="1:11" x14ac:dyDescent="0.2">
      <c r="A997" t="s">
        <v>21</v>
      </c>
      <c r="B997" s="89">
        <v>1674</v>
      </c>
      <c r="C997" s="82">
        <v>1</v>
      </c>
      <c r="D997" s="83">
        <v>37857</v>
      </c>
      <c r="E997" s="84">
        <f t="shared" si="15"/>
        <v>2003</v>
      </c>
      <c r="F997" s="82" t="s">
        <v>22</v>
      </c>
      <c r="G997" s="82">
        <v>2</v>
      </c>
      <c r="H997" s="82">
        <v>7</v>
      </c>
      <c r="I997" s="82">
        <v>20.6</v>
      </c>
      <c r="J997" s="82">
        <v>7.1</v>
      </c>
      <c r="K997" s="89" t="s">
        <v>193</v>
      </c>
    </row>
    <row r="998" spans="1:11" x14ac:dyDescent="0.2">
      <c r="A998" t="s">
        <v>21</v>
      </c>
      <c r="B998" s="89">
        <v>1674</v>
      </c>
      <c r="C998" s="82">
        <v>1</v>
      </c>
      <c r="D998" s="83">
        <v>37857</v>
      </c>
      <c r="E998" s="84">
        <f t="shared" si="15"/>
        <v>2003</v>
      </c>
      <c r="F998" s="82" t="s">
        <v>22</v>
      </c>
      <c r="G998" s="82">
        <v>2</v>
      </c>
      <c r="H998" s="82">
        <v>8</v>
      </c>
      <c r="I998" s="82">
        <v>20.6</v>
      </c>
      <c r="J998" s="82">
        <v>6.9</v>
      </c>
      <c r="K998" s="89" t="s">
        <v>193</v>
      </c>
    </row>
    <row r="999" spans="1:11" x14ac:dyDescent="0.2">
      <c r="A999" t="s">
        <v>21</v>
      </c>
      <c r="B999" s="89">
        <v>1674</v>
      </c>
      <c r="C999" s="82">
        <v>1</v>
      </c>
      <c r="D999" s="83">
        <v>37857</v>
      </c>
      <c r="E999" s="84">
        <f t="shared" si="15"/>
        <v>2003</v>
      </c>
      <c r="F999" s="82" t="s">
        <v>22</v>
      </c>
      <c r="G999" s="82">
        <v>2</v>
      </c>
      <c r="H999" s="82">
        <v>9</v>
      </c>
      <c r="I999" s="82">
        <v>20.399999999999999</v>
      </c>
      <c r="J999" s="82">
        <v>6.9</v>
      </c>
      <c r="K999" s="89" t="s">
        <v>193</v>
      </c>
    </row>
    <row r="1000" spans="1:11" x14ac:dyDescent="0.2">
      <c r="A1000" t="s">
        <v>21</v>
      </c>
      <c r="B1000" s="89">
        <v>1674</v>
      </c>
      <c r="C1000" s="82">
        <v>1</v>
      </c>
      <c r="D1000" s="83">
        <v>37857</v>
      </c>
      <c r="E1000" s="84">
        <f t="shared" si="15"/>
        <v>2003</v>
      </c>
      <c r="F1000" s="82" t="s">
        <v>22</v>
      </c>
      <c r="G1000" s="82">
        <v>2</v>
      </c>
      <c r="H1000" s="82">
        <v>10</v>
      </c>
      <c r="I1000" s="82">
        <v>18.2</v>
      </c>
      <c r="J1000" s="82">
        <v>1.8</v>
      </c>
      <c r="K1000" s="89" t="s">
        <v>193</v>
      </c>
    </row>
    <row r="1001" spans="1:11" x14ac:dyDescent="0.2">
      <c r="A1001" t="s">
        <v>21</v>
      </c>
      <c r="B1001" s="89">
        <v>1674</v>
      </c>
      <c r="C1001" s="82">
        <v>1</v>
      </c>
      <c r="D1001" s="83">
        <v>37857</v>
      </c>
      <c r="E1001" s="84">
        <f t="shared" si="15"/>
        <v>2003</v>
      </c>
      <c r="F1001" s="82" t="s">
        <v>22</v>
      </c>
      <c r="G1001" s="82">
        <v>2</v>
      </c>
      <c r="H1001" s="82">
        <v>11</v>
      </c>
      <c r="I1001" s="82">
        <v>16.7</v>
      </c>
      <c r="J1001" s="82">
        <v>0.4</v>
      </c>
      <c r="K1001" s="89" t="s">
        <v>193</v>
      </c>
    </row>
    <row r="1002" spans="1:11" x14ac:dyDescent="0.2">
      <c r="A1002" t="s">
        <v>21</v>
      </c>
      <c r="B1002" s="89">
        <v>1674</v>
      </c>
      <c r="C1002" s="82">
        <v>1</v>
      </c>
      <c r="D1002" s="83">
        <v>37857</v>
      </c>
      <c r="E1002" s="84">
        <f t="shared" si="15"/>
        <v>2003</v>
      </c>
      <c r="F1002" s="82" t="s">
        <v>22</v>
      </c>
      <c r="G1002" s="82">
        <v>2</v>
      </c>
      <c r="H1002" s="82">
        <v>12</v>
      </c>
      <c r="I1002" s="82">
        <v>14.3</v>
      </c>
      <c r="J1002" s="82">
        <v>0.4</v>
      </c>
      <c r="K1002" s="89" t="s">
        <v>193</v>
      </c>
    </row>
    <row r="1003" spans="1:11" x14ac:dyDescent="0.2">
      <c r="A1003" t="s">
        <v>21</v>
      </c>
      <c r="B1003" s="89">
        <v>1674</v>
      </c>
      <c r="C1003" s="82">
        <v>1</v>
      </c>
      <c r="D1003" s="83">
        <v>37857</v>
      </c>
      <c r="E1003" s="84">
        <f t="shared" si="15"/>
        <v>2003</v>
      </c>
      <c r="F1003" s="82" t="s">
        <v>22</v>
      </c>
      <c r="G1003" s="82">
        <v>2</v>
      </c>
      <c r="H1003" s="82">
        <v>13</v>
      </c>
      <c r="I1003" s="82">
        <v>13.7</v>
      </c>
      <c r="J1003" s="82">
        <v>0.3</v>
      </c>
      <c r="K1003" s="89" t="s">
        <v>193</v>
      </c>
    </row>
    <row r="1004" spans="1:11" x14ac:dyDescent="0.2">
      <c r="A1004" t="s">
        <v>21</v>
      </c>
      <c r="B1004" s="89">
        <v>1674</v>
      </c>
      <c r="C1004" s="82">
        <v>1</v>
      </c>
      <c r="D1004" s="83">
        <v>38141</v>
      </c>
      <c r="E1004" s="84">
        <f t="shared" si="15"/>
        <v>2004</v>
      </c>
      <c r="F1004" s="82" t="s">
        <v>22</v>
      </c>
      <c r="G1004" s="82">
        <v>2</v>
      </c>
      <c r="H1004" s="82">
        <v>0</v>
      </c>
      <c r="I1004" s="82">
        <v>12.3</v>
      </c>
      <c r="J1004" s="228">
        <v>10.8</v>
      </c>
      <c r="K1004" s="89" t="s">
        <v>193</v>
      </c>
    </row>
    <row r="1005" spans="1:11" x14ac:dyDescent="0.2">
      <c r="A1005" t="s">
        <v>21</v>
      </c>
      <c r="B1005" s="89">
        <v>1674</v>
      </c>
      <c r="C1005" s="82">
        <v>1</v>
      </c>
      <c r="D1005" s="83">
        <v>38141</v>
      </c>
      <c r="E1005" s="84">
        <f t="shared" si="15"/>
        <v>2004</v>
      </c>
      <c r="F1005" s="82" t="s">
        <v>22</v>
      </c>
      <c r="G1005" s="82">
        <v>2</v>
      </c>
      <c r="H1005" s="82">
        <v>1</v>
      </c>
      <c r="I1005" s="82">
        <v>12.2</v>
      </c>
      <c r="J1005" s="228">
        <v>10.9</v>
      </c>
      <c r="K1005" s="89" t="s">
        <v>193</v>
      </c>
    </row>
    <row r="1006" spans="1:11" x14ac:dyDescent="0.2">
      <c r="A1006" t="s">
        <v>21</v>
      </c>
      <c r="B1006" s="89">
        <v>1674</v>
      </c>
      <c r="C1006" s="82">
        <v>1</v>
      </c>
      <c r="D1006" s="83">
        <v>38141</v>
      </c>
      <c r="E1006" s="84">
        <f t="shared" si="15"/>
        <v>2004</v>
      </c>
      <c r="F1006" s="82" t="s">
        <v>22</v>
      </c>
      <c r="G1006" s="82">
        <v>2</v>
      </c>
      <c r="H1006" s="82">
        <v>2</v>
      </c>
      <c r="I1006" s="82">
        <v>12</v>
      </c>
      <c r="J1006" s="228">
        <v>10.9</v>
      </c>
      <c r="K1006" s="89" t="s">
        <v>193</v>
      </c>
    </row>
    <row r="1007" spans="1:11" x14ac:dyDescent="0.2">
      <c r="A1007" t="s">
        <v>21</v>
      </c>
      <c r="B1007" s="89">
        <v>1674</v>
      </c>
      <c r="C1007" s="82">
        <v>1</v>
      </c>
      <c r="D1007" s="83">
        <v>38141</v>
      </c>
      <c r="E1007" s="84">
        <f t="shared" si="15"/>
        <v>2004</v>
      </c>
      <c r="F1007" s="82" t="s">
        <v>22</v>
      </c>
      <c r="G1007" s="82">
        <v>2</v>
      </c>
      <c r="H1007" s="82">
        <v>3</v>
      </c>
      <c r="I1007" s="82">
        <v>11.8</v>
      </c>
      <c r="J1007" s="228">
        <v>10.8</v>
      </c>
      <c r="K1007" s="89" t="s">
        <v>193</v>
      </c>
    </row>
    <row r="1008" spans="1:11" x14ac:dyDescent="0.2">
      <c r="A1008" t="s">
        <v>21</v>
      </c>
      <c r="B1008" s="89">
        <v>1674</v>
      </c>
      <c r="C1008" s="82">
        <v>1</v>
      </c>
      <c r="D1008" s="83">
        <v>38141</v>
      </c>
      <c r="E1008" s="84">
        <f t="shared" si="15"/>
        <v>2004</v>
      </c>
      <c r="F1008" s="82" t="s">
        <v>22</v>
      </c>
      <c r="G1008" s="82">
        <v>2</v>
      </c>
      <c r="H1008" s="82">
        <v>4</v>
      </c>
      <c r="I1008" s="82">
        <v>11.8</v>
      </c>
      <c r="J1008" s="228">
        <v>10.7</v>
      </c>
      <c r="K1008" s="89" t="s">
        <v>193</v>
      </c>
    </row>
    <row r="1009" spans="1:11" x14ac:dyDescent="0.2">
      <c r="A1009" t="s">
        <v>21</v>
      </c>
      <c r="B1009" s="89">
        <v>1674</v>
      </c>
      <c r="C1009" s="82">
        <v>1</v>
      </c>
      <c r="D1009" s="83">
        <v>38141</v>
      </c>
      <c r="E1009" s="84">
        <f t="shared" si="15"/>
        <v>2004</v>
      </c>
      <c r="F1009" s="82" t="s">
        <v>22</v>
      </c>
      <c r="G1009" s="82">
        <v>2</v>
      </c>
      <c r="H1009" s="82">
        <v>5</v>
      </c>
      <c r="I1009" s="82">
        <v>11.8</v>
      </c>
      <c r="J1009" s="228">
        <v>10.6</v>
      </c>
      <c r="K1009" s="89" t="s">
        <v>193</v>
      </c>
    </row>
    <row r="1010" spans="1:11" x14ac:dyDescent="0.2">
      <c r="A1010" t="s">
        <v>21</v>
      </c>
      <c r="B1010" s="89">
        <v>1674</v>
      </c>
      <c r="C1010" s="82">
        <v>1</v>
      </c>
      <c r="D1010" s="83">
        <v>38141</v>
      </c>
      <c r="E1010" s="84">
        <f t="shared" si="15"/>
        <v>2004</v>
      </c>
      <c r="F1010" s="82" t="s">
        <v>22</v>
      </c>
      <c r="G1010" s="82">
        <v>2</v>
      </c>
      <c r="H1010" s="82">
        <v>6</v>
      </c>
      <c r="I1010" s="82">
        <v>11.7</v>
      </c>
      <c r="J1010" s="228">
        <v>10.4</v>
      </c>
      <c r="K1010" s="89" t="s">
        <v>193</v>
      </c>
    </row>
    <row r="1011" spans="1:11" x14ac:dyDescent="0.2">
      <c r="A1011" t="s">
        <v>21</v>
      </c>
      <c r="B1011" s="89">
        <v>1674</v>
      </c>
      <c r="C1011" s="82">
        <v>1</v>
      </c>
      <c r="D1011" s="83">
        <v>38141</v>
      </c>
      <c r="E1011" s="84">
        <f t="shared" si="15"/>
        <v>2004</v>
      </c>
      <c r="F1011" s="82" t="s">
        <v>22</v>
      </c>
      <c r="G1011" s="82">
        <v>2</v>
      </c>
      <c r="H1011" s="82">
        <v>7</v>
      </c>
      <c r="I1011" s="82">
        <v>11.6</v>
      </c>
      <c r="J1011" s="228">
        <v>10.3</v>
      </c>
      <c r="K1011" s="89" t="s">
        <v>193</v>
      </c>
    </row>
    <row r="1012" spans="1:11" x14ac:dyDescent="0.2">
      <c r="A1012" t="s">
        <v>21</v>
      </c>
      <c r="B1012" s="89">
        <v>1674</v>
      </c>
      <c r="C1012" s="82">
        <v>1</v>
      </c>
      <c r="D1012" s="83">
        <v>38141</v>
      </c>
      <c r="E1012" s="84">
        <f t="shared" si="15"/>
        <v>2004</v>
      </c>
      <c r="F1012" s="82" t="s">
        <v>22</v>
      </c>
      <c r="G1012" s="82">
        <v>2</v>
      </c>
      <c r="H1012" s="82">
        <v>8</v>
      </c>
      <c r="I1012" s="82">
        <v>11.6</v>
      </c>
      <c r="J1012" s="228">
        <v>10</v>
      </c>
      <c r="K1012" s="89" t="s">
        <v>193</v>
      </c>
    </row>
    <row r="1013" spans="1:11" x14ac:dyDescent="0.2">
      <c r="A1013" t="s">
        <v>21</v>
      </c>
      <c r="B1013" s="89">
        <v>1674</v>
      </c>
      <c r="C1013" s="82">
        <v>1</v>
      </c>
      <c r="D1013" s="83">
        <v>38141</v>
      </c>
      <c r="E1013" s="84">
        <f t="shared" si="15"/>
        <v>2004</v>
      </c>
      <c r="F1013" s="82" t="s">
        <v>22</v>
      </c>
      <c r="G1013" s="82">
        <v>2</v>
      </c>
      <c r="H1013" s="82">
        <v>9</v>
      </c>
      <c r="I1013" s="82">
        <v>11.5</v>
      </c>
      <c r="J1013" s="228">
        <v>9.8000000000000007</v>
      </c>
      <c r="K1013" s="89" t="s">
        <v>193</v>
      </c>
    </row>
    <row r="1014" spans="1:11" x14ac:dyDescent="0.2">
      <c r="A1014" t="s">
        <v>21</v>
      </c>
      <c r="B1014" s="89">
        <v>1674</v>
      </c>
      <c r="C1014" s="82">
        <v>1</v>
      </c>
      <c r="D1014" s="83">
        <v>38141</v>
      </c>
      <c r="E1014" s="84">
        <f t="shared" si="15"/>
        <v>2004</v>
      </c>
      <c r="F1014" s="82" t="s">
        <v>22</v>
      </c>
      <c r="G1014" s="82">
        <v>2</v>
      </c>
      <c r="H1014" s="82">
        <v>10</v>
      </c>
      <c r="I1014" s="82">
        <v>11.5</v>
      </c>
      <c r="J1014" s="228">
        <v>9.6999999999999993</v>
      </c>
      <c r="K1014" s="89" t="s">
        <v>193</v>
      </c>
    </row>
    <row r="1015" spans="1:11" x14ac:dyDescent="0.2">
      <c r="A1015" t="s">
        <v>21</v>
      </c>
      <c r="B1015" s="89">
        <v>1674</v>
      </c>
      <c r="C1015" s="82">
        <v>1</v>
      </c>
      <c r="D1015" s="83">
        <v>38141</v>
      </c>
      <c r="E1015" s="84">
        <f t="shared" si="15"/>
        <v>2004</v>
      </c>
      <c r="F1015" s="82" t="s">
        <v>22</v>
      </c>
      <c r="G1015" s="82">
        <v>2</v>
      </c>
      <c r="H1015" s="82">
        <v>11</v>
      </c>
      <c r="I1015" s="82">
        <v>11.4</v>
      </c>
      <c r="J1015" s="228">
        <v>9.6999999999999993</v>
      </c>
      <c r="K1015" s="89" t="s">
        <v>193</v>
      </c>
    </row>
    <row r="1016" spans="1:11" x14ac:dyDescent="0.2">
      <c r="A1016" t="s">
        <v>21</v>
      </c>
      <c r="B1016" s="89">
        <v>1674</v>
      </c>
      <c r="C1016" s="82">
        <v>1</v>
      </c>
      <c r="D1016" s="83">
        <v>38141</v>
      </c>
      <c r="E1016" s="84">
        <f t="shared" si="15"/>
        <v>2004</v>
      </c>
      <c r="F1016" s="82" t="s">
        <v>22</v>
      </c>
      <c r="G1016" s="82">
        <v>2</v>
      </c>
      <c r="H1016" s="82">
        <v>12</v>
      </c>
      <c r="I1016" s="82">
        <v>11.4</v>
      </c>
      <c r="J1016" s="228">
        <v>9.6</v>
      </c>
      <c r="K1016" s="89" t="s">
        <v>193</v>
      </c>
    </row>
    <row r="1017" spans="1:11" x14ac:dyDescent="0.2">
      <c r="A1017" t="s">
        <v>21</v>
      </c>
      <c r="B1017" s="89">
        <v>1674</v>
      </c>
      <c r="C1017" s="82">
        <v>1</v>
      </c>
      <c r="D1017" s="83">
        <v>38141</v>
      </c>
      <c r="E1017" s="84">
        <f t="shared" si="15"/>
        <v>2004</v>
      </c>
      <c r="F1017" s="82" t="s">
        <v>22</v>
      </c>
      <c r="G1017" s="82">
        <v>2</v>
      </c>
      <c r="H1017" s="82">
        <v>13</v>
      </c>
      <c r="I1017" s="82">
        <v>11.3</v>
      </c>
      <c r="J1017" s="228">
        <v>9.1999999999999993</v>
      </c>
      <c r="K1017" s="89" t="s">
        <v>193</v>
      </c>
    </row>
    <row r="1018" spans="1:11" x14ac:dyDescent="0.2">
      <c r="A1018" t="s">
        <v>21</v>
      </c>
      <c r="B1018" s="89">
        <v>1674</v>
      </c>
      <c r="C1018" s="82">
        <v>1</v>
      </c>
      <c r="D1018" s="83">
        <v>38169</v>
      </c>
      <c r="E1018" s="84">
        <f t="shared" si="15"/>
        <v>2004</v>
      </c>
      <c r="F1018" s="82" t="s">
        <v>22</v>
      </c>
      <c r="G1018" s="82">
        <v>2</v>
      </c>
      <c r="H1018" s="82">
        <v>0</v>
      </c>
      <c r="I1018" s="82">
        <v>19.5</v>
      </c>
      <c r="J1018" s="228">
        <v>10.4</v>
      </c>
      <c r="K1018" s="89" t="s">
        <v>193</v>
      </c>
    </row>
    <row r="1019" spans="1:11" x14ac:dyDescent="0.2">
      <c r="A1019" t="s">
        <v>21</v>
      </c>
      <c r="B1019" s="89">
        <v>1674</v>
      </c>
      <c r="C1019" s="82">
        <v>1</v>
      </c>
      <c r="D1019" s="83">
        <v>38169</v>
      </c>
      <c r="E1019" s="84">
        <f t="shared" si="15"/>
        <v>2004</v>
      </c>
      <c r="F1019" s="82" t="s">
        <v>22</v>
      </c>
      <c r="G1019" s="82">
        <v>2</v>
      </c>
      <c r="H1019" s="82">
        <v>1</v>
      </c>
      <c r="I1019" s="82">
        <v>19.399999999999999</v>
      </c>
      <c r="J1019" s="228">
        <v>10.4</v>
      </c>
      <c r="K1019" s="89" t="s">
        <v>193</v>
      </c>
    </row>
    <row r="1020" spans="1:11" x14ac:dyDescent="0.2">
      <c r="A1020" t="s">
        <v>21</v>
      </c>
      <c r="B1020" s="89">
        <v>1674</v>
      </c>
      <c r="C1020" s="82">
        <v>1</v>
      </c>
      <c r="D1020" s="83">
        <v>38169</v>
      </c>
      <c r="E1020" s="84">
        <f t="shared" si="15"/>
        <v>2004</v>
      </c>
      <c r="F1020" s="82" t="s">
        <v>22</v>
      </c>
      <c r="G1020" s="82">
        <v>2</v>
      </c>
      <c r="H1020" s="82">
        <v>2</v>
      </c>
      <c r="I1020" s="82">
        <v>19.100000000000001</v>
      </c>
      <c r="J1020" s="228">
        <v>10.4</v>
      </c>
      <c r="K1020" s="89" t="s">
        <v>193</v>
      </c>
    </row>
    <row r="1021" spans="1:11" x14ac:dyDescent="0.2">
      <c r="A1021" t="s">
        <v>21</v>
      </c>
      <c r="B1021" s="89">
        <v>1674</v>
      </c>
      <c r="C1021" s="82">
        <v>1</v>
      </c>
      <c r="D1021" s="83">
        <v>38169</v>
      </c>
      <c r="E1021" s="84">
        <f t="shared" si="15"/>
        <v>2004</v>
      </c>
      <c r="F1021" s="82" t="s">
        <v>22</v>
      </c>
      <c r="G1021" s="82">
        <v>2</v>
      </c>
      <c r="H1021" s="82">
        <v>3</v>
      </c>
      <c r="I1021" s="82">
        <v>17.8</v>
      </c>
      <c r="J1021" s="228">
        <v>10.1</v>
      </c>
      <c r="K1021" s="89" t="s">
        <v>193</v>
      </c>
    </row>
    <row r="1022" spans="1:11" x14ac:dyDescent="0.2">
      <c r="A1022" t="s">
        <v>21</v>
      </c>
      <c r="B1022" s="89">
        <v>1674</v>
      </c>
      <c r="C1022" s="82">
        <v>1</v>
      </c>
      <c r="D1022" s="83">
        <v>38169</v>
      </c>
      <c r="E1022" s="84">
        <f t="shared" si="15"/>
        <v>2004</v>
      </c>
      <c r="F1022" s="82" t="s">
        <v>22</v>
      </c>
      <c r="G1022" s="82">
        <v>2</v>
      </c>
      <c r="H1022" s="82">
        <v>4</v>
      </c>
      <c r="I1022" s="82">
        <v>17.399999999999999</v>
      </c>
      <c r="J1022" s="228">
        <v>9.8000000000000007</v>
      </c>
      <c r="K1022" s="89" t="s">
        <v>193</v>
      </c>
    </row>
    <row r="1023" spans="1:11" x14ac:dyDescent="0.2">
      <c r="A1023" t="s">
        <v>21</v>
      </c>
      <c r="B1023" s="89">
        <v>1674</v>
      </c>
      <c r="C1023" s="82">
        <v>1</v>
      </c>
      <c r="D1023" s="83">
        <v>38169</v>
      </c>
      <c r="E1023" s="84">
        <f t="shared" si="15"/>
        <v>2004</v>
      </c>
      <c r="F1023" s="82" t="s">
        <v>22</v>
      </c>
      <c r="G1023" s="82">
        <v>2</v>
      </c>
      <c r="H1023" s="82">
        <v>5</v>
      </c>
      <c r="I1023" s="82">
        <v>17.100000000000001</v>
      </c>
      <c r="J1023" s="228">
        <v>8.9</v>
      </c>
      <c r="K1023" s="89" t="s">
        <v>193</v>
      </c>
    </row>
    <row r="1024" spans="1:11" x14ac:dyDescent="0.2">
      <c r="A1024" t="s">
        <v>21</v>
      </c>
      <c r="B1024" s="89">
        <v>1674</v>
      </c>
      <c r="C1024" s="82">
        <v>1</v>
      </c>
      <c r="D1024" s="83">
        <v>38169</v>
      </c>
      <c r="E1024" s="84">
        <f t="shared" si="15"/>
        <v>2004</v>
      </c>
      <c r="F1024" s="82" t="s">
        <v>22</v>
      </c>
      <c r="G1024" s="82">
        <v>2</v>
      </c>
      <c r="H1024" s="82">
        <v>6</v>
      </c>
      <c r="I1024" s="82">
        <v>16.5</v>
      </c>
      <c r="J1024" s="228">
        <v>7.8</v>
      </c>
      <c r="K1024" s="89" t="s">
        <v>193</v>
      </c>
    </row>
    <row r="1025" spans="1:11" x14ac:dyDescent="0.2">
      <c r="A1025" t="s">
        <v>21</v>
      </c>
      <c r="B1025" s="89">
        <v>1674</v>
      </c>
      <c r="C1025" s="82">
        <v>1</v>
      </c>
      <c r="D1025" s="83">
        <v>38169</v>
      </c>
      <c r="E1025" s="84">
        <f t="shared" si="15"/>
        <v>2004</v>
      </c>
      <c r="F1025" s="82" t="s">
        <v>22</v>
      </c>
      <c r="G1025" s="82">
        <v>2</v>
      </c>
      <c r="H1025" s="82">
        <v>7</v>
      </c>
      <c r="I1025" s="82">
        <v>16.2</v>
      </c>
      <c r="J1025" s="228">
        <v>7.6</v>
      </c>
      <c r="K1025" s="89" t="s">
        <v>193</v>
      </c>
    </row>
    <row r="1026" spans="1:11" x14ac:dyDescent="0.2">
      <c r="A1026" t="s">
        <v>21</v>
      </c>
      <c r="B1026" s="89">
        <v>1674</v>
      </c>
      <c r="C1026" s="82">
        <v>1</v>
      </c>
      <c r="D1026" s="83">
        <v>38169</v>
      </c>
      <c r="E1026" s="84">
        <f t="shared" ref="E1026:E1089" si="16">YEAR(D1026)</f>
        <v>2004</v>
      </c>
      <c r="F1026" s="82" t="s">
        <v>22</v>
      </c>
      <c r="G1026" s="82">
        <v>2</v>
      </c>
      <c r="H1026" s="82">
        <v>8</v>
      </c>
      <c r="I1026" s="82">
        <v>16</v>
      </c>
      <c r="J1026" s="228">
        <v>7.4</v>
      </c>
      <c r="K1026" s="89" t="s">
        <v>193</v>
      </c>
    </row>
    <row r="1027" spans="1:11" x14ac:dyDescent="0.2">
      <c r="A1027" t="s">
        <v>21</v>
      </c>
      <c r="B1027" s="89">
        <v>1674</v>
      </c>
      <c r="C1027" s="82">
        <v>1</v>
      </c>
      <c r="D1027" s="83">
        <v>38169</v>
      </c>
      <c r="E1027" s="84">
        <f t="shared" si="16"/>
        <v>2004</v>
      </c>
      <c r="F1027" s="82" t="s">
        <v>22</v>
      </c>
      <c r="G1027" s="82">
        <v>2</v>
      </c>
      <c r="H1027" s="82">
        <v>9</v>
      </c>
      <c r="I1027" s="82">
        <v>15.7</v>
      </c>
      <c r="J1027" s="228">
        <v>7.2</v>
      </c>
      <c r="K1027" s="89" t="s">
        <v>193</v>
      </c>
    </row>
    <row r="1028" spans="1:11" x14ac:dyDescent="0.2">
      <c r="A1028" t="s">
        <v>21</v>
      </c>
      <c r="B1028" s="89">
        <v>1674</v>
      </c>
      <c r="C1028" s="82">
        <v>1</v>
      </c>
      <c r="D1028" s="83">
        <v>38169</v>
      </c>
      <c r="E1028" s="84">
        <f t="shared" si="16"/>
        <v>2004</v>
      </c>
      <c r="F1028" s="82" t="s">
        <v>22</v>
      </c>
      <c r="G1028" s="82">
        <v>2</v>
      </c>
      <c r="H1028" s="82">
        <v>10</v>
      </c>
      <c r="I1028" s="82">
        <v>15.5</v>
      </c>
      <c r="J1028" s="228">
        <v>6.9</v>
      </c>
      <c r="K1028" s="89" t="s">
        <v>193</v>
      </c>
    </row>
    <row r="1029" spans="1:11" x14ac:dyDescent="0.2">
      <c r="A1029" t="s">
        <v>21</v>
      </c>
      <c r="B1029" s="89">
        <v>1674</v>
      </c>
      <c r="C1029" s="82">
        <v>1</v>
      </c>
      <c r="D1029" s="83">
        <v>38169</v>
      </c>
      <c r="E1029" s="84">
        <f t="shared" si="16"/>
        <v>2004</v>
      </c>
      <c r="F1029" s="82" t="s">
        <v>22</v>
      </c>
      <c r="G1029" s="82">
        <v>2</v>
      </c>
      <c r="H1029" s="82">
        <v>11</v>
      </c>
      <c r="I1029" s="82">
        <v>15.5</v>
      </c>
      <c r="J1029" s="228">
        <v>6.6</v>
      </c>
      <c r="K1029" s="89" t="s">
        <v>193</v>
      </c>
    </row>
    <row r="1030" spans="1:11" x14ac:dyDescent="0.2">
      <c r="A1030" t="s">
        <v>21</v>
      </c>
      <c r="B1030" s="89">
        <v>1674</v>
      </c>
      <c r="C1030" s="82">
        <v>1</v>
      </c>
      <c r="D1030" s="83">
        <v>38203</v>
      </c>
      <c r="E1030" s="84">
        <f t="shared" si="16"/>
        <v>2004</v>
      </c>
      <c r="F1030" s="82" t="s">
        <v>22</v>
      </c>
      <c r="G1030" s="82">
        <v>2</v>
      </c>
      <c r="H1030" s="82">
        <v>0</v>
      </c>
      <c r="I1030" s="82">
        <v>22.7</v>
      </c>
      <c r="J1030" s="228">
        <v>8.6</v>
      </c>
      <c r="K1030" s="89" t="s">
        <v>193</v>
      </c>
    </row>
    <row r="1031" spans="1:11" x14ac:dyDescent="0.2">
      <c r="A1031" t="s">
        <v>21</v>
      </c>
      <c r="B1031" s="89">
        <v>1674</v>
      </c>
      <c r="C1031" s="82">
        <v>1</v>
      </c>
      <c r="D1031" s="83">
        <v>38203</v>
      </c>
      <c r="E1031" s="84">
        <f t="shared" si="16"/>
        <v>2004</v>
      </c>
      <c r="F1031" s="82" t="s">
        <v>22</v>
      </c>
      <c r="G1031" s="82">
        <v>2</v>
      </c>
      <c r="H1031" s="82">
        <v>1</v>
      </c>
      <c r="I1031" s="82">
        <v>22.7</v>
      </c>
      <c r="J1031" s="228">
        <v>8.6</v>
      </c>
      <c r="K1031" s="89" t="s">
        <v>193</v>
      </c>
    </row>
    <row r="1032" spans="1:11" x14ac:dyDescent="0.2">
      <c r="A1032" t="s">
        <v>21</v>
      </c>
      <c r="B1032" s="89">
        <v>1674</v>
      </c>
      <c r="C1032" s="82">
        <v>1</v>
      </c>
      <c r="D1032" s="83">
        <v>38203</v>
      </c>
      <c r="E1032" s="84">
        <f t="shared" si="16"/>
        <v>2004</v>
      </c>
      <c r="F1032" s="82" t="s">
        <v>22</v>
      </c>
      <c r="G1032" s="82">
        <v>2</v>
      </c>
      <c r="H1032" s="82">
        <v>2</v>
      </c>
      <c r="I1032" s="82">
        <v>22.5</v>
      </c>
      <c r="J1032" s="228">
        <v>8.6</v>
      </c>
      <c r="K1032" s="89" t="s">
        <v>193</v>
      </c>
    </row>
    <row r="1033" spans="1:11" x14ac:dyDescent="0.2">
      <c r="A1033" t="s">
        <v>21</v>
      </c>
      <c r="B1033" s="89">
        <v>1674</v>
      </c>
      <c r="C1033" s="82">
        <v>1</v>
      </c>
      <c r="D1033" s="83">
        <v>38203</v>
      </c>
      <c r="E1033" s="84">
        <f t="shared" si="16"/>
        <v>2004</v>
      </c>
      <c r="F1033" s="82" t="s">
        <v>22</v>
      </c>
      <c r="G1033" s="82">
        <v>2</v>
      </c>
      <c r="H1033" s="82">
        <v>3</v>
      </c>
      <c r="I1033" s="82">
        <v>22.1</v>
      </c>
      <c r="J1033" s="228">
        <v>8.3000000000000007</v>
      </c>
      <c r="K1033" s="89" t="s">
        <v>193</v>
      </c>
    </row>
    <row r="1034" spans="1:11" x14ac:dyDescent="0.2">
      <c r="A1034" t="s">
        <v>21</v>
      </c>
      <c r="B1034" s="89">
        <v>1674</v>
      </c>
      <c r="C1034" s="82">
        <v>1</v>
      </c>
      <c r="D1034" s="83">
        <v>38203</v>
      </c>
      <c r="E1034" s="84">
        <f t="shared" si="16"/>
        <v>2004</v>
      </c>
      <c r="F1034" s="82" t="s">
        <v>22</v>
      </c>
      <c r="G1034" s="82">
        <v>2</v>
      </c>
      <c r="H1034" s="82">
        <v>4</v>
      </c>
      <c r="I1034" s="82">
        <v>22.8</v>
      </c>
      <c r="J1034" s="228">
        <v>8.1999999999999993</v>
      </c>
      <c r="K1034" s="89" t="s">
        <v>193</v>
      </c>
    </row>
    <row r="1035" spans="1:11" x14ac:dyDescent="0.2">
      <c r="A1035" t="s">
        <v>21</v>
      </c>
      <c r="B1035" s="89">
        <v>1674</v>
      </c>
      <c r="C1035" s="82">
        <v>1</v>
      </c>
      <c r="D1035" s="83">
        <v>38203</v>
      </c>
      <c r="E1035" s="84">
        <f t="shared" si="16"/>
        <v>2004</v>
      </c>
      <c r="F1035" s="82" t="s">
        <v>22</v>
      </c>
      <c r="G1035" s="82">
        <v>2</v>
      </c>
      <c r="H1035" s="82">
        <v>5</v>
      </c>
      <c r="I1035" s="82">
        <v>21.8</v>
      </c>
      <c r="J1035" s="228">
        <v>8.1999999999999993</v>
      </c>
      <c r="K1035" s="89" t="s">
        <v>193</v>
      </c>
    </row>
    <row r="1036" spans="1:11" x14ac:dyDescent="0.2">
      <c r="A1036" t="s">
        <v>21</v>
      </c>
      <c r="B1036" s="89">
        <v>1674</v>
      </c>
      <c r="C1036" s="82">
        <v>1</v>
      </c>
      <c r="D1036" s="83">
        <v>38203</v>
      </c>
      <c r="E1036" s="84">
        <f t="shared" si="16"/>
        <v>2004</v>
      </c>
      <c r="F1036" s="82" t="s">
        <v>22</v>
      </c>
      <c r="G1036" s="82">
        <v>2</v>
      </c>
      <c r="H1036" s="82">
        <v>6</v>
      </c>
      <c r="I1036" s="82">
        <v>21.7</v>
      </c>
      <c r="J1036" s="228">
        <v>7.9</v>
      </c>
      <c r="K1036" s="89" t="s">
        <v>193</v>
      </c>
    </row>
    <row r="1037" spans="1:11" x14ac:dyDescent="0.2">
      <c r="A1037" t="s">
        <v>21</v>
      </c>
      <c r="B1037" s="89">
        <v>1674</v>
      </c>
      <c r="C1037" s="82">
        <v>1</v>
      </c>
      <c r="D1037" s="83">
        <v>38203</v>
      </c>
      <c r="E1037" s="84">
        <f t="shared" si="16"/>
        <v>2004</v>
      </c>
      <c r="F1037" s="82" t="s">
        <v>22</v>
      </c>
      <c r="G1037" s="82">
        <v>2</v>
      </c>
      <c r="H1037" s="82">
        <v>7</v>
      </c>
      <c r="I1037" s="82">
        <v>21.7</v>
      </c>
      <c r="J1037" s="228">
        <v>8.1</v>
      </c>
      <c r="K1037" s="89" t="s">
        <v>193</v>
      </c>
    </row>
    <row r="1038" spans="1:11" x14ac:dyDescent="0.2">
      <c r="A1038" t="s">
        <v>21</v>
      </c>
      <c r="B1038" s="89">
        <v>1674</v>
      </c>
      <c r="C1038" s="82">
        <v>1</v>
      </c>
      <c r="D1038" s="83">
        <v>38203</v>
      </c>
      <c r="E1038" s="84">
        <f t="shared" si="16"/>
        <v>2004</v>
      </c>
      <c r="F1038" s="82" t="s">
        <v>22</v>
      </c>
      <c r="G1038" s="82">
        <v>2</v>
      </c>
      <c r="H1038" s="82">
        <v>8</v>
      </c>
      <c r="I1038" s="82">
        <v>21.6</v>
      </c>
      <c r="J1038" s="228">
        <v>7.9</v>
      </c>
      <c r="K1038" s="89" t="s">
        <v>193</v>
      </c>
    </row>
    <row r="1039" spans="1:11" x14ac:dyDescent="0.2">
      <c r="A1039" t="s">
        <v>21</v>
      </c>
      <c r="B1039" s="89">
        <v>1674</v>
      </c>
      <c r="C1039" s="82">
        <v>1</v>
      </c>
      <c r="D1039" s="83">
        <v>38203</v>
      </c>
      <c r="E1039" s="84">
        <f t="shared" si="16"/>
        <v>2004</v>
      </c>
      <c r="F1039" s="82" t="s">
        <v>22</v>
      </c>
      <c r="G1039" s="82">
        <v>2</v>
      </c>
      <c r="H1039" s="82">
        <v>9</v>
      </c>
      <c r="I1039" s="82">
        <v>19.5</v>
      </c>
      <c r="J1039" s="228">
        <v>3.4</v>
      </c>
      <c r="K1039" s="89" t="s">
        <v>193</v>
      </c>
    </row>
    <row r="1040" spans="1:11" x14ac:dyDescent="0.2">
      <c r="A1040" t="s">
        <v>21</v>
      </c>
      <c r="B1040" s="89">
        <v>1674</v>
      </c>
      <c r="C1040" s="82">
        <v>1</v>
      </c>
      <c r="D1040" s="83">
        <v>38203</v>
      </c>
      <c r="E1040" s="84">
        <f t="shared" si="16"/>
        <v>2004</v>
      </c>
      <c r="F1040" s="82" t="s">
        <v>22</v>
      </c>
      <c r="G1040" s="82">
        <v>2</v>
      </c>
      <c r="H1040" s="82">
        <v>10</v>
      </c>
      <c r="I1040" s="82">
        <v>18.7</v>
      </c>
      <c r="J1040" s="228">
        <v>2</v>
      </c>
      <c r="K1040" s="89" t="s">
        <v>193</v>
      </c>
    </row>
    <row r="1041" spans="1:11" x14ac:dyDescent="0.2">
      <c r="A1041" t="s">
        <v>21</v>
      </c>
      <c r="B1041" s="89">
        <v>1674</v>
      </c>
      <c r="C1041" s="82">
        <v>1</v>
      </c>
      <c r="D1041" s="83">
        <v>38203</v>
      </c>
      <c r="E1041" s="84">
        <f t="shared" si="16"/>
        <v>2004</v>
      </c>
      <c r="F1041" s="82" t="s">
        <v>22</v>
      </c>
      <c r="G1041" s="82">
        <v>2</v>
      </c>
      <c r="H1041" s="82">
        <v>11</v>
      </c>
      <c r="I1041" s="82">
        <v>18.399999999999999</v>
      </c>
      <c r="J1041" s="228">
        <v>1.4</v>
      </c>
      <c r="K1041" s="89" t="s">
        <v>193</v>
      </c>
    </row>
    <row r="1042" spans="1:11" x14ac:dyDescent="0.2">
      <c r="A1042" t="s">
        <v>21</v>
      </c>
      <c r="B1042" s="89">
        <v>1674</v>
      </c>
      <c r="C1042" s="82">
        <v>1</v>
      </c>
      <c r="D1042" s="83">
        <v>38203</v>
      </c>
      <c r="E1042" s="84">
        <f t="shared" si="16"/>
        <v>2004</v>
      </c>
      <c r="F1042" s="82" t="s">
        <v>22</v>
      </c>
      <c r="G1042" s="82">
        <v>2</v>
      </c>
      <c r="H1042" s="82">
        <v>12</v>
      </c>
      <c r="I1042" s="82">
        <v>17.399999999999999</v>
      </c>
      <c r="J1042" s="228">
        <v>0.4</v>
      </c>
      <c r="K1042" s="89" t="s">
        <v>193</v>
      </c>
    </row>
    <row r="1043" spans="1:11" x14ac:dyDescent="0.2">
      <c r="A1043" t="s">
        <v>21</v>
      </c>
      <c r="B1043" s="89">
        <v>1674</v>
      </c>
      <c r="C1043" s="82">
        <v>1</v>
      </c>
      <c r="D1043" s="83">
        <v>38223</v>
      </c>
      <c r="E1043" s="84">
        <f t="shared" si="16"/>
        <v>2004</v>
      </c>
      <c r="F1043" s="82" t="s">
        <v>22</v>
      </c>
      <c r="G1043" s="82">
        <v>2</v>
      </c>
      <c r="H1043" s="82">
        <v>0</v>
      </c>
      <c r="I1043" s="82">
        <v>19.399999999999999</v>
      </c>
      <c r="J1043" s="228">
        <v>7.6</v>
      </c>
      <c r="K1043" s="89" t="s">
        <v>193</v>
      </c>
    </row>
    <row r="1044" spans="1:11" x14ac:dyDescent="0.2">
      <c r="A1044" t="s">
        <v>21</v>
      </c>
      <c r="B1044" s="89">
        <v>1674</v>
      </c>
      <c r="C1044" s="82">
        <v>1</v>
      </c>
      <c r="D1044" s="83">
        <v>38583</v>
      </c>
      <c r="E1044" s="84">
        <f t="shared" si="16"/>
        <v>2005</v>
      </c>
      <c r="F1044" s="82" t="s">
        <v>22</v>
      </c>
      <c r="G1044" s="82">
        <v>2</v>
      </c>
      <c r="H1044" s="82">
        <v>0</v>
      </c>
      <c r="I1044" s="82">
        <v>20.5</v>
      </c>
      <c r="J1044" s="228">
        <v>8.1999999999999993</v>
      </c>
      <c r="K1044" s="89" t="s">
        <v>193</v>
      </c>
    </row>
    <row r="1045" spans="1:11" x14ac:dyDescent="0.2">
      <c r="A1045" t="s">
        <v>21</v>
      </c>
      <c r="B1045" s="89">
        <v>1674</v>
      </c>
      <c r="C1045" s="82">
        <v>1</v>
      </c>
      <c r="D1045" s="83">
        <v>38583</v>
      </c>
      <c r="E1045" s="84">
        <f t="shared" si="16"/>
        <v>2005</v>
      </c>
      <c r="F1045" s="82" t="s">
        <v>22</v>
      </c>
      <c r="G1045" s="82">
        <v>2</v>
      </c>
      <c r="H1045" s="82">
        <v>1</v>
      </c>
      <c r="I1045" s="82">
        <v>20.7</v>
      </c>
      <c r="J1045" s="228">
        <v>8.3000000000000007</v>
      </c>
      <c r="K1045" s="89" t="s">
        <v>193</v>
      </c>
    </row>
    <row r="1046" spans="1:11" x14ac:dyDescent="0.2">
      <c r="A1046" t="s">
        <v>21</v>
      </c>
      <c r="B1046" s="89">
        <v>1674</v>
      </c>
      <c r="C1046" s="82">
        <v>1</v>
      </c>
      <c r="D1046" s="83">
        <v>38583</v>
      </c>
      <c r="E1046" s="84">
        <f t="shared" si="16"/>
        <v>2005</v>
      </c>
      <c r="F1046" s="82" t="s">
        <v>22</v>
      </c>
      <c r="G1046" s="82">
        <v>2</v>
      </c>
      <c r="H1046" s="82">
        <v>2</v>
      </c>
      <c r="I1046" s="82">
        <v>20.8</v>
      </c>
      <c r="J1046" s="228">
        <v>8.3000000000000007</v>
      </c>
      <c r="K1046" s="89" t="s">
        <v>193</v>
      </c>
    </row>
    <row r="1047" spans="1:11" x14ac:dyDescent="0.2">
      <c r="A1047" t="s">
        <v>21</v>
      </c>
      <c r="B1047" s="89">
        <v>1674</v>
      </c>
      <c r="C1047" s="82">
        <v>1</v>
      </c>
      <c r="D1047" s="83">
        <v>38583</v>
      </c>
      <c r="E1047" s="84">
        <f t="shared" si="16"/>
        <v>2005</v>
      </c>
      <c r="F1047" s="82" t="s">
        <v>22</v>
      </c>
      <c r="G1047" s="82">
        <v>2</v>
      </c>
      <c r="H1047" s="82">
        <v>3</v>
      </c>
      <c r="I1047" s="82">
        <v>20.8</v>
      </c>
      <c r="J1047" s="228">
        <v>8.1999999999999993</v>
      </c>
      <c r="K1047" s="89" t="s">
        <v>193</v>
      </c>
    </row>
    <row r="1048" spans="1:11" x14ac:dyDescent="0.2">
      <c r="A1048" t="s">
        <v>21</v>
      </c>
      <c r="B1048" s="89">
        <v>1674</v>
      </c>
      <c r="C1048" s="82">
        <v>1</v>
      </c>
      <c r="D1048" s="83">
        <v>38583</v>
      </c>
      <c r="E1048" s="84">
        <f t="shared" si="16"/>
        <v>2005</v>
      </c>
      <c r="F1048" s="82" t="s">
        <v>22</v>
      </c>
      <c r="G1048" s="82">
        <v>2</v>
      </c>
      <c r="H1048" s="82">
        <v>4</v>
      </c>
      <c r="I1048" s="82">
        <v>20.9</v>
      </c>
      <c r="J1048" s="228">
        <v>8.4</v>
      </c>
      <c r="K1048" s="89" t="s">
        <v>193</v>
      </c>
    </row>
    <row r="1049" spans="1:11" x14ac:dyDescent="0.2">
      <c r="A1049" t="s">
        <v>21</v>
      </c>
      <c r="B1049" s="89">
        <v>1674</v>
      </c>
      <c r="C1049" s="82">
        <v>1</v>
      </c>
      <c r="D1049" s="83">
        <v>38583</v>
      </c>
      <c r="E1049" s="84">
        <f t="shared" si="16"/>
        <v>2005</v>
      </c>
      <c r="F1049" s="82" t="s">
        <v>22</v>
      </c>
      <c r="G1049" s="82">
        <v>2</v>
      </c>
      <c r="H1049" s="82">
        <v>5</v>
      </c>
      <c r="I1049" s="82">
        <v>20.9</v>
      </c>
      <c r="J1049" s="228">
        <v>8.3000000000000007</v>
      </c>
      <c r="K1049" s="89" t="s">
        <v>193</v>
      </c>
    </row>
    <row r="1050" spans="1:11" x14ac:dyDescent="0.2">
      <c r="A1050" t="s">
        <v>21</v>
      </c>
      <c r="B1050" s="89">
        <v>1674</v>
      </c>
      <c r="C1050" s="82">
        <v>1</v>
      </c>
      <c r="D1050" s="83">
        <v>38583</v>
      </c>
      <c r="E1050" s="84">
        <f t="shared" si="16"/>
        <v>2005</v>
      </c>
      <c r="F1050" s="82" t="s">
        <v>22</v>
      </c>
      <c r="G1050" s="82">
        <v>2</v>
      </c>
      <c r="H1050" s="82">
        <v>6</v>
      </c>
      <c r="I1050" s="82">
        <v>20.9</v>
      </c>
      <c r="J1050" s="228">
        <v>8.3000000000000007</v>
      </c>
      <c r="K1050" s="89" t="s">
        <v>193</v>
      </c>
    </row>
    <row r="1051" spans="1:11" x14ac:dyDescent="0.2">
      <c r="A1051" t="s">
        <v>21</v>
      </c>
      <c r="B1051" s="89">
        <v>1674</v>
      </c>
      <c r="C1051" s="82">
        <v>1</v>
      </c>
      <c r="D1051" s="83">
        <v>38583</v>
      </c>
      <c r="E1051" s="84">
        <f t="shared" si="16"/>
        <v>2005</v>
      </c>
      <c r="F1051" s="82" t="s">
        <v>22</v>
      </c>
      <c r="G1051" s="82">
        <v>2</v>
      </c>
      <c r="H1051" s="82">
        <v>7</v>
      </c>
      <c r="I1051" s="82">
        <v>21</v>
      </c>
      <c r="J1051" s="228">
        <v>8.4</v>
      </c>
      <c r="K1051" s="89" t="s">
        <v>193</v>
      </c>
    </row>
    <row r="1052" spans="1:11" x14ac:dyDescent="0.2">
      <c r="A1052" t="s">
        <v>21</v>
      </c>
      <c r="B1052" s="89">
        <v>1674</v>
      </c>
      <c r="C1052" s="82">
        <v>1</v>
      </c>
      <c r="D1052" s="83">
        <v>38583</v>
      </c>
      <c r="E1052" s="84">
        <f t="shared" si="16"/>
        <v>2005</v>
      </c>
      <c r="F1052" s="82" t="s">
        <v>22</v>
      </c>
      <c r="G1052" s="82">
        <v>2</v>
      </c>
      <c r="H1052" s="82">
        <v>8</v>
      </c>
      <c r="I1052" s="82">
        <v>20.9</v>
      </c>
      <c r="J1052" s="228">
        <v>8.4</v>
      </c>
      <c r="K1052" s="89" t="s">
        <v>193</v>
      </c>
    </row>
    <row r="1053" spans="1:11" x14ac:dyDescent="0.2">
      <c r="A1053" t="s">
        <v>21</v>
      </c>
      <c r="B1053" s="89">
        <v>1674</v>
      </c>
      <c r="C1053" s="82">
        <v>1</v>
      </c>
      <c r="D1053" s="83">
        <v>38583</v>
      </c>
      <c r="E1053" s="84">
        <f t="shared" si="16"/>
        <v>2005</v>
      </c>
      <c r="F1053" s="82" t="s">
        <v>22</v>
      </c>
      <c r="G1053" s="82">
        <v>2</v>
      </c>
      <c r="H1053" s="82">
        <v>9</v>
      </c>
      <c r="I1053" s="82">
        <v>20.8</v>
      </c>
      <c r="J1053" s="228">
        <v>8.5</v>
      </c>
      <c r="K1053" s="89" t="s">
        <v>193</v>
      </c>
    </row>
    <row r="1054" spans="1:11" x14ac:dyDescent="0.2">
      <c r="A1054" t="s">
        <v>21</v>
      </c>
      <c r="B1054" s="89">
        <v>1674</v>
      </c>
      <c r="C1054" s="82">
        <v>1</v>
      </c>
      <c r="D1054" s="83">
        <v>38583</v>
      </c>
      <c r="E1054" s="84">
        <f t="shared" si="16"/>
        <v>2005</v>
      </c>
      <c r="F1054" s="82" t="s">
        <v>22</v>
      </c>
      <c r="G1054" s="82">
        <v>2</v>
      </c>
      <c r="H1054" s="82">
        <v>10</v>
      </c>
      <c r="I1054" s="82">
        <v>20.6</v>
      </c>
      <c r="J1054" s="228">
        <v>7.4</v>
      </c>
      <c r="K1054" s="89" t="s">
        <v>193</v>
      </c>
    </row>
    <row r="1055" spans="1:11" x14ac:dyDescent="0.2">
      <c r="A1055" t="s">
        <v>21</v>
      </c>
      <c r="B1055" s="89">
        <v>1674</v>
      </c>
      <c r="C1055" s="82">
        <v>1</v>
      </c>
      <c r="D1055" s="83">
        <v>38583</v>
      </c>
      <c r="E1055" s="84">
        <f t="shared" si="16"/>
        <v>2005</v>
      </c>
      <c r="F1055" s="82" t="s">
        <v>22</v>
      </c>
      <c r="G1055" s="82">
        <v>2</v>
      </c>
      <c r="H1055" s="82">
        <v>11</v>
      </c>
      <c r="I1055" s="82">
        <v>18.8</v>
      </c>
      <c r="J1055" s="228">
        <v>0.2</v>
      </c>
      <c r="K1055" s="89" t="s">
        <v>193</v>
      </c>
    </row>
    <row r="1056" spans="1:11" x14ac:dyDescent="0.2">
      <c r="A1056" t="s">
        <v>21</v>
      </c>
      <c r="B1056" s="89">
        <v>1674</v>
      </c>
      <c r="C1056" s="82">
        <v>1</v>
      </c>
      <c r="D1056" s="83">
        <v>38583</v>
      </c>
      <c r="E1056" s="84">
        <f t="shared" si="16"/>
        <v>2005</v>
      </c>
      <c r="F1056" s="82" t="s">
        <v>22</v>
      </c>
      <c r="G1056" s="82">
        <v>2</v>
      </c>
      <c r="H1056" s="82">
        <v>12</v>
      </c>
      <c r="I1056" s="82">
        <v>15.8</v>
      </c>
      <c r="J1056" s="228">
        <v>0.1</v>
      </c>
      <c r="K1056" s="89" t="s">
        <v>193</v>
      </c>
    </row>
    <row r="1057" spans="1:11" x14ac:dyDescent="0.2">
      <c r="A1057" t="s">
        <v>21</v>
      </c>
      <c r="B1057" s="89">
        <v>1674</v>
      </c>
      <c r="C1057" s="82">
        <v>1</v>
      </c>
      <c r="D1057" s="83">
        <v>38583</v>
      </c>
      <c r="E1057" s="84">
        <f t="shared" si="16"/>
        <v>2005</v>
      </c>
      <c r="F1057" s="82" t="s">
        <v>22</v>
      </c>
      <c r="G1057" s="82">
        <v>2</v>
      </c>
      <c r="H1057" s="82">
        <v>13</v>
      </c>
      <c r="I1057" s="82">
        <v>13.7</v>
      </c>
      <c r="J1057" s="228">
        <v>0.1</v>
      </c>
      <c r="K1057" s="89" t="s">
        <v>193</v>
      </c>
    </row>
    <row r="1058" spans="1:11" x14ac:dyDescent="0.2">
      <c r="A1058" t="s">
        <v>21</v>
      </c>
      <c r="B1058" s="89">
        <v>1674</v>
      </c>
      <c r="C1058" s="82">
        <v>1</v>
      </c>
      <c r="D1058" s="83">
        <v>40045</v>
      </c>
      <c r="E1058" s="84">
        <f t="shared" si="16"/>
        <v>2009</v>
      </c>
      <c r="F1058" s="82" t="s">
        <v>22</v>
      </c>
      <c r="G1058" s="82">
        <v>2</v>
      </c>
      <c r="H1058" s="82">
        <v>0</v>
      </c>
      <c r="I1058" s="82">
        <v>24.1</v>
      </c>
      <c r="J1058" s="228">
        <v>8.1</v>
      </c>
      <c r="K1058" s="89" t="s">
        <v>193</v>
      </c>
    </row>
    <row r="1059" spans="1:11" x14ac:dyDescent="0.2">
      <c r="A1059" t="s">
        <v>21</v>
      </c>
      <c r="B1059" s="89">
        <v>1674</v>
      </c>
      <c r="C1059" s="82">
        <v>1</v>
      </c>
      <c r="D1059" s="83">
        <v>40045</v>
      </c>
      <c r="E1059" s="84">
        <f t="shared" si="16"/>
        <v>2009</v>
      </c>
      <c r="F1059" s="82" t="s">
        <v>22</v>
      </c>
      <c r="G1059" s="82">
        <v>2</v>
      </c>
      <c r="H1059" s="82">
        <v>1</v>
      </c>
      <c r="I1059" s="82">
        <v>24.1</v>
      </c>
      <c r="J1059" s="228">
        <v>8.1999999999999993</v>
      </c>
      <c r="K1059" s="89" t="s">
        <v>193</v>
      </c>
    </row>
    <row r="1060" spans="1:11" x14ac:dyDescent="0.2">
      <c r="A1060" t="s">
        <v>21</v>
      </c>
      <c r="B1060" s="89">
        <v>1674</v>
      </c>
      <c r="C1060" s="82">
        <v>1</v>
      </c>
      <c r="D1060" s="83">
        <v>40045</v>
      </c>
      <c r="E1060" s="84">
        <f t="shared" si="16"/>
        <v>2009</v>
      </c>
      <c r="F1060" s="82" t="s">
        <v>22</v>
      </c>
      <c r="G1060" s="82">
        <v>2</v>
      </c>
      <c r="H1060" s="82">
        <v>2</v>
      </c>
      <c r="I1060" s="82">
        <v>24.2</v>
      </c>
      <c r="J1060" s="228">
        <v>8.1999999999999993</v>
      </c>
      <c r="K1060" s="89" t="s">
        <v>193</v>
      </c>
    </row>
    <row r="1061" spans="1:11" x14ac:dyDescent="0.2">
      <c r="A1061" t="s">
        <v>21</v>
      </c>
      <c r="B1061" s="89">
        <v>1674</v>
      </c>
      <c r="C1061" s="82">
        <v>1</v>
      </c>
      <c r="D1061" s="83">
        <v>40045</v>
      </c>
      <c r="E1061" s="84">
        <f t="shared" si="16"/>
        <v>2009</v>
      </c>
      <c r="F1061" s="82" t="s">
        <v>22</v>
      </c>
      <c r="G1061" s="82">
        <v>2</v>
      </c>
      <c r="H1061" s="82">
        <v>3</v>
      </c>
      <c r="I1061" s="82">
        <v>24.1</v>
      </c>
      <c r="J1061" s="228">
        <v>8.1</v>
      </c>
      <c r="K1061" s="89" t="s">
        <v>193</v>
      </c>
    </row>
    <row r="1062" spans="1:11" x14ac:dyDescent="0.2">
      <c r="A1062" t="s">
        <v>21</v>
      </c>
      <c r="B1062" s="89">
        <v>1674</v>
      </c>
      <c r="C1062" s="82">
        <v>1</v>
      </c>
      <c r="D1062" s="83">
        <v>40045</v>
      </c>
      <c r="E1062" s="84">
        <f t="shared" si="16"/>
        <v>2009</v>
      </c>
      <c r="F1062" s="82" t="s">
        <v>22</v>
      </c>
      <c r="G1062" s="82">
        <v>2</v>
      </c>
      <c r="H1062" s="82">
        <v>4</v>
      </c>
      <c r="I1062" s="82">
        <v>24</v>
      </c>
      <c r="J1062" s="228">
        <v>8.1</v>
      </c>
      <c r="K1062" s="89" t="s">
        <v>193</v>
      </c>
    </row>
    <row r="1063" spans="1:11" x14ac:dyDescent="0.2">
      <c r="A1063" t="s">
        <v>21</v>
      </c>
      <c r="B1063" s="89">
        <v>1674</v>
      </c>
      <c r="C1063" s="82">
        <v>1</v>
      </c>
      <c r="D1063" s="83">
        <v>40045</v>
      </c>
      <c r="E1063" s="84">
        <f t="shared" si="16"/>
        <v>2009</v>
      </c>
      <c r="F1063" s="82" t="s">
        <v>22</v>
      </c>
      <c r="G1063" s="82">
        <v>2</v>
      </c>
      <c r="H1063" s="82">
        <v>5</v>
      </c>
      <c r="I1063" s="82">
        <v>23.7</v>
      </c>
      <c r="J1063" s="228">
        <v>7.9</v>
      </c>
      <c r="K1063" s="89" t="s">
        <v>193</v>
      </c>
    </row>
    <row r="1064" spans="1:11" x14ac:dyDescent="0.2">
      <c r="A1064" t="s">
        <v>21</v>
      </c>
      <c r="B1064" s="89">
        <v>1674</v>
      </c>
      <c r="C1064" s="82">
        <v>1</v>
      </c>
      <c r="D1064" s="83">
        <v>40045</v>
      </c>
      <c r="E1064" s="84">
        <f t="shared" si="16"/>
        <v>2009</v>
      </c>
      <c r="F1064" s="82" t="s">
        <v>22</v>
      </c>
      <c r="G1064" s="82">
        <v>2</v>
      </c>
      <c r="H1064" s="82">
        <v>6</v>
      </c>
      <c r="I1064" s="82">
        <v>20.9</v>
      </c>
      <c r="J1064" s="228">
        <v>6.2</v>
      </c>
      <c r="K1064" s="89" t="s">
        <v>193</v>
      </c>
    </row>
    <row r="1065" spans="1:11" x14ac:dyDescent="0.2">
      <c r="A1065" t="s">
        <v>21</v>
      </c>
      <c r="B1065" s="89">
        <v>1674</v>
      </c>
      <c r="C1065" s="82">
        <v>1</v>
      </c>
      <c r="D1065" s="83">
        <v>40045</v>
      </c>
      <c r="E1065" s="84">
        <f t="shared" si="16"/>
        <v>2009</v>
      </c>
      <c r="F1065" s="82" t="s">
        <v>22</v>
      </c>
      <c r="G1065" s="82">
        <v>2</v>
      </c>
      <c r="H1065" s="82">
        <v>7</v>
      </c>
      <c r="I1065" s="82">
        <v>20.2</v>
      </c>
      <c r="J1065" s="228">
        <v>5.3</v>
      </c>
      <c r="K1065" s="89" t="s">
        <v>193</v>
      </c>
    </row>
    <row r="1066" spans="1:11" x14ac:dyDescent="0.2">
      <c r="A1066" t="s">
        <v>21</v>
      </c>
      <c r="B1066" s="89">
        <v>1674</v>
      </c>
      <c r="C1066" s="82">
        <v>1</v>
      </c>
      <c r="D1066" s="83">
        <v>40045</v>
      </c>
      <c r="E1066" s="84">
        <f t="shared" si="16"/>
        <v>2009</v>
      </c>
      <c r="F1066" s="82" t="s">
        <v>22</v>
      </c>
      <c r="G1066" s="82">
        <v>2</v>
      </c>
      <c r="H1066" s="82">
        <v>8</v>
      </c>
      <c r="I1066" s="82">
        <v>19.8</v>
      </c>
      <c r="J1066" s="228">
        <v>4</v>
      </c>
      <c r="K1066" s="89" t="s">
        <v>193</v>
      </c>
    </row>
    <row r="1067" spans="1:11" x14ac:dyDescent="0.2">
      <c r="A1067" t="s">
        <v>21</v>
      </c>
      <c r="B1067" s="89">
        <v>1674</v>
      </c>
      <c r="C1067" s="82">
        <v>1</v>
      </c>
      <c r="D1067" s="83">
        <v>40045</v>
      </c>
      <c r="E1067" s="84">
        <f t="shared" si="16"/>
        <v>2009</v>
      </c>
      <c r="F1067" s="82" t="s">
        <v>22</v>
      </c>
      <c r="G1067" s="82">
        <v>2</v>
      </c>
      <c r="H1067" s="82">
        <v>9</v>
      </c>
      <c r="I1067" s="82">
        <v>18.3</v>
      </c>
      <c r="J1067" s="228">
        <v>1.6</v>
      </c>
      <c r="K1067" s="89" t="s">
        <v>193</v>
      </c>
    </row>
    <row r="1068" spans="1:11" x14ac:dyDescent="0.2">
      <c r="A1068" t="s">
        <v>21</v>
      </c>
      <c r="B1068" s="89">
        <v>1674</v>
      </c>
      <c r="C1068" s="82">
        <v>1</v>
      </c>
      <c r="D1068" s="83">
        <v>40045</v>
      </c>
      <c r="E1068" s="84">
        <f t="shared" si="16"/>
        <v>2009</v>
      </c>
      <c r="F1068" s="82" t="s">
        <v>22</v>
      </c>
      <c r="G1068" s="82">
        <v>2</v>
      </c>
      <c r="H1068" s="82">
        <v>10</v>
      </c>
      <c r="I1068" s="82">
        <v>16.8</v>
      </c>
      <c r="J1068" s="228">
        <v>0.2</v>
      </c>
      <c r="K1068" s="89" t="s">
        <v>193</v>
      </c>
    </row>
    <row r="1069" spans="1:11" x14ac:dyDescent="0.2">
      <c r="A1069" t="s">
        <v>21</v>
      </c>
      <c r="B1069" s="89">
        <v>1674</v>
      </c>
      <c r="C1069" s="82">
        <v>1</v>
      </c>
      <c r="D1069" s="83">
        <v>40045</v>
      </c>
      <c r="E1069" s="84">
        <f t="shared" si="16"/>
        <v>2009</v>
      </c>
      <c r="F1069" s="82" t="s">
        <v>22</v>
      </c>
      <c r="G1069" s="82">
        <v>2</v>
      </c>
      <c r="H1069" s="82">
        <v>11</v>
      </c>
      <c r="I1069" s="82">
        <v>16.100000000000001</v>
      </c>
      <c r="J1069" s="228">
        <v>0.2</v>
      </c>
      <c r="K1069" s="89" t="s">
        <v>193</v>
      </c>
    </row>
    <row r="1070" spans="1:11" x14ac:dyDescent="0.2">
      <c r="A1070" t="s">
        <v>21</v>
      </c>
      <c r="B1070" s="89">
        <v>1674</v>
      </c>
      <c r="C1070" s="82">
        <v>1</v>
      </c>
      <c r="D1070" s="83">
        <v>40045</v>
      </c>
      <c r="E1070" s="84">
        <f t="shared" si="16"/>
        <v>2009</v>
      </c>
      <c r="F1070" s="82" t="s">
        <v>22</v>
      </c>
      <c r="G1070" s="82">
        <v>2</v>
      </c>
      <c r="H1070" s="82">
        <v>12</v>
      </c>
      <c r="I1070" s="82">
        <v>15.4</v>
      </c>
      <c r="J1070" s="228">
        <v>0.2</v>
      </c>
      <c r="K1070" s="89" t="s">
        <v>193</v>
      </c>
    </row>
    <row r="1071" spans="1:11" x14ac:dyDescent="0.2">
      <c r="A1071" t="s">
        <v>21</v>
      </c>
      <c r="B1071" s="89">
        <v>1674</v>
      </c>
      <c r="C1071" s="82">
        <v>1</v>
      </c>
      <c r="D1071" s="83">
        <v>40045</v>
      </c>
      <c r="E1071" s="84">
        <f t="shared" si="16"/>
        <v>2009</v>
      </c>
      <c r="F1071" s="82" t="s">
        <v>22</v>
      </c>
      <c r="G1071" s="82">
        <v>2</v>
      </c>
      <c r="H1071" s="82">
        <v>13</v>
      </c>
      <c r="I1071" s="82">
        <v>15.1</v>
      </c>
      <c r="J1071" s="228">
        <v>0.1</v>
      </c>
      <c r="K1071" s="89" t="s">
        <v>193</v>
      </c>
    </row>
    <row r="1072" spans="1:11" x14ac:dyDescent="0.2">
      <c r="A1072" t="s">
        <v>21</v>
      </c>
      <c r="B1072" s="89">
        <v>1674</v>
      </c>
      <c r="C1072" s="82">
        <v>1</v>
      </c>
      <c r="D1072" s="83">
        <v>42604</v>
      </c>
      <c r="E1072" s="84">
        <f t="shared" si="16"/>
        <v>2016</v>
      </c>
      <c r="F1072" s="82" t="s">
        <v>22</v>
      </c>
      <c r="G1072" s="82">
        <v>2</v>
      </c>
      <c r="H1072" s="82">
        <v>0</v>
      </c>
      <c r="I1072" s="82">
        <v>21.5</v>
      </c>
      <c r="J1072" s="228">
        <v>8.3000000000000007</v>
      </c>
      <c r="K1072" s="89" t="s">
        <v>193</v>
      </c>
    </row>
    <row r="1073" spans="1:11" x14ac:dyDescent="0.2">
      <c r="A1073" t="s">
        <v>21</v>
      </c>
      <c r="B1073" s="89">
        <v>1674</v>
      </c>
      <c r="C1073" s="82">
        <v>1</v>
      </c>
      <c r="D1073" s="83">
        <v>42604</v>
      </c>
      <c r="E1073" s="84">
        <f t="shared" si="16"/>
        <v>2016</v>
      </c>
      <c r="F1073" s="82" t="s">
        <v>22</v>
      </c>
      <c r="G1073" s="82">
        <v>2</v>
      </c>
      <c r="H1073" s="82">
        <v>1</v>
      </c>
      <c r="I1073" s="82">
        <v>21.5</v>
      </c>
      <c r="J1073" s="228">
        <v>8.3000000000000007</v>
      </c>
      <c r="K1073" s="89" t="s">
        <v>193</v>
      </c>
    </row>
    <row r="1074" spans="1:11" x14ac:dyDescent="0.2">
      <c r="A1074" t="s">
        <v>21</v>
      </c>
      <c r="B1074" s="89">
        <v>1674</v>
      </c>
      <c r="C1074" s="82">
        <v>1</v>
      </c>
      <c r="D1074" s="83">
        <v>42604</v>
      </c>
      <c r="E1074" s="84">
        <f t="shared" si="16"/>
        <v>2016</v>
      </c>
      <c r="F1074" s="82" t="s">
        <v>22</v>
      </c>
      <c r="G1074" s="82">
        <v>2</v>
      </c>
      <c r="H1074" s="82">
        <v>2</v>
      </c>
      <c r="I1074" s="82">
        <v>21.5</v>
      </c>
      <c r="J1074" s="228">
        <v>8.3000000000000007</v>
      </c>
      <c r="K1074" s="89" t="s">
        <v>193</v>
      </c>
    </row>
    <row r="1075" spans="1:11" x14ac:dyDescent="0.2">
      <c r="A1075" t="s">
        <v>21</v>
      </c>
      <c r="B1075" s="89">
        <v>1674</v>
      </c>
      <c r="C1075" s="82">
        <v>1</v>
      </c>
      <c r="D1075" s="83">
        <v>42604</v>
      </c>
      <c r="E1075" s="84">
        <f t="shared" si="16"/>
        <v>2016</v>
      </c>
      <c r="F1075" s="82" t="s">
        <v>22</v>
      </c>
      <c r="G1075" s="82">
        <v>2</v>
      </c>
      <c r="H1075" s="82">
        <v>3</v>
      </c>
      <c r="I1075" s="82">
        <v>21.5</v>
      </c>
      <c r="J1075" s="228">
        <v>8.3000000000000007</v>
      </c>
      <c r="K1075" s="89" t="s">
        <v>193</v>
      </c>
    </row>
    <row r="1076" spans="1:11" x14ac:dyDescent="0.2">
      <c r="A1076" t="s">
        <v>21</v>
      </c>
      <c r="B1076" s="89">
        <v>1674</v>
      </c>
      <c r="C1076" s="82">
        <v>1</v>
      </c>
      <c r="D1076" s="83">
        <v>42604</v>
      </c>
      <c r="E1076" s="84">
        <f t="shared" si="16"/>
        <v>2016</v>
      </c>
      <c r="F1076" s="82" t="s">
        <v>22</v>
      </c>
      <c r="G1076" s="82">
        <v>2</v>
      </c>
      <c r="H1076" s="82">
        <v>4</v>
      </c>
      <c r="I1076" s="82">
        <v>21.5</v>
      </c>
      <c r="J1076" s="228">
        <v>8.1999999999999993</v>
      </c>
      <c r="K1076" s="89" t="s">
        <v>193</v>
      </c>
    </row>
    <row r="1077" spans="1:11" x14ac:dyDescent="0.2">
      <c r="A1077" t="s">
        <v>21</v>
      </c>
      <c r="B1077" s="89">
        <v>1674</v>
      </c>
      <c r="C1077" s="82">
        <v>1</v>
      </c>
      <c r="D1077" s="83">
        <v>42604</v>
      </c>
      <c r="E1077" s="84">
        <f t="shared" si="16"/>
        <v>2016</v>
      </c>
      <c r="F1077" s="82" t="s">
        <v>22</v>
      </c>
      <c r="G1077" s="82">
        <v>2</v>
      </c>
      <c r="H1077" s="82">
        <v>5</v>
      </c>
      <c r="I1077" s="82">
        <v>21.5</v>
      </c>
      <c r="J1077" s="228">
        <v>8.1999999999999993</v>
      </c>
      <c r="K1077" s="89" t="s">
        <v>193</v>
      </c>
    </row>
    <row r="1078" spans="1:11" x14ac:dyDescent="0.2">
      <c r="A1078" t="s">
        <v>21</v>
      </c>
      <c r="B1078" s="89">
        <v>1674</v>
      </c>
      <c r="C1078" s="82">
        <v>1</v>
      </c>
      <c r="D1078" s="83">
        <v>42604</v>
      </c>
      <c r="E1078" s="84">
        <f t="shared" si="16"/>
        <v>2016</v>
      </c>
      <c r="F1078" s="82" t="s">
        <v>22</v>
      </c>
      <c r="G1078" s="82">
        <v>2</v>
      </c>
      <c r="H1078" s="82">
        <v>6</v>
      </c>
      <c r="I1078" s="82">
        <v>21.5</v>
      </c>
      <c r="J1078" s="228">
        <v>8.1999999999999993</v>
      </c>
      <c r="K1078" s="89" t="s">
        <v>193</v>
      </c>
    </row>
    <row r="1079" spans="1:11" x14ac:dyDescent="0.2">
      <c r="A1079" t="s">
        <v>21</v>
      </c>
      <c r="B1079" s="89">
        <v>1674</v>
      </c>
      <c r="C1079" s="82">
        <v>1</v>
      </c>
      <c r="D1079" s="83">
        <v>42604</v>
      </c>
      <c r="E1079" s="84">
        <f t="shared" si="16"/>
        <v>2016</v>
      </c>
      <c r="F1079" s="82" t="s">
        <v>22</v>
      </c>
      <c r="G1079" s="82">
        <v>2</v>
      </c>
      <c r="H1079" s="82">
        <v>7</v>
      </c>
      <c r="I1079" s="82">
        <v>21.5</v>
      </c>
      <c r="J1079" s="228">
        <v>8.1999999999999993</v>
      </c>
      <c r="K1079" s="89" t="s">
        <v>193</v>
      </c>
    </row>
    <row r="1080" spans="1:11" x14ac:dyDescent="0.2">
      <c r="A1080" t="s">
        <v>21</v>
      </c>
      <c r="B1080" s="89">
        <v>1674</v>
      </c>
      <c r="C1080" s="82">
        <v>1</v>
      </c>
      <c r="D1080" s="83">
        <v>42604</v>
      </c>
      <c r="E1080" s="84">
        <f t="shared" si="16"/>
        <v>2016</v>
      </c>
      <c r="F1080" s="82" t="s">
        <v>22</v>
      </c>
      <c r="G1080" s="82">
        <v>2</v>
      </c>
      <c r="H1080" s="82">
        <v>8</v>
      </c>
      <c r="I1080" s="82">
        <v>21.5</v>
      </c>
      <c r="J1080" s="228">
        <v>8.1</v>
      </c>
      <c r="K1080" s="89" t="s">
        <v>193</v>
      </c>
    </row>
    <row r="1081" spans="1:11" x14ac:dyDescent="0.2">
      <c r="A1081" t="s">
        <v>21</v>
      </c>
      <c r="B1081" s="89">
        <v>1674</v>
      </c>
      <c r="C1081" s="82">
        <v>1</v>
      </c>
      <c r="D1081" s="83">
        <v>42604</v>
      </c>
      <c r="E1081" s="84">
        <f t="shared" si="16"/>
        <v>2016</v>
      </c>
      <c r="F1081" s="82" t="s">
        <v>22</v>
      </c>
      <c r="G1081" s="82">
        <v>2</v>
      </c>
      <c r="H1081" s="82">
        <v>9</v>
      </c>
      <c r="I1081" s="82">
        <v>21.5</v>
      </c>
      <c r="J1081" s="228">
        <v>7.6</v>
      </c>
      <c r="K1081" s="89" t="s">
        <v>193</v>
      </c>
    </row>
    <row r="1082" spans="1:11" x14ac:dyDescent="0.2">
      <c r="A1082" t="s">
        <v>21</v>
      </c>
      <c r="B1082" s="89">
        <v>1674</v>
      </c>
      <c r="C1082" s="82">
        <v>1</v>
      </c>
      <c r="D1082" s="83">
        <v>42604</v>
      </c>
      <c r="E1082" s="84">
        <f t="shared" si="16"/>
        <v>2016</v>
      </c>
      <c r="F1082" s="82" t="s">
        <v>22</v>
      </c>
      <c r="G1082" s="82">
        <v>2</v>
      </c>
      <c r="H1082" s="82">
        <v>10</v>
      </c>
      <c r="I1082" s="82">
        <v>21.2</v>
      </c>
      <c r="J1082" s="228">
        <v>5.9</v>
      </c>
      <c r="K1082" s="89" t="s">
        <v>193</v>
      </c>
    </row>
    <row r="1083" spans="1:11" x14ac:dyDescent="0.2">
      <c r="A1083" t="s">
        <v>21</v>
      </c>
      <c r="B1083" s="89">
        <v>1674</v>
      </c>
      <c r="C1083" s="82">
        <v>1</v>
      </c>
      <c r="D1083" s="83">
        <v>42604</v>
      </c>
      <c r="E1083" s="84">
        <f t="shared" si="16"/>
        <v>2016</v>
      </c>
      <c r="F1083" s="82" t="s">
        <v>22</v>
      </c>
      <c r="G1083" s="82">
        <v>2</v>
      </c>
      <c r="H1083" s="82">
        <v>11</v>
      </c>
      <c r="I1083" s="82">
        <v>20.399999999999999</v>
      </c>
      <c r="J1083" s="228">
        <v>2.9</v>
      </c>
      <c r="K1083" s="89" t="s">
        <v>193</v>
      </c>
    </row>
    <row r="1084" spans="1:11" x14ac:dyDescent="0.2">
      <c r="A1084" t="s">
        <v>21</v>
      </c>
      <c r="B1084" s="89">
        <v>1674</v>
      </c>
      <c r="C1084" s="82">
        <v>1</v>
      </c>
      <c r="D1084" s="83">
        <v>42604</v>
      </c>
      <c r="E1084" s="84">
        <f t="shared" si="16"/>
        <v>2016</v>
      </c>
      <c r="F1084" s="82" t="s">
        <v>22</v>
      </c>
      <c r="G1084" s="82">
        <v>2</v>
      </c>
      <c r="H1084" s="82">
        <v>12</v>
      </c>
      <c r="I1084" s="82">
        <v>17.399999999999999</v>
      </c>
      <c r="J1084" s="228">
        <v>0.7</v>
      </c>
      <c r="K1084" s="89" t="s">
        <v>193</v>
      </c>
    </row>
    <row r="1085" spans="1:11" x14ac:dyDescent="0.2">
      <c r="A1085" t="s">
        <v>21</v>
      </c>
      <c r="B1085" s="89">
        <v>1674</v>
      </c>
      <c r="C1085" s="82">
        <v>1</v>
      </c>
      <c r="D1085" s="83">
        <v>42604</v>
      </c>
      <c r="E1085" s="84">
        <f t="shared" si="16"/>
        <v>2016</v>
      </c>
      <c r="F1085" s="82" t="s">
        <v>22</v>
      </c>
      <c r="G1085" s="82">
        <v>2</v>
      </c>
      <c r="H1085" s="82">
        <v>13</v>
      </c>
      <c r="I1085" s="82">
        <v>14.7</v>
      </c>
      <c r="J1085" s="228">
        <v>0.5</v>
      </c>
      <c r="K1085" s="89" t="s">
        <v>193</v>
      </c>
    </row>
    <row r="1086" spans="1:11" x14ac:dyDescent="0.2">
      <c r="A1086" t="s">
        <v>21</v>
      </c>
      <c r="B1086" s="89">
        <v>1674</v>
      </c>
      <c r="C1086" s="82">
        <v>1</v>
      </c>
      <c r="D1086" s="83">
        <v>42996</v>
      </c>
      <c r="E1086" s="84">
        <f t="shared" si="16"/>
        <v>2017</v>
      </c>
      <c r="F1086" s="82" t="s">
        <v>22</v>
      </c>
      <c r="G1086" s="82">
        <v>2</v>
      </c>
      <c r="H1086" s="82">
        <v>3</v>
      </c>
      <c r="I1086" s="82">
        <v>19</v>
      </c>
      <c r="J1086" s="228">
        <v>9.8000000000000007</v>
      </c>
      <c r="K1086" s="89" t="s">
        <v>193</v>
      </c>
    </row>
    <row r="1087" spans="1:11" x14ac:dyDescent="0.2">
      <c r="A1087" t="s">
        <v>21</v>
      </c>
      <c r="B1087" s="89">
        <v>1674</v>
      </c>
      <c r="C1087" s="82">
        <v>1</v>
      </c>
      <c r="D1087" s="83">
        <v>42996</v>
      </c>
      <c r="E1087" s="84">
        <f t="shared" si="16"/>
        <v>2017</v>
      </c>
      <c r="F1087" s="82" t="s">
        <v>22</v>
      </c>
      <c r="G1087" s="82">
        <v>2</v>
      </c>
      <c r="H1087" s="82">
        <v>13</v>
      </c>
      <c r="I1087" s="82">
        <v>17</v>
      </c>
      <c r="J1087" s="228">
        <v>3.8</v>
      </c>
      <c r="K1087" s="89" t="s">
        <v>193</v>
      </c>
    </row>
    <row r="1088" spans="1:11" x14ac:dyDescent="0.2">
      <c r="A1088" t="s">
        <v>21</v>
      </c>
      <c r="B1088" s="89">
        <v>1674</v>
      </c>
      <c r="C1088" s="82">
        <v>1</v>
      </c>
      <c r="D1088" s="83">
        <v>42996</v>
      </c>
      <c r="E1088" s="84">
        <f t="shared" si="16"/>
        <v>2017</v>
      </c>
      <c r="F1088" s="82" t="s">
        <v>22</v>
      </c>
      <c r="G1088" s="82">
        <v>2</v>
      </c>
      <c r="H1088" s="82">
        <v>12</v>
      </c>
      <c r="I1088" s="82">
        <v>17.100000000000001</v>
      </c>
      <c r="J1088" s="228">
        <v>5.4</v>
      </c>
      <c r="K1088" s="89" t="s">
        <v>193</v>
      </c>
    </row>
    <row r="1089" spans="1:11" x14ac:dyDescent="0.2">
      <c r="A1089" t="s">
        <v>21</v>
      </c>
      <c r="B1089" s="89">
        <v>1674</v>
      </c>
      <c r="C1089" s="82">
        <v>1</v>
      </c>
      <c r="D1089" s="83">
        <v>42996</v>
      </c>
      <c r="E1089" s="84">
        <f t="shared" si="16"/>
        <v>2017</v>
      </c>
      <c r="F1089" s="82" t="s">
        <v>22</v>
      </c>
      <c r="G1089" s="82">
        <v>2</v>
      </c>
      <c r="H1089" s="82">
        <v>11</v>
      </c>
      <c r="I1089" s="82">
        <v>17.2</v>
      </c>
      <c r="J1089" s="228">
        <v>6</v>
      </c>
      <c r="K1089" s="89" t="s">
        <v>193</v>
      </c>
    </row>
    <row r="1090" spans="1:11" x14ac:dyDescent="0.2">
      <c r="A1090" t="s">
        <v>21</v>
      </c>
      <c r="B1090" s="89">
        <v>1674</v>
      </c>
      <c r="C1090" s="82">
        <v>1</v>
      </c>
      <c r="D1090" s="83">
        <v>42996</v>
      </c>
      <c r="E1090" s="84">
        <f t="shared" ref="E1090:E1114" si="17">YEAR(D1090)</f>
        <v>2017</v>
      </c>
      <c r="F1090" s="82" t="s">
        <v>22</v>
      </c>
      <c r="G1090" s="82">
        <v>2</v>
      </c>
      <c r="H1090" s="82">
        <v>10</v>
      </c>
      <c r="I1090" s="82">
        <v>17.2</v>
      </c>
      <c r="J1090" s="228">
        <v>6.2</v>
      </c>
      <c r="K1090" s="89" t="s">
        <v>193</v>
      </c>
    </row>
    <row r="1091" spans="1:11" x14ac:dyDescent="0.2">
      <c r="A1091" t="s">
        <v>21</v>
      </c>
      <c r="B1091" s="89">
        <v>1674</v>
      </c>
      <c r="C1091" s="82">
        <v>1</v>
      </c>
      <c r="D1091" s="83">
        <v>42996</v>
      </c>
      <c r="E1091" s="84">
        <f t="shared" si="17"/>
        <v>2017</v>
      </c>
      <c r="F1091" s="82" t="s">
        <v>22</v>
      </c>
      <c r="G1091" s="82">
        <v>2</v>
      </c>
      <c r="H1091" s="82">
        <v>9</v>
      </c>
      <c r="I1091" s="82">
        <v>17.2</v>
      </c>
      <c r="J1091" s="228">
        <v>6.4</v>
      </c>
      <c r="K1091" s="89" t="s">
        <v>193</v>
      </c>
    </row>
    <row r="1092" spans="1:11" x14ac:dyDescent="0.2">
      <c r="A1092" t="s">
        <v>21</v>
      </c>
      <c r="B1092" s="89">
        <v>1674</v>
      </c>
      <c r="C1092" s="82">
        <v>1</v>
      </c>
      <c r="D1092" s="83">
        <v>42996</v>
      </c>
      <c r="E1092" s="84">
        <f t="shared" si="17"/>
        <v>2017</v>
      </c>
      <c r="F1092" s="82" t="s">
        <v>22</v>
      </c>
      <c r="G1092" s="82">
        <v>2</v>
      </c>
      <c r="H1092" s="82">
        <v>8</v>
      </c>
      <c r="I1092" s="82">
        <v>17.3</v>
      </c>
      <c r="J1092" s="228">
        <v>6.8</v>
      </c>
      <c r="K1092" s="89" t="s">
        <v>193</v>
      </c>
    </row>
    <row r="1093" spans="1:11" x14ac:dyDescent="0.2">
      <c r="A1093" t="s">
        <v>21</v>
      </c>
      <c r="B1093" s="89">
        <v>1674</v>
      </c>
      <c r="C1093" s="82">
        <v>1</v>
      </c>
      <c r="D1093" s="83">
        <v>42996</v>
      </c>
      <c r="E1093" s="84">
        <f t="shared" si="17"/>
        <v>2017</v>
      </c>
      <c r="F1093" s="82" t="s">
        <v>22</v>
      </c>
      <c r="G1093" s="82">
        <v>2</v>
      </c>
      <c r="H1093" s="82">
        <v>7</v>
      </c>
      <c r="I1093" s="82">
        <v>17.600000000000001</v>
      </c>
      <c r="J1093" s="228">
        <v>7.5</v>
      </c>
      <c r="K1093" s="89" t="s">
        <v>193</v>
      </c>
    </row>
    <row r="1094" spans="1:11" x14ac:dyDescent="0.2">
      <c r="A1094" t="s">
        <v>21</v>
      </c>
      <c r="B1094" s="89">
        <v>1674</v>
      </c>
      <c r="C1094" s="82">
        <v>1</v>
      </c>
      <c r="D1094" s="83">
        <v>42996</v>
      </c>
      <c r="E1094" s="84">
        <f t="shared" si="17"/>
        <v>2017</v>
      </c>
      <c r="F1094" s="82" t="s">
        <v>22</v>
      </c>
      <c r="G1094" s="82">
        <v>2</v>
      </c>
      <c r="H1094" s="82">
        <v>6</v>
      </c>
      <c r="I1094" s="82">
        <v>17.7</v>
      </c>
      <c r="J1094" s="228">
        <v>7.6</v>
      </c>
      <c r="K1094" s="89" t="s">
        <v>193</v>
      </c>
    </row>
    <row r="1095" spans="1:11" x14ac:dyDescent="0.2">
      <c r="A1095" t="s">
        <v>21</v>
      </c>
      <c r="B1095" s="89">
        <v>1674</v>
      </c>
      <c r="C1095" s="82">
        <v>1</v>
      </c>
      <c r="D1095" s="83">
        <v>42996</v>
      </c>
      <c r="E1095" s="84">
        <f t="shared" si="17"/>
        <v>2017</v>
      </c>
      <c r="F1095" s="82" t="s">
        <v>22</v>
      </c>
      <c r="G1095" s="82">
        <v>2</v>
      </c>
      <c r="H1095" s="82">
        <v>4</v>
      </c>
      <c r="I1095" s="82">
        <v>18.8</v>
      </c>
      <c r="J1095" s="228">
        <v>9.5</v>
      </c>
      <c r="K1095" s="89" t="s">
        <v>193</v>
      </c>
    </row>
    <row r="1096" spans="1:11" x14ac:dyDescent="0.2">
      <c r="A1096" t="s">
        <v>21</v>
      </c>
      <c r="B1096" s="89">
        <v>1674</v>
      </c>
      <c r="C1096" s="82">
        <v>1</v>
      </c>
      <c r="D1096" s="83">
        <v>42996</v>
      </c>
      <c r="E1096" s="84">
        <f t="shared" si="17"/>
        <v>2017</v>
      </c>
      <c r="F1096" s="82" t="s">
        <v>22</v>
      </c>
      <c r="G1096" s="82">
        <v>2</v>
      </c>
      <c r="H1096" s="82">
        <v>2</v>
      </c>
      <c r="I1096" s="82">
        <v>19.2</v>
      </c>
      <c r="J1096" s="228">
        <v>10.199999999999999</v>
      </c>
      <c r="K1096" s="89" t="s">
        <v>193</v>
      </c>
    </row>
    <row r="1097" spans="1:11" x14ac:dyDescent="0.2">
      <c r="A1097" t="s">
        <v>21</v>
      </c>
      <c r="B1097" s="89">
        <v>1674</v>
      </c>
      <c r="C1097" s="82">
        <v>1</v>
      </c>
      <c r="D1097" s="83">
        <v>42996</v>
      </c>
      <c r="E1097" s="84">
        <f t="shared" si="17"/>
        <v>2017</v>
      </c>
      <c r="F1097" s="82" t="s">
        <v>22</v>
      </c>
      <c r="G1097" s="82">
        <v>2</v>
      </c>
      <c r="H1097" s="82">
        <v>1</v>
      </c>
      <c r="I1097" s="82">
        <v>19.399999999999999</v>
      </c>
      <c r="J1097" s="228">
        <v>10.4</v>
      </c>
      <c r="K1097" s="89" t="s">
        <v>193</v>
      </c>
    </row>
    <row r="1098" spans="1:11" x14ac:dyDescent="0.2">
      <c r="A1098" t="s">
        <v>21</v>
      </c>
      <c r="B1098" s="89">
        <v>1674</v>
      </c>
      <c r="C1098" s="82">
        <v>1</v>
      </c>
      <c r="D1098" s="83">
        <v>42996</v>
      </c>
      <c r="E1098" s="84">
        <f t="shared" si="17"/>
        <v>2017</v>
      </c>
      <c r="F1098" s="82" t="s">
        <v>22</v>
      </c>
      <c r="G1098" s="82">
        <v>2</v>
      </c>
      <c r="H1098" s="82">
        <v>0</v>
      </c>
      <c r="I1098" s="82">
        <v>19.399999999999999</v>
      </c>
      <c r="J1098" s="228">
        <v>10.4</v>
      </c>
      <c r="K1098" s="89" t="s">
        <v>193</v>
      </c>
    </row>
    <row r="1099" spans="1:11" x14ac:dyDescent="0.2">
      <c r="A1099" t="s">
        <v>21</v>
      </c>
      <c r="B1099" s="89">
        <v>1674</v>
      </c>
      <c r="C1099" s="82">
        <v>1</v>
      </c>
      <c r="D1099" s="83">
        <v>42996</v>
      </c>
      <c r="E1099" s="84">
        <f t="shared" si="17"/>
        <v>2017</v>
      </c>
      <c r="F1099" s="82" t="s">
        <v>22</v>
      </c>
      <c r="G1099" s="82">
        <v>2</v>
      </c>
      <c r="H1099" s="82">
        <v>5</v>
      </c>
      <c r="I1099" s="82">
        <v>18.399999999999999</v>
      </c>
      <c r="J1099" s="228">
        <v>8.8000000000000007</v>
      </c>
      <c r="K1099" s="89" t="s">
        <v>193</v>
      </c>
    </row>
    <row r="1100" spans="1:11" x14ac:dyDescent="0.2">
      <c r="A1100" t="s">
        <v>21</v>
      </c>
      <c r="B1100" s="89">
        <v>1674</v>
      </c>
      <c r="C1100" s="82">
        <v>1</v>
      </c>
      <c r="D1100" s="83">
        <v>43334</v>
      </c>
      <c r="E1100" s="84">
        <f t="shared" si="17"/>
        <v>2018</v>
      </c>
      <c r="F1100" s="82" t="s">
        <v>22</v>
      </c>
      <c r="G1100" s="82">
        <v>2</v>
      </c>
      <c r="H1100" s="82">
        <v>0</v>
      </c>
      <c r="I1100" s="82">
        <v>22.3</v>
      </c>
      <c r="J1100" s="228">
        <v>7.6</v>
      </c>
      <c r="K1100" s="89" t="s">
        <v>193</v>
      </c>
    </row>
    <row r="1101" spans="1:11" x14ac:dyDescent="0.2">
      <c r="A1101" t="s">
        <v>21</v>
      </c>
      <c r="B1101" s="89">
        <v>1674</v>
      </c>
      <c r="C1101" s="82">
        <v>1</v>
      </c>
      <c r="D1101" s="83">
        <v>43334</v>
      </c>
      <c r="E1101" s="84">
        <f t="shared" si="17"/>
        <v>2018</v>
      </c>
      <c r="F1101" s="82" t="s">
        <v>22</v>
      </c>
      <c r="G1101" s="82">
        <v>2</v>
      </c>
      <c r="H1101" s="82">
        <v>1</v>
      </c>
      <c r="I1101" s="82">
        <v>22.4</v>
      </c>
      <c r="J1101" s="228">
        <v>7.5</v>
      </c>
      <c r="K1101" s="89" t="s">
        <v>193</v>
      </c>
    </row>
    <row r="1102" spans="1:11" x14ac:dyDescent="0.2">
      <c r="A1102" t="s">
        <v>21</v>
      </c>
      <c r="B1102" s="89">
        <v>1674</v>
      </c>
      <c r="C1102" s="82">
        <v>1</v>
      </c>
      <c r="D1102" s="83">
        <v>43334</v>
      </c>
      <c r="E1102" s="84">
        <f t="shared" si="17"/>
        <v>2018</v>
      </c>
      <c r="F1102" s="82" t="s">
        <v>22</v>
      </c>
      <c r="G1102" s="82">
        <v>2</v>
      </c>
      <c r="H1102" s="82">
        <v>2</v>
      </c>
      <c r="I1102" s="82">
        <v>22.4</v>
      </c>
      <c r="J1102" s="228">
        <v>7.5</v>
      </c>
      <c r="K1102" s="89" t="s">
        <v>193</v>
      </c>
    </row>
    <row r="1103" spans="1:11" x14ac:dyDescent="0.2">
      <c r="A1103" t="s">
        <v>21</v>
      </c>
      <c r="B1103" s="89">
        <v>1674</v>
      </c>
      <c r="C1103" s="82">
        <v>1</v>
      </c>
      <c r="D1103" s="83">
        <v>43334</v>
      </c>
      <c r="E1103" s="84">
        <f t="shared" si="17"/>
        <v>2018</v>
      </c>
      <c r="F1103" s="82" t="s">
        <v>22</v>
      </c>
      <c r="G1103" s="82">
        <v>2</v>
      </c>
      <c r="H1103" s="82">
        <v>3</v>
      </c>
      <c r="I1103" s="82">
        <v>22.4</v>
      </c>
      <c r="J1103" s="228">
        <v>7.5</v>
      </c>
      <c r="K1103" s="89" t="s">
        <v>193</v>
      </c>
    </row>
    <row r="1104" spans="1:11" x14ac:dyDescent="0.2">
      <c r="A1104" t="s">
        <v>21</v>
      </c>
      <c r="B1104" s="89">
        <v>1674</v>
      </c>
      <c r="C1104" s="82">
        <v>1</v>
      </c>
      <c r="D1104" s="83">
        <v>43334</v>
      </c>
      <c r="E1104" s="84">
        <f t="shared" si="17"/>
        <v>2018</v>
      </c>
      <c r="F1104" s="82" t="s">
        <v>22</v>
      </c>
      <c r="G1104" s="82">
        <v>2</v>
      </c>
      <c r="H1104" s="82">
        <v>4</v>
      </c>
      <c r="I1104" s="82">
        <v>22.4</v>
      </c>
      <c r="J1104" s="228">
        <v>7.5</v>
      </c>
      <c r="K1104" s="89" t="s">
        <v>193</v>
      </c>
    </row>
    <row r="1105" spans="1:11" x14ac:dyDescent="0.2">
      <c r="A1105" t="s">
        <v>21</v>
      </c>
      <c r="B1105" s="89">
        <v>1674</v>
      </c>
      <c r="C1105" s="82">
        <v>1</v>
      </c>
      <c r="D1105" s="83">
        <v>43334</v>
      </c>
      <c r="E1105" s="84">
        <f t="shared" si="17"/>
        <v>2018</v>
      </c>
      <c r="F1105" s="82" t="s">
        <v>22</v>
      </c>
      <c r="G1105" s="82">
        <v>2</v>
      </c>
      <c r="H1105" s="82">
        <v>5</v>
      </c>
      <c r="I1105" s="82">
        <v>22.3</v>
      </c>
      <c r="J1105" s="228">
        <v>6.8</v>
      </c>
      <c r="K1105" s="89" t="s">
        <v>193</v>
      </c>
    </row>
    <row r="1106" spans="1:11" x14ac:dyDescent="0.2">
      <c r="A1106" t="s">
        <v>21</v>
      </c>
      <c r="B1106" s="89">
        <v>1674</v>
      </c>
      <c r="C1106" s="82">
        <v>1</v>
      </c>
      <c r="D1106" s="83">
        <v>43334</v>
      </c>
      <c r="E1106" s="84">
        <f t="shared" si="17"/>
        <v>2018</v>
      </c>
      <c r="F1106" s="82" t="s">
        <v>22</v>
      </c>
      <c r="G1106" s="82">
        <v>2</v>
      </c>
      <c r="H1106" s="82">
        <v>6</v>
      </c>
      <c r="I1106" s="82">
        <v>22.3</v>
      </c>
      <c r="J1106" s="228">
        <v>6.9</v>
      </c>
      <c r="K1106" s="89" t="s">
        <v>193</v>
      </c>
    </row>
    <row r="1107" spans="1:11" x14ac:dyDescent="0.2">
      <c r="A1107" t="s">
        <v>21</v>
      </c>
      <c r="B1107" s="89">
        <v>1674</v>
      </c>
      <c r="C1107" s="82">
        <v>1</v>
      </c>
      <c r="D1107" s="83">
        <v>43334</v>
      </c>
      <c r="E1107" s="84">
        <f t="shared" si="17"/>
        <v>2018</v>
      </c>
      <c r="F1107" s="82" t="s">
        <v>22</v>
      </c>
      <c r="G1107" s="82">
        <v>2</v>
      </c>
      <c r="H1107" s="82">
        <v>7</v>
      </c>
      <c r="I1107" s="82">
        <v>22.2</v>
      </c>
      <c r="J1107" s="228">
        <v>6.9</v>
      </c>
      <c r="K1107" s="89" t="s">
        <v>193</v>
      </c>
    </row>
    <row r="1108" spans="1:11" x14ac:dyDescent="0.2">
      <c r="A1108" t="s">
        <v>21</v>
      </c>
      <c r="B1108" s="89">
        <v>1674</v>
      </c>
      <c r="C1108" s="82">
        <v>1</v>
      </c>
      <c r="D1108" s="83">
        <v>43334</v>
      </c>
      <c r="E1108" s="84">
        <f t="shared" si="17"/>
        <v>2018</v>
      </c>
      <c r="F1108" s="82" t="s">
        <v>22</v>
      </c>
      <c r="G1108" s="82">
        <v>2</v>
      </c>
      <c r="H1108" s="82">
        <v>8</v>
      </c>
      <c r="I1108" s="82">
        <v>22.2</v>
      </c>
      <c r="J1108" s="228">
        <v>6.8</v>
      </c>
      <c r="K1108" s="89" t="s">
        <v>193</v>
      </c>
    </row>
    <row r="1109" spans="1:11" x14ac:dyDescent="0.2">
      <c r="A1109" t="s">
        <v>21</v>
      </c>
      <c r="B1109" s="89">
        <v>1674</v>
      </c>
      <c r="C1109" s="82">
        <v>1</v>
      </c>
      <c r="D1109" s="83">
        <v>43334</v>
      </c>
      <c r="E1109" s="84">
        <f t="shared" si="17"/>
        <v>2018</v>
      </c>
      <c r="F1109" s="82" t="s">
        <v>22</v>
      </c>
      <c r="G1109" s="82">
        <v>2</v>
      </c>
      <c r="H1109" s="82">
        <v>9</v>
      </c>
      <c r="I1109" s="82">
        <v>22.1</v>
      </c>
      <c r="J1109" s="228">
        <v>5.9</v>
      </c>
      <c r="K1109" s="89" t="s">
        <v>193</v>
      </c>
    </row>
    <row r="1110" spans="1:11" x14ac:dyDescent="0.2">
      <c r="A1110" t="s">
        <v>21</v>
      </c>
      <c r="B1110" s="89">
        <v>1674</v>
      </c>
      <c r="C1110" s="82">
        <v>1</v>
      </c>
      <c r="D1110" s="83">
        <v>43334</v>
      </c>
      <c r="E1110" s="84">
        <f t="shared" si="17"/>
        <v>2018</v>
      </c>
      <c r="F1110" s="82" t="s">
        <v>22</v>
      </c>
      <c r="G1110" s="82">
        <v>2</v>
      </c>
      <c r="H1110" s="241">
        <v>10</v>
      </c>
      <c r="I1110" s="241">
        <v>22</v>
      </c>
      <c r="J1110" s="241">
        <v>4.0999999999999996</v>
      </c>
      <c r="K1110" s="270" t="s">
        <v>193</v>
      </c>
    </row>
    <row r="1111" spans="1:11" x14ac:dyDescent="0.2">
      <c r="A1111" t="s">
        <v>21</v>
      </c>
      <c r="B1111" s="89">
        <v>1674</v>
      </c>
      <c r="C1111" s="82">
        <v>1</v>
      </c>
      <c r="D1111" s="83">
        <v>43334</v>
      </c>
      <c r="E1111" s="84">
        <f t="shared" si="17"/>
        <v>2018</v>
      </c>
      <c r="F1111" s="82" t="s">
        <v>22</v>
      </c>
      <c r="G1111" s="82">
        <v>2</v>
      </c>
      <c r="H1111" s="241">
        <v>11</v>
      </c>
      <c r="I1111" s="241">
        <v>20.9</v>
      </c>
      <c r="J1111" s="241">
        <v>0.3</v>
      </c>
      <c r="K1111" s="270" t="s">
        <v>193</v>
      </c>
    </row>
    <row r="1112" spans="1:11" x14ac:dyDescent="0.2">
      <c r="A1112" t="s">
        <v>21</v>
      </c>
      <c r="B1112" s="89">
        <v>1674</v>
      </c>
      <c r="C1112" s="82">
        <v>1</v>
      </c>
      <c r="D1112" s="83">
        <v>43334</v>
      </c>
      <c r="E1112" s="84">
        <f t="shared" si="17"/>
        <v>2018</v>
      </c>
      <c r="F1112" s="82" t="s">
        <v>22</v>
      </c>
      <c r="G1112" s="82">
        <v>2</v>
      </c>
      <c r="H1112" s="241">
        <v>12</v>
      </c>
      <c r="I1112" s="241">
        <v>17.7</v>
      </c>
      <c r="J1112" s="241">
        <v>0.2</v>
      </c>
      <c r="K1112" s="270" t="s">
        <v>193</v>
      </c>
    </row>
    <row r="1113" spans="1:11" x14ac:dyDescent="0.2">
      <c r="A1113" t="s">
        <v>21</v>
      </c>
      <c r="B1113" s="89">
        <v>1674</v>
      </c>
      <c r="C1113" s="229">
        <v>1</v>
      </c>
      <c r="D1113" s="230">
        <v>43334</v>
      </c>
      <c r="E1113" s="231">
        <f t="shared" si="17"/>
        <v>2018</v>
      </c>
      <c r="F1113" s="229" t="s">
        <v>22</v>
      </c>
      <c r="G1113" s="229">
        <v>2</v>
      </c>
      <c r="H1113" s="242">
        <v>13</v>
      </c>
      <c r="I1113" s="242">
        <v>16.600000000000001</v>
      </c>
      <c r="J1113" s="242">
        <v>0.1</v>
      </c>
      <c r="K1113" s="270" t="s">
        <v>193</v>
      </c>
    </row>
    <row r="1114" spans="1:11" x14ac:dyDescent="0.2">
      <c r="A1114" s="177" t="s">
        <v>21</v>
      </c>
      <c r="B1114" s="89">
        <v>1674</v>
      </c>
      <c r="C1114" s="82">
        <v>1</v>
      </c>
      <c r="D1114" s="83">
        <v>43637</v>
      </c>
      <c r="E1114" s="82">
        <f t="shared" si="17"/>
        <v>2019</v>
      </c>
      <c r="H1114" s="240">
        <v>0</v>
      </c>
      <c r="I1114" s="239">
        <v>18.2</v>
      </c>
      <c r="J1114" s="240">
        <v>9.4</v>
      </c>
      <c r="K1114" s="270"/>
    </row>
    <row r="1115" spans="1:11" x14ac:dyDescent="0.2">
      <c r="A1115" s="177" t="s">
        <v>21</v>
      </c>
      <c r="B1115" s="89">
        <v>1674</v>
      </c>
      <c r="C1115" s="82">
        <v>1</v>
      </c>
      <c r="D1115" s="83">
        <v>43637</v>
      </c>
      <c r="E1115" s="82">
        <f t="shared" ref="E1115:E1128" si="18">YEAR(D1115)</f>
        <v>2019</v>
      </c>
      <c r="H1115" s="240">
        <v>1</v>
      </c>
      <c r="I1115" s="239">
        <v>18.2</v>
      </c>
      <c r="J1115" s="240">
        <v>9.4</v>
      </c>
      <c r="K1115" s="270"/>
    </row>
    <row r="1116" spans="1:11" x14ac:dyDescent="0.2">
      <c r="A1116" s="177" t="s">
        <v>21</v>
      </c>
      <c r="B1116" s="89">
        <v>1674</v>
      </c>
      <c r="C1116" s="82">
        <v>1</v>
      </c>
      <c r="D1116" s="83">
        <v>43637</v>
      </c>
      <c r="E1116" s="82">
        <f t="shared" si="18"/>
        <v>2019</v>
      </c>
      <c r="H1116" s="240">
        <v>2</v>
      </c>
      <c r="I1116" s="239">
        <v>18.2</v>
      </c>
      <c r="J1116" s="240">
        <v>9.4</v>
      </c>
      <c r="K1116" s="270"/>
    </row>
    <row r="1117" spans="1:11" x14ac:dyDescent="0.2">
      <c r="A1117" s="177" t="s">
        <v>21</v>
      </c>
      <c r="B1117" s="89">
        <v>1674</v>
      </c>
      <c r="C1117" s="82">
        <v>1</v>
      </c>
      <c r="D1117" s="83">
        <v>43637</v>
      </c>
      <c r="E1117" s="82">
        <f t="shared" si="18"/>
        <v>2019</v>
      </c>
      <c r="H1117" s="240">
        <v>3</v>
      </c>
      <c r="I1117" s="239">
        <v>18.2</v>
      </c>
      <c r="J1117" s="240">
        <v>9.3000000000000007</v>
      </c>
      <c r="K1117" s="270"/>
    </row>
    <row r="1118" spans="1:11" x14ac:dyDescent="0.2">
      <c r="A1118" s="177" t="s">
        <v>21</v>
      </c>
      <c r="B1118" s="89">
        <v>1674</v>
      </c>
      <c r="C1118" s="82">
        <v>1</v>
      </c>
      <c r="D1118" s="83">
        <v>43637</v>
      </c>
      <c r="E1118" s="82">
        <f t="shared" si="18"/>
        <v>2019</v>
      </c>
      <c r="H1118" s="240">
        <v>4</v>
      </c>
      <c r="I1118" s="239">
        <v>18.2</v>
      </c>
      <c r="J1118" s="240">
        <v>9.3000000000000007</v>
      </c>
      <c r="K1118" s="270"/>
    </row>
    <row r="1119" spans="1:11" x14ac:dyDescent="0.2">
      <c r="A1119" s="177" t="s">
        <v>21</v>
      </c>
      <c r="B1119" s="89">
        <v>1674</v>
      </c>
      <c r="C1119" s="82">
        <v>1</v>
      </c>
      <c r="D1119" s="83">
        <v>43637</v>
      </c>
      <c r="E1119" s="82">
        <f t="shared" si="18"/>
        <v>2019</v>
      </c>
      <c r="H1119" s="240">
        <v>5</v>
      </c>
      <c r="I1119" s="239">
        <v>18</v>
      </c>
      <c r="J1119" s="240">
        <v>9.3000000000000007</v>
      </c>
      <c r="K1119" s="270"/>
    </row>
    <row r="1120" spans="1:11" x14ac:dyDescent="0.2">
      <c r="A1120" s="177" t="s">
        <v>21</v>
      </c>
      <c r="B1120" s="89">
        <v>1674</v>
      </c>
      <c r="C1120" s="82">
        <v>1</v>
      </c>
      <c r="D1120" s="83">
        <v>43637</v>
      </c>
      <c r="E1120" s="82">
        <f t="shared" si="18"/>
        <v>2019</v>
      </c>
      <c r="H1120" s="240">
        <v>6</v>
      </c>
      <c r="I1120" s="239">
        <v>18</v>
      </c>
      <c r="J1120" s="240">
        <v>9.4</v>
      </c>
      <c r="K1120" s="270"/>
    </row>
    <row r="1121" spans="1:11" x14ac:dyDescent="0.2">
      <c r="A1121" s="177" t="s">
        <v>21</v>
      </c>
      <c r="B1121" s="89">
        <v>1674</v>
      </c>
      <c r="C1121" s="82">
        <v>1</v>
      </c>
      <c r="D1121" s="83">
        <v>43637</v>
      </c>
      <c r="E1121" s="82">
        <f t="shared" si="18"/>
        <v>2019</v>
      </c>
      <c r="H1121" s="240">
        <v>7</v>
      </c>
      <c r="I1121" s="239">
        <v>17</v>
      </c>
      <c r="J1121" s="240">
        <v>8.3000000000000007</v>
      </c>
      <c r="K1121" s="270"/>
    </row>
    <row r="1122" spans="1:11" x14ac:dyDescent="0.2">
      <c r="A1122" s="177" t="s">
        <v>21</v>
      </c>
      <c r="B1122" s="89">
        <v>1674</v>
      </c>
      <c r="C1122" s="82">
        <v>1</v>
      </c>
      <c r="D1122" s="83">
        <v>43637</v>
      </c>
      <c r="E1122" s="82">
        <f t="shared" si="18"/>
        <v>2019</v>
      </c>
      <c r="H1122" s="240">
        <v>8</v>
      </c>
      <c r="I1122" s="239">
        <v>15.9</v>
      </c>
      <c r="J1122" s="240">
        <v>7.5</v>
      </c>
    </row>
    <row r="1123" spans="1:11" x14ac:dyDescent="0.2">
      <c r="A1123" s="177" t="s">
        <v>21</v>
      </c>
      <c r="B1123" s="89">
        <v>1674</v>
      </c>
      <c r="C1123" s="82">
        <v>1</v>
      </c>
      <c r="D1123" s="83">
        <v>43637</v>
      </c>
      <c r="E1123" s="82">
        <f t="shared" si="18"/>
        <v>2019</v>
      </c>
      <c r="H1123" s="240">
        <v>9</v>
      </c>
      <c r="I1123" s="239">
        <v>15.3</v>
      </c>
      <c r="J1123" s="240">
        <v>7.1</v>
      </c>
    </row>
    <row r="1124" spans="1:11" x14ac:dyDescent="0.2">
      <c r="A1124" s="177" t="s">
        <v>21</v>
      </c>
      <c r="B1124" s="89">
        <v>1674</v>
      </c>
      <c r="C1124" s="82">
        <v>1</v>
      </c>
      <c r="D1124" s="83">
        <v>43637</v>
      </c>
      <c r="E1124" s="82">
        <f t="shared" si="18"/>
        <v>2019</v>
      </c>
      <c r="H1124" s="240">
        <v>10</v>
      </c>
      <c r="I1124" s="239">
        <v>14.6</v>
      </c>
      <c r="J1124" s="240">
        <v>6.7</v>
      </c>
    </row>
    <row r="1125" spans="1:11" x14ac:dyDescent="0.2">
      <c r="A1125" s="177" t="s">
        <v>21</v>
      </c>
      <c r="B1125" s="89">
        <v>1674</v>
      </c>
      <c r="C1125" s="82">
        <v>1</v>
      </c>
      <c r="D1125" s="83">
        <v>43637</v>
      </c>
      <c r="E1125" s="82">
        <f t="shared" si="18"/>
        <v>2019</v>
      </c>
      <c r="H1125" s="240">
        <v>11</v>
      </c>
      <c r="I1125" s="239">
        <v>13.5</v>
      </c>
      <c r="J1125" s="240">
        <v>6.2</v>
      </c>
    </row>
    <row r="1126" spans="1:11" x14ac:dyDescent="0.2">
      <c r="A1126" s="177" t="s">
        <v>21</v>
      </c>
      <c r="B1126" s="89">
        <v>1674</v>
      </c>
      <c r="C1126" s="82">
        <v>1</v>
      </c>
      <c r="D1126" s="83">
        <v>43637</v>
      </c>
      <c r="E1126" s="82">
        <f t="shared" si="18"/>
        <v>2019</v>
      </c>
      <c r="H1126" s="240">
        <v>12</v>
      </c>
      <c r="I1126" s="239">
        <v>12.2</v>
      </c>
      <c r="J1126" s="240">
        <v>4.7</v>
      </c>
    </row>
    <row r="1127" spans="1:11" x14ac:dyDescent="0.2">
      <c r="A1127" s="177" t="s">
        <v>21</v>
      </c>
      <c r="B1127" s="89">
        <v>1674</v>
      </c>
      <c r="C1127" s="82">
        <v>1</v>
      </c>
      <c r="D1127" s="83">
        <v>43637</v>
      </c>
      <c r="E1127" s="82">
        <f t="shared" si="18"/>
        <v>2019</v>
      </c>
      <c r="H1127" s="240">
        <v>13</v>
      </c>
      <c r="I1127" s="239">
        <v>11.6</v>
      </c>
      <c r="J1127" s="240">
        <v>3.4</v>
      </c>
    </row>
    <row r="1128" spans="1:11" x14ac:dyDescent="0.2">
      <c r="A1128" s="177" t="s">
        <v>21</v>
      </c>
      <c r="B1128" s="89">
        <v>1674</v>
      </c>
      <c r="C1128" s="82">
        <v>1</v>
      </c>
      <c r="D1128" s="83">
        <v>43637</v>
      </c>
      <c r="E1128" s="82">
        <f t="shared" si="18"/>
        <v>2019</v>
      </c>
      <c r="H1128" s="240">
        <v>13.5</v>
      </c>
      <c r="I1128" s="239">
        <v>11.1</v>
      </c>
      <c r="J1128" s="240">
        <v>1.6</v>
      </c>
    </row>
    <row r="1129" spans="1:11" x14ac:dyDescent="0.2">
      <c r="A1129" s="177" t="s">
        <v>21</v>
      </c>
      <c r="B1129" s="89">
        <v>1674</v>
      </c>
      <c r="C1129" s="82">
        <v>1</v>
      </c>
      <c r="D1129" s="83">
        <v>43650</v>
      </c>
      <c r="E1129" s="82">
        <v>2019</v>
      </c>
      <c r="H1129" s="240">
        <v>0</v>
      </c>
      <c r="I1129" s="239">
        <v>22.8</v>
      </c>
      <c r="J1129" s="239">
        <v>9.9</v>
      </c>
    </row>
    <row r="1130" spans="1:11" x14ac:dyDescent="0.2">
      <c r="A1130" s="177" t="s">
        <v>21</v>
      </c>
      <c r="B1130" s="89">
        <v>1674</v>
      </c>
      <c r="C1130" s="82">
        <v>1</v>
      </c>
      <c r="D1130" s="83">
        <v>43650</v>
      </c>
      <c r="E1130" s="82">
        <v>2019</v>
      </c>
      <c r="H1130" s="240">
        <v>1</v>
      </c>
      <c r="I1130" s="239">
        <v>22.3</v>
      </c>
      <c r="J1130" s="239">
        <v>9.9</v>
      </c>
    </row>
    <row r="1131" spans="1:11" x14ac:dyDescent="0.2">
      <c r="A1131" s="177" t="s">
        <v>21</v>
      </c>
      <c r="B1131" s="89">
        <v>1674</v>
      </c>
      <c r="C1131" s="82">
        <v>1</v>
      </c>
      <c r="D1131" s="83">
        <v>43650</v>
      </c>
      <c r="E1131" s="82">
        <v>2019</v>
      </c>
      <c r="H1131" s="240">
        <v>2</v>
      </c>
      <c r="I1131" s="239">
        <v>21.9</v>
      </c>
      <c r="J1131" s="239">
        <v>9.9</v>
      </c>
    </row>
    <row r="1132" spans="1:11" x14ac:dyDescent="0.2">
      <c r="A1132" s="177" t="s">
        <v>21</v>
      </c>
      <c r="B1132" s="89">
        <v>1674</v>
      </c>
      <c r="C1132" s="82">
        <v>1</v>
      </c>
      <c r="D1132" s="83">
        <v>43650</v>
      </c>
      <c r="E1132" s="82">
        <v>2019</v>
      </c>
      <c r="H1132" s="240">
        <v>3</v>
      </c>
      <c r="I1132" s="239">
        <v>21.6</v>
      </c>
      <c r="J1132" s="239">
        <v>9.6</v>
      </c>
    </row>
    <row r="1133" spans="1:11" x14ac:dyDescent="0.2">
      <c r="A1133" s="177" t="s">
        <v>21</v>
      </c>
      <c r="B1133" s="89">
        <v>1674</v>
      </c>
      <c r="C1133" s="82">
        <v>1</v>
      </c>
      <c r="D1133" s="83">
        <v>43650</v>
      </c>
      <c r="E1133" s="82">
        <v>2019</v>
      </c>
      <c r="H1133" s="240">
        <v>4</v>
      </c>
      <c r="I1133" s="239">
        <v>20.399999999999999</v>
      </c>
      <c r="J1133" s="239">
        <v>9.6999999999999993</v>
      </c>
    </row>
    <row r="1134" spans="1:11" x14ac:dyDescent="0.2">
      <c r="A1134" s="177" t="s">
        <v>21</v>
      </c>
      <c r="B1134" s="89">
        <v>1674</v>
      </c>
      <c r="C1134" s="82">
        <v>1</v>
      </c>
      <c r="D1134" s="83">
        <v>43650</v>
      </c>
      <c r="E1134" s="82">
        <v>2019</v>
      </c>
      <c r="H1134" s="240">
        <v>5</v>
      </c>
      <c r="I1134" s="239">
        <v>18.2</v>
      </c>
      <c r="J1134" s="239">
        <v>8.5</v>
      </c>
    </row>
    <row r="1135" spans="1:11" x14ac:dyDescent="0.2">
      <c r="A1135" s="177" t="s">
        <v>21</v>
      </c>
      <c r="B1135" s="89">
        <v>1674</v>
      </c>
      <c r="C1135" s="82">
        <v>1</v>
      </c>
      <c r="D1135" s="83">
        <v>43650</v>
      </c>
      <c r="E1135" s="82">
        <v>2019</v>
      </c>
      <c r="H1135" s="240">
        <v>6</v>
      </c>
      <c r="I1135" s="239">
        <v>17.899999999999999</v>
      </c>
      <c r="J1135" s="239">
        <v>7.7</v>
      </c>
    </row>
    <row r="1136" spans="1:11" x14ac:dyDescent="0.2">
      <c r="A1136" s="177" t="s">
        <v>21</v>
      </c>
      <c r="B1136" s="89">
        <v>1674</v>
      </c>
      <c r="C1136" s="82">
        <v>1</v>
      </c>
      <c r="D1136" s="83">
        <v>43650</v>
      </c>
      <c r="E1136" s="82">
        <v>2019</v>
      </c>
      <c r="H1136" s="240">
        <v>7</v>
      </c>
      <c r="I1136" s="239">
        <v>17.899999999999999</v>
      </c>
      <c r="J1136" s="239">
        <v>7</v>
      </c>
    </row>
    <row r="1137" spans="1:109" x14ac:dyDescent="0.2">
      <c r="A1137" s="177" t="s">
        <v>21</v>
      </c>
      <c r="B1137" s="89">
        <v>1674</v>
      </c>
      <c r="C1137" s="82">
        <v>1</v>
      </c>
      <c r="D1137" s="83">
        <v>43650</v>
      </c>
      <c r="E1137" s="82">
        <v>2019</v>
      </c>
      <c r="H1137" s="240">
        <v>8</v>
      </c>
      <c r="I1137" s="239">
        <v>17.600000000000001</v>
      </c>
      <c r="J1137" s="239">
        <v>6.6</v>
      </c>
    </row>
    <row r="1138" spans="1:109" x14ac:dyDescent="0.2">
      <c r="A1138" s="177" t="s">
        <v>21</v>
      </c>
      <c r="B1138" s="89">
        <v>1674</v>
      </c>
      <c r="C1138" s="82">
        <v>1</v>
      </c>
      <c r="D1138" s="83">
        <v>43650</v>
      </c>
      <c r="E1138" s="82">
        <v>2019</v>
      </c>
      <c r="H1138" s="240">
        <v>9</v>
      </c>
      <c r="I1138" s="239">
        <v>17.3</v>
      </c>
      <c r="J1138" s="239">
        <v>6</v>
      </c>
    </row>
    <row r="1139" spans="1:109" x14ac:dyDescent="0.2">
      <c r="A1139" s="177" t="s">
        <v>21</v>
      </c>
      <c r="B1139" s="89">
        <v>1674</v>
      </c>
      <c r="C1139" s="82">
        <v>1</v>
      </c>
      <c r="D1139" s="83">
        <v>43650</v>
      </c>
      <c r="E1139" s="82">
        <v>2019</v>
      </c>
      <c r="H1139" s="240">
        <v>10</v>
      </c>
      <c r="I1139" s="239">
        <v>17.100000000000001</v>
      </c>
      <c r="J1139" s="239">
        <v>6</v>
      </c>
    </row>
    <row r="1140" spans="1:109" x14ac:dyDescent="0.2">
      <c r="A1140" s="177" t="s">
        <v>21</v>
      </c>
      <c r="B1140" s="89">
        <v>1674</v>
      </c>
      <c r="C1140" s="82">
        <v>1</v>
      </c>
      <c r="D1140" s="83">
        <v>43650</v>
      </c>
      <c r="E1140" s="82">
        <v>2019</v>
      </c>
      <c r="H1140" s="240">
        <v>11</v>
      </c>
      <c r="I1140" s="239">
        <v>16.600000000000001</v>
      </c>
      <c r="J1140" s="239">
        <v>5.0999999999999996</v>
      </c>
    </row>
    <row r="1141" spans="1:109" x14ac:dyDescent="0.2">
      <c r="A1141" s="177" t="s">
        <v>21</v>
      </c>
      <c r="B1141" s="89">
        <v>1674</v>
      </c>
      <c r="C1141" s="229">
        <v>1</v>
      </c>
      <c r="D1141" s="83">
        <v>43650</v>
      </c>
      <c r="E1141" s="82">
        <v>2019</v>
      </c>
      <c r="H1141" s="240">
        <v>12</v>
      </c>
      <c r="I1141" s="239">
        <v>15.3</v>
      </c>
      <c r="J1141" s="239">
        <v>3.5</v>
      </c>
    </row>
    <row r="1142" spans="1:109" x14ac:dyDescent="0.2">
      <c r="A1142" s="177" t="s">
        <v>21</v>
      </c>
      <c r="B1142" s="89">
        <v>1674</v>
      </c>
      <c r="C1142" s="229">
        <v>1</v>
      </c>
      <c r="D1142" s="83">
        <v>43650</v>
      </c>
      <c r="E1142" s="82">
        <v>2019</v>
      </c>
      <c r="H1142" s="240">
        <v>13</v>
      </c>
      <c r="I1142" s="239">
        <v>12.7</v>
      </c>
      <c r="J1142" s="239">
        <v>0.2</v>
      </c>
    </row>
    <row r="1143" spans="1:109" x14ac:dyDescent="0.2">
      <c r="A1143" s="177" t="s">
        <v>21</v>
      </c>
      <c r="B1143" s="89">
        <v>1674</v>
      </c>
      <c r="C1143" s="229">
        <v>1</v>
      </c>
      <c r="D1143" s="83">
        <v>43664</v>
      </c>
      <c r="E1143" s="82">
        <f>YEAR(D1227)</f>
        <v>2019</v>
      </c>
      <c r="H1143" s="240">
        <v>0</v>
      </c>
      <c r="I1143" s="239">
        <v>23.1</v>
      </c>
      <c r="J1143" s="239">
        <v>8.9</v>
      </c>
    </row>
    <row r="1144" spans="1:109" x14ac:dyDescent="0.2">
      <c r="A1144" s="177" t="s">
        <v>21</v>
      </c>
      <c r="B1144" s="89">
        <v>1674</v>
      </c>
      <c r="C1144" s="229">
        <v>1</v>
      </c>
      <c r="D1144" s="83">
        <v>43664</v>
      </c>
      <c r="E1144" s="82">
        <f>YEAR(D1228)</f>
        <v>2019</v>
      </c>
      <c r="H1144" s="240">
        <v>1</v>
      </c>
      <c r="I1144" s="239">
        <v>22.6</v>
      </c>
      <c r="J1144" s="239">
        <v>8.9</v>
      </c>
    </row>
    <row r="1145" spans="1:109" x14ac:dyDescent="0.2">
      <c r="A1145" s="177" t="s">
        <v>21</v>
      </c>
      <c r="B1145" s="89">
        <v>1674</v>
      </c>
      <c r="C1145" s="229">
        <v>1</v>
      </c>
      <c r="D1145" s="83">
        <v>43664</v>
      </c>
      <c r="E1145" s="82">
        <v>2019</v>
      </c>
      <c r="H1145" s="240">
        <v>2</v>
      </c>
      <c r="I1145" s="239">
        <v>22.2</v>
      </c>
      <c r="J1145" s="239">
        <v>8.9</v>
      </c>
    </row>
    <row r="1146" spans="1:109" x14ac:dyDescent="0.2">
      <c r="A1146" s="177" t="s">
        <v>21</v>
      </c>
      <c r="B1146" s="89">
        <v>1674</v>
      </c>
      <c r="C1146" s="229">
        <v>1</v>
      </c>
      <c r="D1146" s="83">
        <v>43664</v>
      </c>
      <c r="E1146" s="82">
        <v>2019</v>
      </c>
      <c r="H1146" s="240">
        <v>3</v>
      </c>
      <c r="I1146" s="239">
        <v>22</v>
      </c>
      <c r="J1146" s="239">
        <v>8.6999999999999993</v>
      </c>
    </row>
    <row r="1147" spans="1:109" x14ac:dyDescent="0.2">
      <c r="A1147" s="177" t="s">
        <v>21</v>
      </c>
      <c r="B1147" s="89">
        <v>1674</v>
      </c>
      <c r="C1147" s="229">
        <v>1</v>
      </c>
      <c r="D1147" s="83">
        <v>43664</v>
      </c>
      <c r="E1147" s="82">
        <v>2019</v>
      </c>
      <c r="H1147" s="240">
        <v>4</v>
      </c>
      <c r="I1147" s="239">
        <v>21.8</v>
      </c>
      <c r="J1147" s="239">
        <v>8.6</v>
      </c>
    </row>
    <row r="1148" spans="1:109" x14ac:dyDescent="0.2">
      <c r="A1148" s="177" t="s">
        <v>21</v>
      </c>
      <c r="B1148" s="89">
        <v>1674</v>
      </c>
      <c r="C1148" s="229">
        <v>1</v>
      </c>
      <c r="D1148" s="83">
        <v>43664</v>
      </c>
      <c r="E1148" s="82">
        <v>2019</v>
      </c>
      <c r="H1148" s="240">
        <v>5</v>
      </c>
      <c r="I1148" s="239">
        <v>21.7</v>
      </c>
      <c r="J1148" s="239">
        <v>8.4</v>
      </c>
    </row>
    <row r="1149" spans="1:109" x14ac:dyDescent="0.2">
      <c r="A1149" s="177" t="s">
        <v>21</v>
      </c>
      <c r="B1149" s="89">
        <v>1674</v>
      </c>
      <c r="C1149" s="229">
        <v>1</v>
      </c>
      <c r="D1149" s="83">
        <v>43664</v>
      </c>
      <c r="E1149" s="82">
        <v>2019</v>
      </c>
      <c r="H1149" s="240">
        <v>6</v>
      </c>
      <c r="I1149" s="239">
        <v>21.6</v>
      </c>
      <c r="J1149" s="239">
        <v>8.4</v>
      </c>
    </row>
    <row r="1150" spans="1:109" s="177" customFormat="1" x14ac:dyDescent="0.2">
      <c r="A1150" s="177" t="s">
        <v>21</v>
      </c>
      <c r="B1150" s="89">
        <v>1674</v>
      </c>
      <c r="C1150" s="229">
        <v>1</v>
      </c>
      <c r="D1150" s="83">
        <v>43664</v>
      </c>
      <c r="E1150" s="82">
        <v>2019</v>
      </c>
      <c r="H1150" s="240">
        <v>7</v>
      </c>
      <c r="I1150" s="239">
        <v>21.6</v>
      </c>
      <c r="J1150" s="239">
        <v>8.4</v>
      </c>
      <c r="K1150" s="89"/>
      <c r="N1150" s="46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182"/>
      <c r="BH1150" s="182"/>
      <c r="BI1150" s="182"/>
      <c r="BJ1150" s="182"/>
      <c r="BK1150" s="182"/>
      <c r="BL1150" s="182"/>
      <c r="BM1150" s="182"/>
      <c r="BN1150" s="182"/>
      <c r="BO1150" s="182"/>
      <c r="BP1150" s="182"/>
      <c r="BQ1150" s="182"/>
      <c r="BR1150" s="182"/>
      <c r="BS1150" s="182"/>
      <c r="BT1150" s="182"/>
      <c r="BU1150" s="182"/>
      <c r="BV1150" s="182"/>
      <c r="BW1150" s="182"/>
      <c r="BX1150" s="182"/>
      <c r="BY1150" s="182"/>
      <c r="BZ1150" s="182"/>
      <c r="CA1150" s="182"/>
      <c r="CB1150" s="182"/>
      <c r="CC1150" s="182"/>
      <c r="CD1150" s="182"/>
      <c r="CE1150" s="182"/>
      <c r="CF1150" s="182"/>
      <c r="CG1150" s="182"/>
      <c r="CH1150" s="182"/>
      <c r="CI1150" s="182"/>
      <c r="CJ1150" s="182"/>
      <c r="CK1150" s="182"/>
      <c r="CL1150" s="182"/>
      <c r="CM1150" s="182"/>
      <c r="CN1150" s="182"/>
      <c r="CO1150" s="182"/>
      <c r="CP1150" s="182"/>
      <c r="CQ1150" s="182"/>
      <c r="CR1150" s="182"/>
      <c r="CS1150" s="182"/>
      <c r="CT1150" s="182"/>
      <c r="CU1150" s="182"/>
      <c r="CV1150" s="182"/>
      <c r="CW1150" s="182"/>
      <c r="CX1150" s="182"/>
      <c r="CY1150" s="182"/>
      <c r="CZ1150" s="182"/>
      <c r="DA1150" s="182"/>
      <c r="DB1150" s="182"/>
      <c r="DC1150" s="182"/>
      <c r="DD1150" s="182"/>
      <c r="DE1150" s="182"/>
    </row>
    <row r="1151" spans="1:109" x14ac:dyDescent="0.2">
      <c r="A1151" s="177" t="s">
        <v>21</v>
      </c>
      <c r="B1151" s="89">
        <v>1674</v>
      </c>
      <c r="C1151" s="229">
        <v>1</v>
      </c>
      <c r="D1151" s="83">
        <v>43664</v>
      </c>
      <c r="E1151" s="82">
        <v>2019</v>
      </c>
      <c r="H1151" s="240">
        <v>8</v>
      </c>
      <c r="I1151" s="239">
        <v>21.6</v>
      </c>
      <c r="J1151" s="239">
        <v>8.3000000000000007</v>
      </c>
    </row>
    <row r="1152" spans="1:109" x14ac:dyDescent="0.2">
      <c r="A1152" s="177" t="s">
        <v>21</v>
      </c>
      <c r="B1152" s="89">
        <v>1674</v>
      </c>
      <c r="C1152" s="229">
        <v>1</v>
      </c>
      <c r="D1152" s="83">
        <v>43664</v>
      </c>
      <c r="E1152" s="82">
        <v>2019</v>
      </c>
      <c r="H1152" s="240">
        <v>9</v>
      </c>
      <c r="I1152" s="239">
        <v>21.4</v>
      </c>
      <c r="J1152" s="239">
        <v>8.1</v>
      </c>
    </row>
    <row r="1153" spans="1:10" x14ac:dyDescent="0.2">
      <c r="A1153" s="177" t="s">
        <v>21</v>
      </c>
      <c r="B1153" s="89">
        <v>1674</v>
      </c>
      <c r="C1153" s="229">
        <v>1</v>
      </c>
      <c r="D1153" s="83">
        <v>43664</v>
      </c>
      <c r="E1153" s="82">
        <v>2019</v>
      </c>
      <c r="H1153" s="240">
        <v>10</v>
      </c>
      <c r="I1153" s="239">
        <v>19.3</v>
      </c>
      <c r="J1153" s="239">
        <v>4.4000000000000004</v>
      </c>
    </row>
    <row r="1154" spans="1:10" x14ac:dyDescent="0.2">
      <c r="A1154" s="177" t="s">
        <v>21</v>
      </c>
      <c r="B1154" s="89">
        <v>1674</v>
      </c>
      <c r="C1154" s="229">
        <v>1</v>
      </c>
      <c r="D1154" s="83">
        <v>43664</v>
      </c>
      <c r="E1154" s="82">
        <v>2019</v>
      </c>
      <c r="H1154" s="240">
        <v>11</v>
      </c>
      <c r="I1154" s="239">
        <v>17.5</v>
      </c>
      <c r="J1154" s="239">
        <v>2</v>
      </c>
    </row>
    <row r="1155" spans="1:10" x14ac:dyDescent="0.2">
      <c r="A1155" s="177" t="s">
        <v>21</v>
      </c>
      <c r="B1155" s="89">
        <v>1674</v>
      </c>
      <c r="C1155" s="229">
        <v>1</v>
      </c>
      <c r="D1155" s="83">
        <v>43664</v>
      </c>
      <c r="E1155" s="82">
        <v>2019</v>
      </c>
      <c r="H1155" s="240">
        <v>12</v>
      </c>
      <c r="I1155" s="239">
        <v>15.7</v>
      </c>
      <c r="J1155" s="239">
        <v>0.6</v>
      </c>
    </row>
    <row r="1156" spans="1:10" x14ac:dyDescent="0.2">
      <c r="A1156" s="177" t="s">
        <v>21</v>
      </c>
      <c r="B1156" s="89">
        <v>1674</v>
      </c>
      <c r="C1156" s="229">
        <v>1</v>
      </c>
      <c r="D1156" s="83">
        <v>43664</v>
      </c>
      <c r="E1156" s="82">
        <v>2019</v>
      </c>
      <c r="H1156" s="240">
        <v>13</v>
      </c>
      <c r="I1156" s="239">
        <v>14.3</v>
      </c>
      <c r="J1156" s="239">
        <v>0.2</v>
      </c>
    </row>
    <row r="1157" spans="1:10" x14ac:dyDescent="0.2">
      <c r="A1157" s="177" t="s">
        <v>21</v>
      </c>
      <c r="B1157" s="89">
        <v>1674</v>
      </c>
      <c r="C1157" s="229">
        <v>1</v>
      </c>
      <c r="D1157" s="83">
        <v>43678</v>
      </c>
      <c r="E1157" s="82">
        <v>2019</v>
      </c>
      <c r="H1157" s="240">
        <v>0</v>
      </c>
      <c r="I1157" s="239">
        <v>24.6</v>
      </c>
      <c r="J1157" s="239">
        <v>8.9</v>
      </c>
    </row>
    <row r="1158" spans="1:10" x14ac:dyDescent="0.2">
      <c r="A1158" s="177" t="s">
        <v>21</v>
      </c>
      <c r="B1158" s="89">
        <v>1674</v>
      </c>
      <c r="C1158" s="229">
        <v>1</v>
      </c>
      <c r="D1158" s="83">
        <v>43678</v>
      </c>
      <c r="E1158" s="82">
        <v>2019</v>
      </c>
      <c r="H1158" s="240">
        <v>1</v>
      </c>
      <c r="I1158" s="239">
        <v>24.7</v>
      </c>
      <c r="J1158" s="239">
        <v>8.9</v>
      </c>
    </row>
    <row r="1159" spans="1:10" x14ac:dyDescent="0.2">
      <c r="A1159" s="177" t="s">
        <v>21</v>
      </c>
      <c r="B1159" s="89">
        <v>1674</v>
      </c>
      <c r="C1159" s="229">
        <v>1</v>
      </c>
      <c r="D1159" s="83">
        <v>43678</v>
      </c>
      <c r="E1159" s="82">
        <v>2019</v>
      </c>
      <c r="H1159" s="240">
        <v>2</v>
      </c>
      <c r="I1159" s="239">
        <v>24.7</v>
      </c>
      <c r="J1159" s="239">
        <v>8.9</v>
      </c>
    </row>
    <row r="1160" spans="1:10" x14ac:dyDescent="0.2">
      <c r="A1160" s="177" t="s">
        <v>21</v>
      </c>
      <c r="B1160" s="89">
        <v>1674</v>
      </c>
      <c r="C1160" s="229">
        <v>1</v>
      </c>
      <c r="D1160" s="83">
        <v>43678</v>
      </c>
      <c r="E1160" s="82">
        <v>2019</v>
      </c>
      <c r="H1160" s="240">
        <v>3</v>
      </c>
      <c r="I1160" s="239">
        <v>24.6</v>
      </c>
      <c r="J1160" s="239">
        <v>8.9</v>
      </c>
    </row>
    <row r="1161" spans="1:10" x14ac:dyDescent="0.2">
      <c r="A1161" s="177" t="s">
        <v>21</v>
      </c>
      <c r="B1161" s="89">
        <v>1674</v>
      </c>
      <c r="C1161" s="229">
        <v>1</v>
      </c>
      <c r="D1161" s="83">
        <v>43678</v>
      </c>
      <c r="E1161" s="82">
        <v>2019</v>
      </c>
      <c r="H1161" s="240">
        <v>4</v>
      </c>
      <c r="I1161" s="239">
        <v>24.4</v>
      </c>
      <c r="J1161" s="239">
        <v>8.8000000000000007</v>
      </c>
    </row>
    <row r="1162" spans="1:10" x14ac:dyDescent="0.2">
      <c r="A1162" s="177" t="s">
        <v>21</v>
      </c>
      <c r="B1162" s="89">
        <v>1674</v>
      </c>
      <c r="C1162" s="229">
        <v>1</v>
      </c>
      <c r="D1162" s="83">
        <v>43678</v>
      </c>
      <c r="E1162" s="82">
        <v>2019</v>
      </c>
      <c r="H1162" s="240">
        <v>5</v>
      </c>
      <c r="I1162" s="239">
        <v>24.3</v>
      </c>
      <c r="J1162" s="239">
        <v>8.6</v>
      </c>
    </row>
    <row r="1163" spans="1:10" x14ac:dyDescent="0.2">
      <c r="A1163" s="177" t="s">
        <v>21</v>
      </c>
      <c r="B1163" s="89">
        <v>1674</v>
      </c>
      <c r="C1163" s="229">
        <v>1</v>
      </c>
      <c r="D1163" s="83">
        <v>43678</v>
      </c>
      <c r="E1163" s="82">
        <v>2019</v>
      </c>
      <c r="H1163" s="240">
        <v>6</v>
      </c>
      <c r="I1163" s="239">
        <v>22.6</v>
      </c>
      <c r="J1163" s="239">
        <v>7.4</v>
      </c>
    </row>
    <row r="1164" spans="1:10" x14ac:dyDescent="0.2">
      <c r="A1164" s="177" t="s">
        <v>21</v>
      </c>
      <c r="B1164" s="89">
        <v>1674</v>
      </c>
      <c r="C1164" s="229">
        <v>1</v>
      </c>
      <c r="D1164" s="83">
        <v>43678</v>
      </c>
      <c r="E1164" s="82">
        <v>2019</v>
      </c>
      <c r="H1164" s="240">
        <v>7</v>
      </c>
      <c r="I1164" s="239">
        <v>21.6</v>
      </c>
      <c r="J1164" s="239">
        <v>5.3</v>
      </c>
    </row>
    <row r="1165" spans="1:10" x14ac:dyDescent="0.2">
      <c r="A1165" s="177" t="s">
        <v>21</v>
      </c>
      <c r="B1165" s="89">
        <v>1674</v>
      </c>
      <c r="C1165" s="229">
        <v>1</v>
      </c>
      <c r="D1165" s="83">
        <v>43678</v>
      </c>
      <c r="E1165" s="82">
        <v>2019</v>
      </c>
      <c r="H1165" s="240">
        <v>8</v>
      </c>
      <c r="I1165" s="239">
        <v>19.3</v>
      </c>
      <c r="J1165" s="239">
        <v>1.7</v>
      </c>
    </row>
    <row r="1166" spans="1:10" x14ac:dyDescent="0.2">
      <c r="A1166" s="177" t="s">
        <v>21</v>
      </c>
      <c r="B1166" s="89">
        <v>1674</v>
      </c>
      <c r="C1166" s="229">
        <v>1</v>
      </c>
      <c r="D1166" s="83">
        <v>43678</v>
      </c>
      <c r="E1166" s="82">
        <v>2019</v>
      </c>
      <c r="H1166" s="240">
        <v>9</v>
      </c>
      <c r="I1166" s="239">
        <v>19</v>
      </c>
      <c r="J1166" s="239">
        <v>1.4</v>
      </c>
    </row>
    <row r="1167" spans="1:10" x14ac:dyDescent="0.2">
      <c r="A1167" s="177" t="s">
        <v>21</v>
      </c>
      <c r="B1167" s="89">
        <v>1674</v>
      </c>
      <c r="C1167" s="229">
        <v>1</v>
      </c>
      <c r="D1167" s="83">
        <v>43678</v>
      </c>
      <c r="E1167" s="82">
        <v>2019</v>
      </c>
      <c r="H1167" s="240">
        <v>10</v>
      </c>
      <c r="I1167" s="239">
        <v>18.899999999999999</v>
      </c>
      <c r="J1167" s="239">
        <v>1.3</v>
      </c>
    </row>
    <row r="1168" spans="1:10" x14ac:dyDescent="0.2">
      <c r="A1168" s="177" t="s">
        <v>21</v>
      </c>
      <c r="B1168" s="89">
        <v>1674</v>
      </c>
      <c r="C1168" s="229">
        <v>1</v>
      </c>
      <c r="D1168" s="83">
        <v>43678</v>
      </c>
      <c r="E1168" s="82">
        <v>2019</v>
      </c>
      <c r="H1168" s="240">
        <v>11</v>
      </c>
      <c r="I1168" s="239">
        <v>18.399999999999999</v>
      </c>
      <c r="J1168" s="239">
        <v>0.2</v>
      </c>
    </row>
    <row r="1169" spans="1:10" x14ac:dyDescent="0.2">
      <c r="A1169" s="177" t="s">
        <v>21</v>
      </c>
      <c r="B1169" s="89">
        <v>1674</v>
      </c>
      <c r="C1169" s="229">
        <v>1</v>
      </c>
      <c r="D1169" s="83">
        <v>43678</v>
      </c>
      <c r="E1169" s="82">
        <v>2019</v>
      </c>
      <c r="H1169" s="240">
        <v>12</v>
      </c>
      <c r="I1169" s="239">
        <v>16.8</v>
      </c>
      <c r="J1169" s="239">
        <v>0.1</v>
      </c>
    </row>
    <row r="1170" spans="1:10" x14ac:dyDescent="0.2">
      <c r="A1170" s="177" t="s">
        <v>21</v>
      </c>
      <c r="B1170" s="89">
        <v>1674</v>
      </c>
      <c r="C1170" s="229">
        <v>1</v>
      </c>
      <c r="D1170" s="83">
        <v>43678</v>
      </c>
      <c r="E1170" s="82">
        <v>2019</v>
      </c>
      <c r="H1170" s="240">
        <v>13</v>
      </c>
      <c r="I1170" s="239">
        <v>14.6</v>
      </c>
      <c r="J1170" s="239">
        <v>0.1</v>
      </c>
    </row>
    <row r="1171" spans="1:10" x14ac:dyDescent="0.2">
      <c r="A1171" s="177" t="s">
        <v>21</v>
      </c>
      <c r="B1171" s="89">
        <v>1674</v>
      </c>
      <c r="C1171" s="229">
        <v>1</v>
      </c>
      <c r="D1171" s="83">
        <v>43691</v>
      </c>
      <c r="E1171" s="82">
        <v>2019</v>
      </c>
      <c r="H1171" s="240">
        <v>0</v>
      </c>
      <c r="I1171" s="239">
        <v>21.7</v>
      </c>
      <c r="J1171" s="239">
        <v>8.6999999999999993</v>
      </c>
    </row>
    <row r="1172" spans="1:10" x14ac:dyDescent="0.2">
      <c r="A1172" s="177" t="s">
        <v>21</v>
      </c>
      <c r="B1172" s="89">
        <v>1674</v>
      </c>
      <c r="C1172" s="229">
        <v>1</v>
      </c>
      <c r="D1172" s="83">
        <v>43691</v>
      </c>
      <c r="E1172" s="82">
        <v>2019</v>
      </c>
      <c r="H1172" s="240">
        <v>1</v>
      </c>
      <c r="I1172" s="239">
        <v>21.6</v>
      </c>
      <c r="J1172" s="239">
        <v>8.6999999999999993</v>
      </c>
    </row>
    <row r="1173" spans="1:10" x14ac:dyDescent="0.2">
      <c r="A1173" s="177" t="s">
        <v>21</v>
      </c>
      <c r="B1173" s="89">
        <v>1674</v>
      </c>
      <c r="C1173" s="229">
        <v>1</v>
      </c>
      <c r="D1173" s="83">
        <v>43691</v>
      </c>
      <c r="E1173" s="82">
        <v>2019</v>
      </c>
      <c r="H1173" s="240">
        <v>2</v>
      </c>
      <c r="I1173" s="239">
        <v>21.5</v>
      </c>
      <c r="J1173" s="239">
        <v>8.6</v>
      </c>
    </row>
    <row r="1174" spans="1:10" x14ac:dyDescent="0.2">
      <c r="A1174" s="177" t="s">
        <v>21</v>
      </c>
      <c r="B1174" s="89">
        <v>1674</v>
      </c>
      <c r="C1174" s="229">
        <v>1</v>
      </c>
      <c r="D1174" s="83">
        <v>43691</v>
      </c>
      <c r="E1174" s="82">
        <v>2019</v>
      </c>
      <c r="H1174" s="240">
        <v>3</v>
      </c>
      <c r="I1174" s="239">
        <v>21.4</v>
      </c>
      <c r="J1174" s="239">
        <v>8.5</v>
      </c>
    </row>
    <row r="1175" spans="1:10" x14ac:dyDescent="0.2">
      <c r="A1175" s="177" t="s">
        <v>21</v>
      </c>
      <c r="B1175" s="89">
        <v>1674</v>
      </c>
      <c r="C1175" s="229">
        <v>1</v>
      </c>
      <c r="D1175" s="83">
        <v>43691</v>
      </c>
      <c r="E1175" s="82">
        <v>2019</v>
      </c>
      <c r="H1175" s="240">
        <v>4</v>
      </c>
      <c r="I1175" s="239">
        <v>21.4</v>
      </c>
      <c r="J1175" s="239">
        <v>8.4</v>
      </c>
    </row>
    <row r="1176" spans="1:10" x14ac:dyDescent="0.2">
      <c r="A1176" s="177" t="s">
        <v>21</v>
      </c>
      <c r="B1176" s="89">
        <v>1674</v>
      </c>
      <c r="C1176" s="229">
        <v>1</v>
      </c>
      <c r="D1176" s="83">
        <v>43691</v>
      </c>
      <c r="E1176" s="82">
        <v>2019</v>
      </c>
      <c r="H1176" s="240">
        <v>5</v>
      </c>
      <c r="I1176" s="239">
        <v>21.4</v>
      </c>
      <c r="J1176" s="239">
        <v>8.4</v>
      </c>
    </row>
    <row r="1177" spans="1:10" x14ac:dyDescent="0.2">
      <c r="A1177" s="177" t="s">
        <v>21</v>
      </c>
      <c r="B1177" s="89">
        <v>1674</v>
      </c>
      <c r="C1177" s="229">
        <v>1</v>
      </c>
      <c r="D1177" s="83">
        <v>43691</v>
      </c>
      <c r="E1177" s="82">
        <v>2019</v>
      </c>
      <c r="H1177" s="240">
        <v>6</v>
      </c>
      <c r="I1177" s="239">
        <v>21.4</v>
      </c>
      <c r="J1177" s="239">
        <v>8.4</v>
      </c>
    </row>
    <row r="1178" spans="1:10" x14ac:dyDescent="0.2">
      <c r="A1178" s="177" t="s">
        <v>21</v>
      </c>
      <c r="B1178" s="89">
        <v>1674</v>
      </c>
      <c r="C1178" s="229">
        <v>1</v>
      </c>
      <c r="D1178" s="83">
        <v>43691</v>
      </c>
      <c r="E1178" s="82">
        <v>2019</v>
      </c>
      <c r="H1178" s="240">
        <v>7</v>
      </c>
      <c r="I1178" s="239">
        <v>21.4</v>
      </c>
      <c r="J1178" s="239">
        <v>8.4</v>
      </c>
    </row>
    <row r="1179" spans="1:10" x14ac:dyDescent="0.2">
      <c r="A1179" s="177" t="s">
        <v>21</v>
      </c>
      <c r="B1179" s="89">
        <v>1674</v>
      </c>
      <c r="C1179" s="229">
        <v>1</v>
      </c>
      <c r="D1179" s="83">
        <v>43691</v>
      </c>
      <c r="E1179" s="82">
        <v>2019</v>
      </c>
      <c r="H1179" s="240">
        <v>8</v>
      </c>
      <c r="I1179" s="239">
        <v>21.4</v>
      </c>
      <c r="J1179" s="239">
        <v>8.3000000000000007</v>
      </c>
    </row>
    <row r="1180" spans="1:10" x14ac:dyDescent="0.2">
      <c r="A1180" s="177" t="s">
        <v>21</v>
      </c>
      <c r="B1180" s="89">
        <v>1674</v>
      </c>
      <c r="C1180" s="229">
        <v>1</v>
      </c>
      <c r="D1180" s="83">
        <v>43691</v>
      </c>
      <c r="E1180" s="82">
        <v>2019</v>
      </c>
      <c r="H1180" s="240">
        <v>9</v>
      </c>
      <c r="I1180" s="239">
        <v>21.4</v>
      </c>
      <c r="J1180" s="239">
        <v>8.3000000000000007</v>
      </c>
    </row>
    <row r="1181" spans="1:10" x14ac:dyDescent="0.2">
      <c r="A1181" s="177" t="s">
        <v>21</v>
      </c>
      <c r="B1181" s="89">
        <v>1674</v>
      </c>
      <c r="C1181" s="229">
        <v>1</v>
      </c>
      <c r="D1181" s="83">
        <v>43691</v>
      </c>
      <c r="E1181" s="82">
        <v>2019</v>
      </c>
      <c r="H1181" s="240">
        <v>10</v>
      </c>
      <c r="I1181" s="239">
        <v>20.6</v>
      </c>
      <c r="J1181" s="239">
        <v>5</v>
      </c>
    </row>
    <row r="1182" spans="1:10" x14ac:dyDescent="0.2">
      <c r="A1182" s="177" t="s">
        <v>21</v>
      </c>
      <c r="B1182" s="89">
        <v>1674</v>
      </c>
      <c r="C1182" s="229">
        <v>1</v>
      </c>
      <c r="D1182" s="83">
        <v>43691</v>
      </c>
      <c r="E1182" s="82">
        <v>2019</v>
      </c>
      <c r="H1182" s="240">
        <v>11</v>
      </c>
      <c r="I1182" s="239">
        <v>18.399999999999999</v>
      </c>
      <c r="J1182" s="239">
        <v>0.3</v>
      </c>
    </row>
    <row r="1183" spans="1:10" x14ac:dyDescent="0.2">
      <c r="A1183" s="177" t="s">
        <v>21</v>
      </c>
      <c r="B1183" s="89">
        <v>1674</v>
      </c>
      <c r="C1183" s="229">
        <v>1</v>
      </c>
      <c r="D1183" s="83">
        <v>43691</v>
      </c>
      <c r="E1183" s="82">
        <v>2019</v>
      </c>
      <c r="H1183" s="240">
        <v>12</v>
      </c>
      <c r="I1183" s="239">
        <v>16.5</v>
      </c>
      <c r="J1183" s="239">
        <v>0.2</v>
      </c>
    </row>
    <row r="1184" spans="1:10" x14ac:dyDescent="0.2">
      <c r="A1184" s="177" t="s">
        <v>21</v>
      </c>
      <c r="B1184" s="89">
        <v>1674</v>
      </c>
      <c r="C1184" s="229">
        <v>1</v>
      </c>
      <c r="D1184" s="83">
        <v>43691</v>
      </c>
      <c r="E1184" s="82">
        <v>2019</v>
      </c>
      <c r="H1184" s="240">
        <v>13</v>
      </c>
      <c r="I1184" s="239">
        <v>14.7</v>
      </c>
      <c r="J1184" s="239">
        <v>0.1</v>
      </c>
    </row>
    <row r="1185" spans="1:10" x14ac:dyDescent="0.2">
      <c r="A1185" s="177" t="s">
        <v>21</v>
      </c>
      <c r="B1185" s="89">
        <v>1674</v>
      </c>
      <c r="C1185" s="229">
        <v>1</v>
      </c>
      <c r="D1185" s="83">
        <v>43705</v>
      </c>
      <c r="E1185" s="82">
        <v>2019</v>
      </c>
      <c r="H1185" s="240">
        <v>0</v>
      </c>
      <c r="I1185" s="239">
        <v>21.7</v>
      </c>
      <c r="J1185" s="239">
        <v>9.1</v>
      </c>
    </row>
    <row r="1186" spans="1:10" x14ac:dyDescent="0.2">
      <c r="A1186" s="177" t="s">
        <v>21</v>
      </c>
      <c r="B1186" s="89">
        <v>1674</v>
      </c>
      <c r="C1186" s="229">
        <v>1</v>
      </c>
      <c r="D1186" s="83">
        <v>43705</v>
      </c>
      <c r="E1186" s="82">
        <v>2019</v>
      </c>
      <c r="H1186" s="240">
        <v>1</v>
      </c>
      <c r="I1186" s="239">
        <v>21.6</v>
      </c>
      <c r="J1186" s="239">
        <v>9.1</v>
      </c>
    </row>
    <row r="1187" spans="1:10" x14ac:dyDescent="0.2">
      <c r="A1187" s="177" t="s">
        <v>21</v>
      </c>
      <c r="B1187" s="89">
        <v>1674</v>
      </c>
      <c r="C1187" s="229">
        <v>1</v>
      </c>
      <c r="D1187" s="83">
        <v>43705</v>
      </c>
      <c r="E1187" s="82">
        <v>2019</v>
      </c>
      <c r="H1187" s="240">
        <v>2</v>
      </c>
      <c r="I1187" s="239">
        <v>21.4</v>
      </c>
      <c r="J1187" s="239">
        <v>9.1</v>
      </c>
    </row>
    <row r="1188" spans="1:10" x14ac:dyDescent="0.2">
      <c r="A1188" s="177" t="s">
        <v>21</v>
      </c>
      <c r="B1188" s="89">
        <v>1674</v>
      </c>
      <c r="C1188" s="229">
        <v>1</v>
      </c>
      <c r="D1188" s="83">
        <v>43705</v>
      </c>
      <c r="E1188" s="82">
        <v>2019</v>
      </c>
      <c r="H1188" s="240">
        <v>3</v>
      </c>
      <c r="I1188" s="239">
        <v>21.2</v>
      </c>
      <c r="J1188" s="239">
        <v>9.1999999999999993</v>
      </c>
    </row>
    <row r="1189" spans="1:10" x14ac:dyDescent="0.2">
      <c r="A1189" s="177" t="s">
        <v>21</v>
      </c>
      <c r="B1189" s="89">
        <v>1674</v>
      </c>
      <c r="C1189" s="229">
        <v>1</v>
      </c>
      <c r="D1189" s="83">
        <v>43705</v>
      </c>
      <c r="E1189" s="82">
        <v>2019</v>
      </c>
      <c r="H1189" s="240">
        <v>4</v>
      </c>
      <c r="I1189" s="239">
        <v>21</v>
      </c>
      <c r="J1189" s="239">
        <v>8.9</v>
      </c>
    </row>
    <row r="1190" spans="1:10" x14ac:dyDescent="0.2">
      <c r="A1190" s="177" t="s">
        <v>21</v>
      </c>
      <c r="B1190" s="89">
        <v>1674</v>
      </c>
      <c r="C1190" s="229">
        <v>1</v>
      </c>
      <c r="D1190" s="83">
        <v>43705</v>
      </c>
      <c r="E1190" s="82">
        <v>2019</v>
      </c>
      <c r="H1190" s="240">
        <v>5</v>
      </c>
      <c r="I1190" s="239">
        <v>20.9</v>
      </c>
      <c r="J1190" s="239">
        <v>8.6999999999999993</v>
      </c>
    </row>
    <row r="1191" spans="1:10" x14ac:dyDescent="0.2">
      <c r="A1191" s="177" t="s">
        <v>21</v>
      </c>
      <c r="B1191" s="89">
        <v>1674</v>
      </c>
      <c r="C1191" s="229">
        <v>1</v>
      </c>
      <c r="D1191" s="83">
        <v>43705</v>
      </c>
      <c r="E1191" s="82">
        <v>2019</v>
      </c>
      <c r="H1191" s="240">
        <v>6</v>
      </c>
      <c r="I1191" s="239">
        <v>20.8</v>
      </c>
      <c r="J1191" s="239">
        <v>8.1999999999999993</v>
      </c>
    </row>
    <row r="1192" spans="1:10" x14ac:dyDescent="0.2">
      <c r="A1192" s="177" t="s">
        <v>21</v>
      </c>
      <c r="B1192" s="89">
        <v>1674</v>
      </c>
      <c r="C1192" s="229">
        <v>1</v>
      </c>
      <c r="D1192" s="83">
        <v>43705</v>
      </c>
      <c r="E1192" s="82">
        <v>2019</v>
      </c>
      <c r="H1192" s="240">
        <v>7</v>
      </c>
      <c r="I1192" s="239">
        <v>20.7</v>
      </c>
      <c r="J1192" s="239">
        <v>7.6</v>
      </c>
    </row>
    <row r="1193" spans="1:10" x14ac:dyDescent="0.2">
      <c r="A1193" s="177" t="s">
        <v>21</v>
      </c>
      <c r="B1193" s="89">
        <v>1674</v>
      </c>
      <c r="C1193" s="229">
        <v>1</v>
      </c>
      <c r="D1193" s="83">
        <v>43705</v>
      </c>
      <c r="E1193" s="82">
        <v>2019</v>
      </c>
      <c r="H1193" s="240">
        <v>8</v>
      </c>
      <c r="I1193" s="239">
        <v>20.6</v>
      </c>
      <c r="J1193" s="239">
        <v>7.4</v>
      </c>
    </row>
    <row r="1194" spans="1:10" x14ac:dyDescent="0.2">
      <c r="A1194" s="177" t="s">
        <v>21</v>
      </c>
      <c r="B1194" s="89">
        <v>1674</v>
      </c>
      <c r="C1194" s="229">
        <v>1</v>
      </c>
      <c r="D1194" s="83">
        <v>43705</v>
      </c>
      <c r="E1194" s="82">
        <v>2019</v>
      </c>
      <c r="H1194" s="240">
        <v>9</v>
      </c>
      <c r="I1194" s="239">
        <v>20.399999999999999</v>
      </c>
      <c r="J1194" s="239">
        <v>6.9</v>
      </c>
    </row>
    <row r="1195" spans="1:10" x14ac:dyDescent="0.2">
      <c r="A1195" s="177" t="s">
        <v>21</v>
      </c>
      <c r="B1195" s="89">
        <v>1674</v>
      </c>
      <c r="C1195" s="229">
        <v>1</v>
      </c>
      <c r="D1195" s="83">
        <v>43705</v>
      </c>
      <c r="E1195" s="82">
        <v>2019</v>
      </c>
      <c r="H1195" s="240">
        <v>10</v>
      </c>
      <c r="I1195" s="239">
        <v>20.100000000000001</v>
      </c>
      <c r="J1195" s="239">
        <v>6</v>
      </c>
    </row>
    <row r="1196" spans="1:10" x14ac:dyDescent="0.2">
      <c r="A1196" s="177" t="s">
        <v>21</v>
      </c>
      <c r="B1196" s="89">
        <v>1674</v>
      </c>
      <c r="C1196" s="229">
        <v>1</v>
      </c>
      <c r="D1196" s="83">
        <v>43705</v>
      </c>
      <c r="E1196" s="82">
        <v>2019</v>
      </c>
      <c r="H1196" s="240">
        <v>11</v>
      </c>
      <c r="I1196" s="239">
        <v>19.8</v>
      </c>
      <c r="J1196" s="239">
        <v>4.8</v>
      </c>
    </row>
    <row r="1197" spans="1:10" x14ac:dyDescent="0.2">
      <c r="A1197" s="177" t="s">
        <v>21</v>
      </c>
      <c r="B1197" s="89">
        <v>1674</v>
      </c>
      <c r="C1197" s="229">
        <v>1</v>
      </c>
      <c r="D1197" s="83">
        <v>43705</v>
      </c>
      <c r="E1197" s="82">
        <v>2019</v>
      </c>
      <c r="H1197" s="240">
        <v>12</v>
      </c>
      <c r="I1197" s="239">
        <v>17.899999999999999</v>
      </c>
      <c r="J1197" s="239">
        <v>0.3</v>
      </c>
    </row>
    <row r="1198" spans="1:10" x14ac:dyDescent="0.2">
      <c r="A1198" s="177" t="s">
        <v>21</v>
      </c>
      <c r="B1198" s="89">
        <v>1674</v>
      </c>
      <c r="C1198" s="229">
        <v>1</v>
      </c>
      <c r="D1198" s="83">
        <v>43705</v>
      </c>
      <c r="E1198" s="82">
        <v>2019</v>
      </c>
      <c r="H1198" s="240">
        <v>13</v>
      </c>
      <c r="I1198" s="239">
        <v>15.6</v>
      </c>
      <c r="J1198" s="239">
        <v>0.2</v>
      </c>
    </row>
    <row r="1199" spans="1:10" x14ac:dyDescent="0.2">
      <c r="A1199" s="177" t="s">
        <v>21</v>
      </c>
      <c r="B1199" s="89">
        <v>1674</v>
      </c>
      <c r="C1199" s="229">
        <v>1</v>
      </c>
      <c r="D1199" s="83">
        <v>43721</v>
      </c>
      <c r="E1199" s="82">
        <v>2019</v>
      </c>
      <c r="H1199" s="240">
        <v>0</v>
      </c>
      <c r="I1199" s="239">
        <v>18.600000000000001</v>
      </c>
      <c r="J1199" s="239">
        <v>10.8</v>
      </c>
    </row>
    <row r="1200" spans="1:10" x14ac:dyDescent="0.2">
      <c r="A1200" s="177" t="s">
        <v>21</v>
      </c>
      <c r="B1200" s="89">
        <v>1674</v>
      </c>
      <c r="C1200" s="229">
        <v>1</v>
      </c>
      <c r="D1200" s="83">
        <v>43721</v>
      </c>
      <c r="E1200" s="82">
        <v>2019</v>
      </c>
      <c r="H1200" s="240">
        <v>1</v>
      </c>
      <c r="I1200" s="239">
        <v>17.8</v>
      </c>
      <c r="J1200" s="239">
        <v>11</v>
      </c>
    </row>
    <row r="1201" spans="1:10" x14ac:dyDescent="0.2">
      <c r="A1201" s="177" t="s">
        <v>21</v>
      </c>
      <c r="B1201" s="89">
        <v>1674</v>
      </c>
      <c r="C1201" s="229">
        <v>1</v>
      </c>
      <c r="D1201" s="83">
        <v>43721</v>
      </c>
      <c r="E1201" s="82">
        <v>2019</v>
      </c>
      <c r="H1201" s="240">
        <v>2</v>
      </c>
      <c r="I1201" s="239">
        <v>16.899999999999999</v>
      </c>
      <c r="J1201" s="239">
        <v>10.9</v>
      </c>
    </row>
    <row r="1202" spans="1:10" x14ac:dyDescent="0.2">
      <c r="A1202" s="177" t="s">
        <v>21</v>
      </c>
      <c r="B1202" s="89">
        <v>1674</v>
      </c>
      <c r="C1202" s="229">
        <v>1</v>
      </c>
      <c r="D1202" s="83">
        <v>43721</v>
      </c>
      <c r="E1202" s="82">
        <v>2019</v>
      </c>
      <c r="H1202" s="240">
        <v>3</v>
      </c>
      <c r="I1202" s="239">
        <v>16.8</v>
      </c>
      <c r="J1202" s="239">
        <v>10.1</v>
      </c>
    </row>
    <row r="1203" spans="1:10" x14ac:dyDescent="0.2">
      <c r="A1203" s="177" t="s">
        <v>21</v>
      </c>
      <c r="B1203" s="89">
        <v>1674</v>
      </c>
      <c r="C1203" s="229">
        <v>1</v>
      </c>
      <c r="D1203" s="83">
        <v>43721</v>
      </c>
      <c r="E1203" s="82">
        <v>2019</v>
      </c>
      <c r="H1203" s="240">
        <v>4</v>
      </c>
      <c r="I1203" s="239">
        <v>16.7</v>
      </c>
      <c r="J1203" s="239">
        <v>9.6999999999999993</v>
      </c>
    </row>
    <row r="1204" spans="1:10" x14ac:dyDescent="0.2">
      <c r="A1204" s="177" t="s">
        <v>21</v>
      </c>
      <c r="B1204" s="89">
        <v>1674</v>
      </c>
      <c r="C1204" s="229">
        <v>1</v>
      </c>
      <c r="D1204" s="83">
        <v>43721</v>
      </c>
      <c r="E1204" s="82">
        <v>2019</v>
      </c>
      <c r="H1204" s="240">
        <v>5</v>
      </c>
      <c r="I1204" s="239">
        <v>16.7</v>
      </c>
      <c r="J1204" s="239">
        <v>9.6</v>
      </c>
    </row>
    <row r="1205" spans="1:10" x14ac:dyDescent="0.2">
      <c r="A1205" s="177" t="s">
        <v>21</v>
      </c>
      <c r="B1205" s="89">
        <v>1674</v>
      </c>
      <c r="C1205" s="229">
        <v>1</v>
      </c>
      <c r="D1205" s="83">
        <v>43721</v>
      </c>
      <c r="E1205" s="82">
        <v>2019</v>
      </c>
      <c r="H1205" s="240">
        <v>6</v>
      </c>
      <c r="I1205" s="239">
        <v>16.7</v>
      </c>
      <c r="J1205" s="239">
        <v>9.6</v>
      </c>
    </row>
    <row r="1206" spans="1:10" x14ac:dyDescent="0.2">
      <c r="A1206" s="177" t="s">
        <v>21</v>
      </c>
      <c r="B1206" s="89">
        <v>1674</v>
      </c>
      <c r="C1206" s="229">
        <v>1</v>
      </c>
      <c r="D1206" s="83">
        <v>43721</v>
      </c>
      <c r="E1206" s="82">
        <v>2019</v>
      </c>
      <c r="H1206" s="240">
        <v>7</v>
      </c>
      <c r="I1206" s="239">
        <v>16.600000000000001</v>
      </c>
      <c r="J1206" s="239">
        <v>9.6</v>
      </c>
    </row>
    <row r="1207" spans="1:10" x14ac:dyDescent="0.2">
      <c r="A1207" s="177" t="s">
        <v>21</v>
      </c>
      <c r="B1207" s="89">
        <v>1674</v>
      </c>
      <c r="C1207" s="229">
        <v>1</v>
      </c>
      <c r="D1207" s="83">
        <v>43721</v>
      </c>
      <c r="E1207" s="82">
        <v>2019</v>
      </c>
      <c r="H1207" s="240">
        <v>8</v>
      </c>
      <c r="I1207" s="239">
        <v>16.600000000000001</v>
      </c>
      <c r="J1207" s="239">
        <v>9.5</v>
      </c>
    </row>
    <row r="1208" spans="1:10" x14ac:dyDescent="0.2">
      <c r="A1208" s="177" t="s">
        <v>21</v>
      </c>
      <c r="B1208" s="89">
        <v>1674</v>
      </c>
      <c r="C1208" s="229">
        <v>1</v>
      </c>
      <c r="D1208" s="83">
        <v>43721</v>
      </c>
      <c r="E1208" s="82">
        <v>2019</v>
      </c>
      <c r="H1208" s="240">
        <v>9</v>
      </c>
      <c r="I1208" s="239">
        <v>16.600000000000001</v>
      </c>
      <c r="J1208" s="239">
        <v>9.5</v>
      </c>
    </row>
    <row r="1209" spans="1:10" x14ac:dyDescent="0.2">
      <c r="A1209" s="177" t="s">
        <v>21</v>
      </c>
      <c r="B1209" s="89">
        <v>1674</v>
      </c>
      <c r="C1209" s="229">
        <v>1</v>
      </c>
      <c r="D1209" s="83">
        <v>43721</v>
      </c>
      <c r="E1209" s="82">
        <v>2019</v>
      </c>
      <c r="H1209" s="240">
        <v>10</v>
      </c>
      <c r="I1209" s="239">
        <v>16.5</v>
      </c>
      <c r="J1209" s="239">
        <v>9.3000000000000007</v>
      </c>
    </row>
    <row r="1210" spans="1:10" x14ac:dyDescent="0.2">
      <c r="A1210" s="177" t="s">
        <v>21</v>
      </c>
      <c r="B1210" s="89">
        <v>1674</v>
      </c>
      <c r="C1210" s="229">
        <v>1</v>
      </c>
      <c r="D1210" s="83">
        <v>43721</v>
      </c>
      <c r="E1210" s="82">
        <v>2019</v>
      </c>
      <c r="H1210" s="240">
        <v>11</v>
      </c>
      <c r="I1210" s="239">
        <v>16.3</v>
      </c>
      <c r="J1210" s="239">
        <v>9.1999999999999993</v>
      </c>
    </row>
    <row r="1211" spans="1:10" x14ac:dyDescent="0.2">
      <c r="A1211" s="177" t="s">
        <v>21</v>
      </c>
      <c r="B1211" s="89">
        <v>1674</v>
      </c>
      <c r="C1211" s="229">
        <v>1</v>
      </c>
      <c r="D1211" s="83">
        <v>43721</v>
      </c>
      <c r="E1211" s="82">
        <v>2019</v>
      </c>
      <c r="H1211" s="240">
        <v>12</v>
      </c>
      <c r="I1211" s="239">
        <v>16.3</v>
      </c>
      <c r="J1211" s="239">
        <v>9.1</v>
      </c>
    </row>
    <row r="1212" spans="1:10" x14ac:dyDescent="0.2">
      <c r="A1212" s="177" t="s">
        <v>21</v>
      </c>
      <c r="B1212" s="89">
        <v>1674</v>
      </c>
      <c r="C1212" s="229">
        <v>1</v>
      </c>
      <c r="D1212" s="83">
        <v>43721</v>
      </c>
      <c r="E1212" s="82">
        <v>2019</v>
      </c>
      <c r="H1212" s="240">
        <v>13</v>
      </c>
      <c r="I1212" s="239">
        <v>16.2</v>
      </c>
      <c r="J1212" s="239">
        <v>8.9</v>
      </c>
    </row>
    <row r="1213" spans="1:10" x14ac:dyDescent="0.2">
      <c r="A1213" s="177" t="s">
        <v>21</v>
      </c>
      <c r="B1213" s="89">
        <v>1674</v>
      </c>
      <c r="C1213" s="229">
        <v>1</v>
      </c>
      <c r="D1213" s="83">
        <v>43733</v>
      </c>
      <c r="E1213" s="82">
        <v>2019</v>
      </c>
      <c r="H1213" s="240">
        <v>0</v>
      </c>
      <c r="I1213" s="239">
        <v>15.8</v>
      </c>
      <c r="J1213" s="239">
        <v>9.5</v>
      </c>
    </row>
    <row r="1214" spans="1:10" x14ac:dyDescent="0.2">
      <c r="A1214" s="177" t="s">
        <v>21</v>
      </c>
      <c r="B1214" s="89">
        <v>1674</v>
      </c>
      <c r="C1214" s="229">
        <v>1</v>
      </c>
      <c r="D1214" s="83">
        <v>43733</v>
      </c>
      <c r="E1214" s="82">
        <v>2019</v>
      </c>
      <c r="H1214" s="240">
        <v>1</v>
      </c>
      <c r="I1214" s="239">
        <v>15.9</v>
      </c>
      <c r="J1214" s="239">
        <v>9.5</v>
      </c>
    </row>
    <row r="1215" spans="1:10" x14ac:dyDescent="0.2">
      <c r="A1215" s="177" t="s">
        <v>21</v>
      </c>
      <c r="B1215" s="89">
        <v>1674</v>
      </c>
      <c r="C1215" s="229">
        <v>1</v>
      </c>
      <c r="D1215" s="83">
        <v>43733</v>
      </c>
      <c r="E1215" s="82">
        <v>2019</v>
      </c>
      <c r="H1215" s="240">
        <v>2</v>
      </c>
      <c r="I1215" s="239">
        <v>15.9</v>
      </c>
      <c r="J1215" s="239">
        <v>9.5</v>
      </c>
    </row>
    <row r="1216" spans="1:10" x14ac:dyDescent="0.2">
      <c r="A1216" s="177" t="s">
        <v>21</v>
      </c>
      <c r="B1216" s="89">
        <v>1674</v>
      </c>
      <c r="C1216" s="229">
        <v>1</v>
      </c>
      <c r="D1216" s="83">
        <v>43733</v>
      </c>
      <c r="E1216" s="82">
        <v>2019</v>
      </c>
      <c r="H1216" s="240">
        <v>3</v>
      </c>
      <c r="I1216" s="239">
        <v>15.9</v>
      </c>
      <c r="J1216" s="239">
        <v>9.5</v>
      </c>
    </row>
    <row r="1217" spans="1:10" x14ac:dyDescent="0.2">
      <c r="A1217" s="177" t="s">
        <v>21</v>
      </c>
      <c r="B1217" s="89">
        <v>1674</v>
      </c>
      <c r="C1217" s="229">
        <v>1</v>
      </c>
      <c r="D1217" s="83">
        <v>43733</v>
      </c>
      <c r="E1217" s="82">
        <v>2019</v>
      </c>
      <c r="H1217" s="240">
        <v>4</v>
      </c>
      <c r="I1217" s="239">
        <v>15.9</v>
      </c>
      <c r="J1217" s="239">
        <v>9.5</v>
      </c>
    </row>
    <row r="1218" spans="1:10" x14ac:dyDescent="0.2">
      <c r="A1218" s="177" t="s">
        <v>21</v>
      </c>
      <c r="B1218" s="89">
        <v>1674</v>
      </c>
      <c r="C1218" s="229">
        <v>1</v>
      </c>
      <c r="D1218" s="83">
        <v>43733</v>
      </c>
      <c r="E1218" s="82">
        <v>2019</v>
      </c>
      <c r="H1218" s="240">
        <v>5</v>
      </c>
      <c r="I1218" s="239">
        <v>15.9</v>
      </c>
      <c r="J1218" s="239">
        <v>9.4</v>
      </c>
    </row>
    <row r="1219" spans="1:10" x14ac:dyDescent="0.2">
      <c r="A1219" s="177" t="s">
        <v>21</v>
      </c>
      <c r="B1219" s="89">
        <v>1674</v>
      </c>
      <c r="C1219" s="229">
        <v>1</v>
      </c>
      <c r="D1219" s="83">
        <v>43733</v>
      </c>
      <c r="E1219" s="82">
        <v>2019</v>
      </c>
      <c r="H1219" s="240">
        <v>6</v>
      </c>
      <c r="I1219" s="239">
        <v>15.9</v>
      </c>
      <c r="J1219" s="239">
        <v>9.4</v>
      </c>
    </row>
    <row r="1220" spans="1:10" x14ac:dyDescent="0.2">
      <c r="A1220" s="177" t="s">
        <v>21</v>
      </c>
      <c r="B1220" s="89">
        <v>1674</v>
      </c>
      <c r="C1220" s="229">
        <v>1</v>
      </c>
      <c r="D1220" s="83">
        <v>43733</v>
      </c>
      <c r="E1220" s="82">
        <v>2019</v>
      </c>
      <c r="H1220" s="240">
        <v>7</v>
      </c>
      <c r="I1220" s="239">
        <v>15.8</v>
      </c>
      <c r="J1220" s="239">
        <v>9.4</v>
      </c>
    </row>
    <row r="1221" spans="1:10" x14ac:dyDescent="0.2">
      <c r="A1221" s="177" t="s">
        <v>21</v>
      </c>
      <c r="B1221" s="89">
        <v>1674</v>
      </c>
      <c r="C1221" s="229">
        <v>1</v>
      </c>
      <c r="D1221" s="83">
        <v>43733</v>
      </c>
      <c r="E1221" s="82">
        <v>2019</v>
      </c>
      <c r="H1221" s="240">
        <v>8</v>
      </c>
      <c r="I1221" s="239">
        <v>15.8</v>
      </c>
      <c r="J1221" s="239">
        <v>9.4</v>
      </c>
    </row>
    <row r="1222" spans="1:10" x14ac:dyDescent="0.2">
      <c r="A1222" s="177" t="s">
        <v>21</v>
      </c>
      <c r="B1222" s="89">
        <v>1674</v>
      </c>
      <c r="C1222" s="229">
        <v>1</v>
      </c>
      <c r="D1222" s="83">
        <v>43733</v>
      </c>
      <c r="E1222" s="82">
        <v>2019</v>
      </c>
      <c r="H1222" s="240">
        <v>9</v>
      </c>
      <c r="I1222" s="239">
        <v>15.7</v>
      </c>
      <c r="J1222" s="239">
        <v>9.3000000000000007</v>
      </c>
    </row>
    <row r="1223" spans="1:10" x14ac:dyDescent="0.2">
      <c r="A1223" s="177" t="s">
        <v>21</v>
      </c>
      <c r="B1223" s="89">
        <v>1674</v>
      </c>
      <c r="C1223" s="229">
        <v>1</v>
      </c>
      <c r="D1223" s="83">
        <v>43733</v>
      </c>
      <c r="E1223" s="82">
        <v>2019</v>
      </c>
      <c r="H1223" s="240">
        <v>10</v>
      </c>
      <c r="I1223" s="239">
        <v>15.7</v>
      </c>
      <c r="J1223" s="239">
        <v>9.3000000000000007</v>
      </c>
    </row>
    <row r="1224" spans="1:10" x14ac:dyDescent="0.2">
      <c r="A1224" s="177" t="s">
        <v>21</v>
      </c>
      <c r="B1224" s="89">
        <v>1674</v>
      </c>
      <c r="C1224" s="229">
        <v>1</v>
      </c>
      <c r="D1224" s="83">
        <v>43733</v>
      </c>
      <c r="E1224" s="82">
        <v>2019</v>
      </c>
      <c r="H1224" s="240">
        <v>11</v>
      </c>
      <c r="I1224" s="239">
        <v>15.6</v>
      </c>
      <c r="J1224" s="239">
        <v>8.8000000000000007</v>
      </c>
    </row>
    <row r="1225" spans="1:10" x14ac:dyDescent="0.2">
      <c r="A1225" s="177" t="s">
        <v>21</v>
      </c>
      <c r="B1225" s="89">
        <v>1674</v>
      </c>
      <c r="C1225" s="229">
        <v>1</v>
      </c>
      <c r="D1225" s="83">
        <v>43733</v>
      </c>
      <c r="E1225" s="82">
        <v>2019</v>
      </c>
      <c r="H1225" s="240">
        <v>12</v>
      </c>
      <c r="I1225" s="239">
        <v>15.3</v>
      </c>
      <c r="J1225" s="239">
        <v>8.1</v>
      </c>
    </row>
    <row r="1226" spans="1:10" x14ac:dyDescent="0.2">
      <c r="A1226" s="177" t="s">
        <v>21</v>
      </c>
      <c r="B1226" s="89">
        <v>1674</v>
      </c>
      <c r="C1226" s="229">
        <v>1</v>
      </c>
      <c r="D1226" s="83">
        <v>43733</v>
      </c>
      <c r="E1226" s="82">
        <v>2019</v>
      </c>
      <c r="H1226" s="240">
        <v>13</v>
      </c>
      <c r="I1226" s="239">
        <v>14.9</v>
      </c>
      <c r="J1226" s="239">
        <v>4.5999999999999996</v>
      </c>
    </row>
    <row r="1227" spans="1:10" x14ac:dyDescent="0.2">
      <c r="A1227" s="177" t="s">
        <v>21</v>
      </c>
      <c r="B1227" s="89">
        <v>1674</v>
      </c>
      <c r="C1227" s="229">
        <v>1</v>
      </c>
      <c r="D1227" s="83">
        <v>43747</v>
      </c>
      <c r="E1227" s="82">
        <v>2019</v>
      </c>
      <c r="H1227" s="240">
        <v>0</v>
      </c>
      <c r="I1227" s="239">
        <v>12.8</v>
      </c>
      <c r="J1227" s="239">
        <v>10.199999999999999</v>
      </c>
    </row>
    <row r="1228" spans="1:10" x14ac:dyDescent="0.2">
      <c r="A1228" s="177" t="s">
        <v>21</v>
      </c>
      <c r="B1228" s="89">
        <v>1674</v>
      </c>
      <c r="C1228" s="229">
        <v>1</v>
      </c>
      <c r="D1228" s="83">
        <v>43747</v>
      </c>
      <c r="E1228" s="82">
        <v>2019</v>
      </c>
      <c r="H1228" s="240">
        <v>1</v>
      </c>
      <c r="I1228" s="239">
        <v>12.6</v>
      </c>
      <c r="J1228" s="239">
        <v>10.199999999999999</v>
      </c>
    </row>
    <row r="1229" spans="1:10" x14ac:dyDescent="0.2">
      <c r="A1229" s="177" t="s">
        <v>21</v>
      </c>
      <c r="B1229" s="89">
        <v>1674</v>
      </c>
      <c r="C1229" s="229">
        <v>1</v>
      </c>
      <c r="D1229" s="83">
        <v>43747</v>
      </c>
      <c r="E1229" s="82">
        <v>2019</v>
      </c>
      <c r="H1229" s="240">
        <v>2</v>
      </c>
      <c r="I1229" s="239">
        <v>12.4</v>
      </c>
      <c r="J1229" s="239">
        <v>10.199999999999999</v>
      </c>
    </row>
    <row r="1230" spans="1:10" x14ac:dyDescent="0.2">
      <c r="A1230" s="177" t="s">
        <v>21</v>
      </c>
      <c r="B1230" s="89">
        <v>1674</v>
      </c>
      <c r="C1230" s="229">
        <v>1</v>
      </c>
      <c r="D1230" s="83">
        <v>43747</v>
      </c>
      <c r="E1230" s="82">
        <v>2019</v>
      </c>
      <c r="H1230" s="240">
        <v>3</v>
      </c>
      <c r="I1230" s="239">
        <v>12.1</v>
      </c>
      <c r="J1230" s="239">
        <v>10</v>
      </c>
    </row>
    <row r="1231" spans="1:10" x14ac:dyDescent="0.2">
      <c r="A1231" s="177" t="s">
        <v>21</v>
      </c>
      <c r="B1231" s="89">
        <v>1674</v>
      </c>
      <c r="C1231" s="229">
        <v>1</v>
      </c>
      <c r="D1231" s="83">
        <v>43747</v>
      </c>
      <c r="E1231" s="82">
        <v>2019</v>
      </c>
      <c r="H1231" s="240">
        <v>4</v>
      </c>
      <c r="I1231" s="239">
        <v>12</v>
      </c>
      <c r="J1231" s="239">
        <v>9.9</v>
      </c>
    </row>
    <row r="1232" spans="1:10" x14ac:dyDescent="0.2">
      <c r="A1232" s="177" t="s">
        <v>21</v>
      </c>
      <c r="B1232" s="89">
        <v>1674</v>
      </c>
      <c r="C1232" s="229">
        <v>1</v>
      </c>
      <c r="D1232" s="83">
        <v>43747</v>
      </c>
      <c r="E1232" s="82">
        <v>2019</v>
      </c>
      <c r="H1232" s="240">
        <v>5</v>
      </c>
      <c r="I1232" s="239">
        <v>12</v>
      </c>
      <c r="J1232" s="239">
        <v>9.9</v>
      </c>
    </row>
    <row r="1233" spans="1:109" x14ac:dyDescent="0.2">
      <c r="A1233" s="177" t="s">
        <v>21</v>
      </c>
      <c r="B1233" s="89">
        <v>1674</v>
      </c>
      <c r="C1233" s="229">
        <v>1</v>
      </c>
      <c r="D1233" s="83">
        <v>43747</v>
      </c>
      <c r="E1233" s="82">
        <v>2019</v>
      </c>
      <c r="H1233" s="240">
        <v>6</v>
      </c>
      <c r="I1233" s="239">
        <v>12</v>
      </c>
      <c r="J1233" s="239">
        <v>9.9</v>
      </c>
    </row>
    <row r="1234" spans="1:109" x14ac:dyDescent="0.2">
      <c r="A1234" s="177" t="s">
        <v>21</v>
      </c>
      <c r="B1234" s="89">
        <v>1674</v>
      </c>
      <c r="C1234" s="229">
        <v>1</v>
      </c>
      <c r="D1234" s="83">
        <v>43747</v>
      </c>
      <c r="E1234" s="82">
        <v>2019</v>
      </c>
      <c r="H1234" s="240">
        <v>7</v>
      </c>
      <c r="I1234" s="239">
        <v>12</v>
      </c>
      <c r="J1234" s="239">
        <v>9.9</v>
      </c>
    </row>
    <row r="1235" spans="1:109" s="177" customFormat="1" x14ac:dyDescent="0.2">
      <c r="A1235" s="177" t="s">
        <v>21</v>
      </c>
      <c r="B1235" s="89">
        <v>1674</v>
      </c>
      <c r="C1235" s="229">
        <v>1</v>
      </c>
      <c r="D1235" s="83">
        <v>43747</v>
      </c>
      <c r="E1235" s="82">
        <v>2019</v>
      </c>
      <c r="F1235" s="82"/>
      <c r="G1235" s="82"/>
      <c r="H1235" s="240">
        <v>8</v>
      </c>
      <c r="I1235" s="239">
        <v>11.9</v>
      </c>
      <c r="J1235" s="239">
        <v>9.9</v>
      </c>
      <c r="K1235" s="89"/>
      <c r="N1235" s="46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182"/>
      <c r="BH1235" s="182"/>
      <c r="BI1235" s="182"/>
      <c r="BJ1235" s="182"/>
      <c r="BK1235" s="182"/>
      <c r="BL1235" s="182"/>
      <c r="BM1235" s="182"/>
      <c r="BN1235" s="182"/>
      <c r="BO1235" s="182"/>
      <c r="BP1235" s="182"/>
      <c r="BQ1235" s="182"/>
      <c r="BR1235" s="182"/>
      <c r="BS1235" s="182"/>
      <c r="BT1235" s="182"/>
      <c r="BU1235" s="182"/>
      <c r="BV1235" s="182"/>
      <c r="BW1235" s="182"/>
      <c r="BX1235" s="182"/>
      <c r="BY1235" s="182"/>
      <c r="BZ1235" s="182"/>
      <c r="CA1235" s="182"/>
      <c r="CB1235" s="182"/>
      <c r="CC1235" s="182"/>
      <c r="CD1235" s="182"/>
      <c r="CE1235" s="182"/>
      <c r="CF1235" s="182"/>
      <c r="CG1235" s="182"/>
      <c r="CH1235" s="182"/>
      <c r="CI1235" s="182"/>
      <c r="CJ1235" s="182"/>
      <c r="CK1235" s="182"/>
      <c r="CL1235" s="182"/>
      <c r="CM1235" s="182"/>
      <c r="CN1235" s="182"/>
      <c r="CO1235" s="182"/>
      <c r="CP1235" s="182"/>
      <c r="CQ1235" s="182"/>
      <c r="CR1235" s="182"/>
      <c r="CS1235" s="182"/>
      <c r="CT1235" s="182"/>
      <c r="CU1235" s="182"/>
      <c r="CV1235" s="182"/>
      <c r="CW1235" s="182"/>
      <c r="CX1235" s="182"/>
      <c r="CY1235" s="182"/>
      <c r="CZ1235" s="182"/>
      <c r="DA1235" s="182"/>
      <c r="DB1235" s="182"/>
      <c r="DC1235" s="182"/>
      <c r="DD1235" s="182"/>
      <c r="DE1235" s="182"/>
    </row>
    <row r="1236" spans="1:109" s="177" customFormat="1" x14ac:dyDescent="0.2">
      <c r="A1236" s="177" t="s">
        <v>21</v>
      </c>
      <c r="B1236" s="89">
        <v>1674</v>
      </c>
      <c r="C1236" s="229">
        <v>1</v>
      </c>
      <c r="D1236" s="83">
        <v>43747</v>
      </c>
      <c r="E1236" s="82">
        <v>2019</v>
      </c>
      <c r="F1236" s="82"/>
      <c r="G1236" s="82"/>
      <c r="H1236" s="240">
        <v>9</v>
      </c>
      <c r="I1236" s="239">
        <v>11.9</v>
      </c>
      <c r="J1236" s="239">
        <v>9.9</v>
      </c>
      <c r="K1236" s="89"/>
      <c r="N1236" s="46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182"/>
      <c r="BH1236" s="182"/>
      <c r="BI1236" s="182"/>
      <c r="BJ1236" s="182"/>
      <c r="BK1236" s="182"/>
      <c r="BL1236" s="182"/>
      <c r="BM1236" s="182"/>
      <c r="BN1236" s="182"/>
      <c r="BO1236" s="182"/>
      <c r="BP1236" s="182"/>
      <c r="BQ1236" s="182"/>
      <c r="BR1236" s="182"/>
      <c r="BS1236" s="182"/>
      <c r="BT1236" s="182"/>
      <c r="BU1236" s="182"/>
      <c r="BV1236" s="182"/>
      <c r="BW1236" s="182"/>
      <c r="BX1236" s="182"/>
      <c r="BY1236" s="182"/>
      <c r="BZ1236" s="182"/>
      <c r="CA1236" s="182"/>
      <c r="CB1236" s="182"/>
      <c r="CC1236" s="182"/>
      <c r="CD1236" s="182"/>
      <c r="CE1236" s="182"/>
      <c r="CF1236" s="182"/>
      <c r="CG1236" s="182"/>
      <c r="CH1236" s="182"/>
      <c r="CI1236" s="182"/>
      <c r="CJ1236" s="182"/>
      <c r="CK1236" s="182"/>
      <c r="CL1236" s="182"/>
      <c r="CM1236" s="182"/>
      <c r="CN1236" s="182"/>
      <c r="CO1236" s="182"/>
      <c r="CP1236" s="182"/>
      <c r="CQ1236" s="182"/>
      <c r="CR1236" s="182"/>
      <c r="CS1236" s="182"/>
      <c r="CT1236" s="182"/>
      <c r="CU1236" s="182"/>
      <c r="CV1236" s="182"/>
      <c r="CW1236" s="182"/>
      <c r="CX1236" s="182"/>
      <c r="CY1236" s="182"/>
      <c r="CZ1236" s="182"/>
      <c r="DA1236" s="182"/>
      <c r="DB1236" s="182"/>
      <c r="DC1236" s="182"/>
      <c r="DD1236" s="182"/>
      <c r="DE1236" s="182"/>
    </row>
    <row r="1237" spans="1:109" s="177" customFormat="1" x14ac:dyDescent="0.2">
      <c r="A1237" s="177" t="s">
        <v>21</v>
      </c>
      <c r="B1237" s="89">
        <v>1674</v>
      </c>
      <c r="C1237" s="229">
        <v>1</v>
      </c>
      <c r="D1237" s="83">
        <v>43747</v>
      </c>
      <c r="E1237" s="82">
        <v>2019</v>
      </c>
      <c r="F1237" s="82"/>
      <c r="G1237" s="82"/>
      <c r="H1237" s="240">
        <v>10</v>
      </c>
      <c r="I1237" s="239">
        <v>11.9</v>
      </c>
      <c r="J1237" s="239">
        <v>9.9</v>
      </c>
      <c r="K1237" s="89"/>
      <c r="N1237" s="46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182"/>
      <c r="BH1237" s="182"/>
      <c r="BI1237" s="182"/>
      <c r="BJ1237" s="182"/>
      <c r="BK1237" s="182"/>
      <c r="BL1237" s="182"/>
      <c r="BM1237" s="182"/>
      <c r="BN1237" s="182"/>
      <c r="BO1237" s="182"/>
      <c r="BP1237" s="182"/>
      <c r="BQ1237" s="182"/>
      <c r="BR1237" s="182"/>
      <c r="BS1237" s="182"/>
      <c r="BT1237" s="182"/>
      <c r="BU1237" s="182"/>
      <c r="BV1237" s="182"/>
      <c r="BW1237" s="182"/>
      <c r="BX1237" s="182"/>
      <c r="BY1237" s="182"/>
      <c r="BZ1237" s="182"/>
      <c r="CA1237" s="182"/>
      <c r="CB1237" s="182"/>
      <c r="CC1237" s="182"/>
      <c r="CD1237" s="182"/>
      <c r="CE1237" s="182"/>
      <c r="CF1237" s="182"/>
      <c r="CG1237" s="182"/>
      <c r="CH1237" s="182"/>
      <c r="CI1237" s="182"/>
      <c r="CJ1237" s="182"/>
      <c r="CK1237" s="182"/>
      <c r="CL1237" s="182"/>
      <c r="CM1237" s="182"/>
      <c r="CN1237" s="182"/>
      <c r="CO1237" s="182"/>
      <c r="CP1237" s="182"/>
      <c r="CQ1237" s="182"/>
      <c r="CR1237" s="182"/>
      <c r="CS1237" s="182"/>
      <c r="CT1237" s="182"/>
      <c r="CU1237" s="182"/>
      <c r="CV1237" s="182"/>
      <c r="CW1237" s="182"/>
      <c r="CX1237" s="182"/>
      <c r="CY1237" s="182"/>
      <c r="CZ1237" s="182"/>
      <c r="DA1237" s="182"/>
      <c r="DB1237" s="182"/>
      <c r="DC1237" s="182"/>
      <c r="DD1237" s="182"/>
      <c r="DE1237" s="182"/>
    </row>
    <row r="1238" spans="1:109" s="177" customFormat="1" x14ac:dyDescent="0.2">
      <c r="A1238" s="177" t="s">
        <v>21</v>
      </c>
      <c r="B1238" s="89">
        <v>1674</v>
      </c>
      <c r="C1238" s="229">
        <v>1</v>
      </c>
      <c r="D1238" s="83">
        <v>43747</v>
      </c>
      <c r="E1238" s="82">
        <v>2019</v>
      </c>
      <c r="F1238" s="82"/>
      <c r="G1238" s="82"/>
      <c r="H1238" s="240">
        <v>11</v>
      </c>
      <c r="I1238" s="239">
        <v>11.9</v>
      </c>
      <c r="J1238" s="239">
        <v>9.9</v>
      </c>
      <c r="K1238" s="89"/>
      <c r="N1238" s="46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182"/>
      <c r="BH1238" s="182"/>
      <c r="BI1238" s="182"/>
      <c r="BJ1238" s="182"/>
      <c r="BK1238" s="182"/>
      <c r="BL1238" s="182"/>
      <c r="BM1238" s="182"/>
      <c r="BN1238" s="182"/>
      <c r="BO1238" s="182"/>
      <c r="BP1238" s="182"/>
      <c r="BQ1238" s="182"/>
      <c r="BR1238" s="182"/>
      <c r="BS1238" s="182"/>
      <c r="BT1238" s="182"/>
      <c r="BU1238" s="182"/>
      <c r="BV1238" s="182"/>
      <c r="BW1238" s="182"/>
      <c r="BX1238" s="182"/>
      <c r="BY1238" s="182"/>
      <c r="BZ1238" s="182"/>
      <c r="CA1238" s="182"/>
      <c r="CB1238" s="182"/>
      <c r="CC1238" s="182"/>
      <c r="CD1238" s="182"/>
      <c r="CE1238" s="182"/>
      <c r="CF1238" s="182"/>
      <c r="CG1238" s="182"/>
      <c r="CH1238" s="182"/>
      <c r="CI1238" s="182"/>
      <c r="CJ1238" s="182"/>
      <c r="CK1238" s="182"/>
      <c r="CL1238" s="182"/>
      <c r="CM1238" s="182"/>
      <c r="CN1238" s="182"/>
      <c r="CO1238" s="182"/>
      <c r="CP1238" s="182"/>
      <c r="CQ1238" s="182"/>
      <c r="CR1238" s="182"/>
      <c r="CS1238" s="182"/>
      <c r="CT1238" s="182"/>
      <c r="CU1238" s="182"/>
      <c r="CV1238" s="182"/>
      <c r="CW1238" s="182"/>
      <c r="CX1238" s="182"/>
      <c r="CY1238" s="182"/>
      <c r="CZ1238" s="182"/>
      <c r="DA1238" s="182"/>
      <c r="DB1238" s="182"/>
      <c r="DC1238" s="182"/>
      <c r="DD1238" s="182"/>
      <c r="DE1238" s="182"/>
    </row>
    <row r="1239" spans="1:109" s="177" customFormat="1" x14ac:dyDescent="0.2">
      <c r="A1239" s="177" t="s">
        <v>21</v>
      </c>
      <c r="B1239" s="89">
        <v>1674</v>
      </c>
      <c r="C1239" s="229">
        <v>1</v>
      </c>
      <c r="D1239" s="83">
        <v>43747</v>
      </c>
      <c r="E1239" s="82">
        <v>2019</v>
      </c>
      <c r="F1239" s="82"/>
      <c r="G1239" s="82"/>
      <c r="H1239" s="240">
        <v>12</v>
      </c>
      <c r="I1239" s="239">
        <v>11.9</v>
      </c>
      <c r="J1239" s="239">
        <v>9.3000000000000007</v>
      </c>
      <c r="K1239" s="89"/>
      <c r="N1239" s="46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182"/>
      <c r="BH1239" s="182"/>
      <c r="BI1239" s="182"/>
      <c r="BJ1239" s="182"/>
      <c r="BK1239" s="182"/>
      <c r="BL1239" s="182"/>
      <c r="BM1239" s="182"/>
      <c r="BN1239" s="182"/>
      <c r="BO1239" s="182"/>
      <c r="BP1239" s="182"/>
      <c r="BQ1239" s="182"/>
      <c r="BR1239" s="182"/>
      <c r="BS1239" s="182"/>
      <c r="BT1239" s="182"/>
      <c r="BU1239" s="182"/>
      <c r="BV1239" s="182"/>
      <c r="BW1239" s="182"/>
      <c r="BX1239" s="182"/>
      <c r="BY1239" s="182"/>
      <c r="BZ1239" s="182"/>
      <c r="CA1239" s="182"/>
      <c r="CB1239" s="182"/>
      <c r="CC1239" s="182"/>
      <c r="CD1239" s="182"/>
      <c r="CE1239" s="182"/>
      <c r="CF1239" s="182"/>
      <c r="CG1239" s="182"/>
      <c r="CH1239" s="182"/>
      <c r="CI1239" s="182"/>
      <c r="CJ1239" s="182"/>
      <c r="CK1239" s="182"/>
      <c r="CL1239" s="182"/>
      <c r="CM1239" s="182"/>
      <c r="CN1239" s="182"/>
      <c r="CO1239" s="182"/>
      <c r="CP1239" s="182"/>
      <c r="CQ1239" s="182"/>
      <c r="CR1239" s="182"/>
      <c r="CS1239" s="182"/>
      <c r="CT1239" s="182"/>
      <c r="CU1239" s="182"/>
      <c r="CV1239" s="182"/>
      <c r="CW1239" s="182"/>
      <c r="CX1239" s="182"/>
      <c r="CY1239" s="182"/>
      <c r="CZ1239" s="182"/>
      <c r="DA1239" s="182"/>
      <c r="DB1239" s="182"/>
      <c r="DC1239" s="182"/>
      <c r="DD1239" s="182"/>
      <c r="DE1239" s="182"/>
    </row>
    <row r="1240" spans="1:109" x14ac:dyDescent="0.2">
      <c r="A1240" s="177" t="s">
        <v>21</v>
      </c>
      <c r="B1240" s="89">
        <v>1674</v>
      </c>
      <c r="C1240" s="229">
        <v>1</v>
      </c>
      <c r="D1240" s="83">
        <v>43747</v>
      </c>
      <c r="E1240" s="82">
        <v>2019</v>
      </c>
      <c r="H1240" s="240">
        <v>13</v>
      </c>
      <c r="I1240" s="239">
        <v>11.7</v>
      </c>
      <c r="J1240" s="239">
        <v>9</v>
      </c>
    </row>
    <row r="1241" spans="1:109" s="177" customFormat="1" x14ac:dyDescent="0.2">
      <c r="A1241" s="177" t="s">
        <v>21</v>
      </c>
      <c r="B1241" s="89">
        <v>1674</v>
      </c>
      <c r="C1241" s="229">
        <v>1</v>
      </c>
      <c r="D1241" s="83">
        <v>43759</v>
      </c>
      <c r="E1241" s="82">
        <v>2019</v>
      </c>
      <c r="F1241" s="82"/>
      <c r="G1241" s="82"/>
      <c r="H1241" s="240">
        <v>0</v>
      </c>
      <c r="I1241" s="239">
        <v>10.6</v>
      </c>
      <c r="J1241" s="239">
        <v>10.7</v>
      </c>
      <c r="K1241" s="89"/>
      <c r="N1241" s="46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182"/>
      <c r="BH1241" s="182"/>
      <c r="BI1241" s="182"/>
      <c r="BJ1241" s="182"/>
      <c r="BK1241" s="182"/>
      <c r="BL1241" s="182"/>
      <c r="BM1241" s="182"/>
      <c r="BN1241" s="182"/>
      <c r="BO1241" s="182"/>
      <c r="BP1241" s="182"/>
      <c r="BQ1241" s="182"/>
      <c r="BR1241" s="182"/>
      <c r="BS1241" s="182"/>
      <c r="BT1241" s="182"/>
      <c r="BU1241" s="182"/>
      <c r="BV1241" s="182"/>
      <c r="BW1241" s="182"/>
      <c r="BX1241" s="182"/>
      <c r="BY1241" s="182"/>
      <c r="BZ1241" s="182"/>
      <c r="CA1241" s="182"/>
      <c r="CB1241" s="182"/>
      <c r="CC1241" s="182"/>
      <c r="CD1241" s="182"/>
      <c r="CE1241" s="182"/>
      <c r="CF1241" s="182"/>
      <c r="CG1241" s="182"/>
      <c r="CH1241" s="182"/>
      <c r="CI1241" s="182"/>
      <c r="CJ1241" s="182"/>
      <c r="CK1241" s="182"/>
      <c r="CL1241" s="182"/>
      <c r="CM1241" s="182"/>
      <c r="CN1241" s="182"/>
      <c r="CO1241" s="182"/>
      <c r="CP1241" s="182"/>
      <c r="CQ1241" s="182"/>
      <c r="CR1241" s="182"/>
      <c r="CS1241" s="182"/>
      <c r="CT1241" s="182"/>
      <c r="CU1241" s="182"/>
      <c r="CV1241" s="182"/>
      <c r="CW1241" s="182"/>
      <c r="CX1241" s="182"/>
      <c r="CY1241" s="182"/>
      <c r="CZ1241" s="182"/>
      <c r="DA1241" s="182"/>
      <c r="DB1241" s="182"/>
      <c r="DC1241" s="182"/>
      <c r="DD1241" s="182"/>
      <c r="DE1241" s="182"/>
    </row>
    <row r="1242" spans="1:109" s="177" customFormat="1" x14ac:dyDescent="0.2">
      <c r="A1242" s="177" t="s">
        <v>21</v>
      </c>
      <c r="B1242" s="89">
        <v>1674</v>
      </c>
      <c r="C1242" s="229">
        <v>1</v>
      </c>
      <c r="D1242" s="83">
        <v>43759</v>
      </c>
      <c r="E1242" s="82">
        <v>2019</v>
      </c>
      <c r="F1242" s="82"/>
      <c r="G1242" s="82"/>
      <c r="H1242" s="240">
        <v>1</v>
      </c>
      <c r="I1242" s="239">
        <v>10.7</v>
      </c>
      <c r="J1242" s="239">
        <v>10.7</v>
      </c>
      <c r="K1242" s="89"/>
      <c r="N1242" s="46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182"/>
      <c r="BH1242" s="182"/>
      <c r="BI1242" s="182"/>
      <c r="BJ1242" s="182"/>
      <c r="BK1242" s="182"/>
      <c r="BL1242" s="182"/>
      <c r="BM1242" s="182"/>
      <c r="BN1242" s="182"/>
      <c r="BO1242" s="182"/>
      <c r="BP1242" s="182"/>
      <c r="BQ1242" s="182"/>
      <c r="BR1242" s="182"/>
      <c r="BS1242" s="182"/>
      <c r="BT1242" s="182"/>
      <c r="BU1242" s="182"/>
      <c r="BV1242" s="182"/>
      <c r="BW1242" s="182"/>
      <c r="BX1242" s="182"/>
      <c r="BY1242" s="182"/>
      <c r="BZ1242" s="182"/>
      <c r="CA1242" s="182"/>
      <c r="CB1242" s="182"/>
      <c r="CC1242" s="182"/>
      <c r="CD1242" s="182"/>
      <c r="CE1242" s="182"/>
      <c r="CF1242" s="182"/>
      <c r="CG1242" s="182"/>
      <c r="CH1242" s="182"/>
      <c r="CI1242" s="182"/>
      <c r="CJ1242" s="182"/>
      <c r="CK1242" s="182"/>
      <c r="CL1242" s="182"/>
      <c r="CM1242" s="182"/>
      <c r="CN1242" s="182"/>
      <c r="CO1242" s="182"/>
      <c r="CP1242" s="182"/>
      <c r="CQ1242" s="182"/>
      <c r="CR1242" s="182"/>
      <c r="CS1242" s="182"/>
      <c r="CT1242" s="182"/>
      <c r="CU1242" s="182"/>
      <c r="CV1242" s="182"/>
      <c r="CW1242" s="182"/>
      <c r="CX1242" s="182"/>
      <c r="CY1242" s="182"/>
      <c r="CZ1242" s="182"/>
      <c r="DA1242" s="182"/>
      <c r="DB1242" s="182"/>
      <c r="DC1242" s="182"/>
      <c r="DD1242" s="182"/>
      <c r="DE1242" s="182"/>
    </row>
    <row r="1243" spans="1:109" s="177" customFormat="1" x14ac:dyDescent="0.2">
      <c r="A1243" s="177" t="s">
        <v>21</v>
      </c>
      <c r="B1243" s="89">
        <v>1674</v>
      </c>
      <c r="C1243" s="229">
        <v>1</v>
      </c>
      <c r="D1243" s="83">
        <v>43759</v>
      </c>
      <c r="E1243" s="82">
        <v>2019</v>
      </c>
      <c r="F1243" s="82"/>
      <c r="G1243" s="82"/>
      <c r="H1243" s="240">
        <v>2</v>
      </c>
      <c r="I1243" s="239">
        <v>10.5</v>
      </c>
      <c r="J1243" s="239">
        <v>10.7</v>
      </c>
      <c r="K1243" s="89"/>
      <c r="N1243" s="46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182"/>
      <c r="BH1243" s="182"/>
      <c r="BI1243" s="182"/>
      <c r="BJ1243" s="182"/>
      <c r="BK1243" s="182"/>
      <c r="BL1243" s="182"/>
      <c r="BM1243" s="182"/>
      <c r="BN1243" s="182"/>
      <c r="BO1243" s="182"/>
      <c r="BP1243" s="182"/>
      <c r="BQ1243" s="182"/>
      <c r="BR1243" s="182"/>
      <c r="BS1243" s="182"/>
      <c r="BT1243" s="182"/>
      <c r="BU1243" s="182"/>
      <c r="BV1243" s="182"/>
      <c r="BW1243" s="182"/>
      <c r="BX1243" s="182"/>
      <c r="BY1243" s="182"/>
      <c r="BZ1243" s="182"/>
      <c r="CA1243" s="182"/>
      <c r="CB1243" s="182"/>
      <c r="CC1243" s="182"/>
      <c r="CD1243" s="182"/>
      <c r="CE1243" s="182"/>
      <c r="CF1243" s="182"/>
      <c r="CG1243" s="182"/>
      <c r="CH1243" s="182"/>
      <c r="CI1243" s="182"/>
      <c r="CJ1243" s="182"/>
      <c r="CK1243" s="182"/>
      <c r="CL1243" s="182"/>
      <c r="CM1243" s="182"/>
      <c r="CN1243" s="182"/>
      <c r="CO1243" s="182"/>
      <c r="CP1243" s="182"/>
      <c r="CQ1243" s="182"/>
      <c r="CR1243" s="182"/>
      <c r="CS1243" s="182"/>
      <c r="CT1243" s="182"/>
      <c r="CU1243" s="182"/>
      <c r="CV1243" s="182"/>
      <c r="CW1243" s="182"/>
      <c r="CX1243" s="182"/>
      <c r="CY1243" s="182"/>
      <c r="CZ1243" s="182"/>
      <c r="DA1243" s="182"/>
      <c r="DB1243" s="182"/>
      <c r="DC1243" s="182"/>
      <c r="DD1243" s="182"/>
      <c r="DE1243" s="182"/>
    </row>
    <row r="1244" spans="1:109" s="177" customFormat="1" x14ac:dyDescent="0.2">
      <c r="A1244" s="177" t="s">
        <v>21</v>
      </c>
      <c r="B1244" s="89">
        <v>1674</v>
      </c>
      <c r="C1244" s="229">
        <v>1</v>
      </c>
      <c r="D1244" s="83">
        <v>43759</v>
      </c>
      <c r="E1244" s="82">
        <v>2019</v>
      </c>
      <c r="F1244" s="82"/>
      <c r="G1244" s="82"/>
      <c r="H1244" s="240">
        <v>3</v>
      </c>
      <c r="I1244" s="239">
        <v>10.4</v>
      </c>
      <c r="J1244" s="239">
        <v>10.6</v>
      </c>
      <c r="K1244" s="89"/>
      <c r="N1244" s="46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182"/>
      <c r="BH1244" s="182"/>
      <c r="BI1244" s="182"/>
      <c r="BJ1244" s="182"/>
      <c r="BK1244" s="182"/>
      <c r="BL1244" s="182"/>
      <c r="BM1244" s="182"/>
      <c r="BN1244" s="182"/>
      <c r="BO1244" s="182"/>
      <c r="BP1244" s="182"/>
      <c r="BQ1244" s="182"/>
      <c r="BR1244" s="182"/>
      <c r="BS1244" s="182"/>
      <c r="BT1244" s="182"/>
      <c r="BU1244" s="182"/>
      <c r="BV1244" s="182"/>
      <c r="BW1244" s="182"/>
      <c r="BX1244" s="182"/>
      <c r="BY1244" s="182"/>
      <c r="BZ1244" s="182"/>
      <c r="CA1244" s="182"/>
      <c r="CB1244" s="182"/>
      <c r="CC1244" s="182"/>
      <c r="CD1244" s="182"/>
      <c r="CE1244" s="182"/>
      <c r="CF1244" s="182"/>
      <c r="CG1244" s="182"/>
      <c r="CH1244" s="182"/>
      <c r="CI1244" s="182"/>
      <c r="CJ1244" s="182"/>
      <c r="CK1244" s="182"/>
      <c r="CL1244" s="182"/>
      <c r="CM1244" s="182"/>
      <c r="CN1244" s="182"/>
      <c r="CO1244" s="182"/>
      <c r="CP1244" s="182"/>
      <c r="CQ1244" s="182"/>
      <c r="CR1244" s="182"/>
      <c r="CS1244" s="182"/>
      <c r="CT1244" s="182"/>
      <c r="CU1244" s="182"/>
      <c r="CV1244" s="182"/>
      <c r="CW1244" s="182"/>
      <c r="CX1244" s="182"/>
      <c r="CY1244" s="182"/>
      <c r="CZ1244" s="182"/>
      <c r="DA1244" s="182"/>
      <c r="DB1244" s="182"/>
      <c r="DC1244" s="182"/>
      <c r="DD1244" s="182"/>
      <c r="DE1244" s="182"/>
    </row>
    <row r="1245" spans="1:109" s="177" customFormat="1" x14ac:dyDescent="0.2">
      <c r="A1245" s="177" t="s">
        <v>21</v>
      </c>
      <c r="B1245" s="89">
        <v>1674</v>
      </c>
      <c r="C1245" s="229">
        <v>1</v>
      </c>
      <c r="D1245" s="83">
        <v>43759</v>
      </c>
      <c r="E1245" s="82">
        <v>2019</v>
      </c>
      <c r="F1245" s="82"/>
      <c r="G1245" s="82"/>
      <c r="H1245" s="240">
        <v>4</v>
      </c>
      <c r="I1245" s="239">
        <v>10.5</v>
      </c>
      <c r="J1245" s="239">
        <v>10.5</v>
      </c>
      <c r="K1245" s="89"/>
      <c r="N1245" s="46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182"/>
      <c r="BH1245" s="182"/>
      <c r="BI1245" s="182"/>
      <c r="BJ1245" s="182"/>
      <c r="BK1245" s="182"/>
      <c r="BL1245" s="182"/>
      <c r="BM1245" s="182"/>
      <c r="BN1245" s="182"/>
      <c r="BO1245" s="182"/>
      <c r="BP1245" s="182"/>
      <c r="BQ1245" s="182"/>
      <c r="BR1245" s="182"/>
      <c r="BS1245" s="182"/>
      <c r="BT1245" s="182"/>
      <c r="BU1245" s="182"/>
      <c r="BV1245" s="182"/>
      <c r="BW1245" s="182"/>
      <c r="BX1245" s="182"/>
      <c r="BY1245" s="182"/>
      <c r="BZ1245" s="182"/>
      <c r="CA1245" s="182"/>
      <c r="CB1245" s="182"/>
      <c r="CC1245" s="182"/>
      <c r="CD1245" s="182"/>
      <c r="CE1245" s="182"/>
      <c r="CF1245" s="182"/>
      <c r="CG1245" s="182"/>
      <c r="CH1245" s="182"/>
      <c r="CI1245" s="182"/>
      <c r="CJ1245" s="182"/>
      <c r="CK1245" s="182"/>
      <c r="CL1245" s="182"/>
      <c r="CM1245" s="182"/>
      <c r="CN1245" s="182"/>
      <c r="CO1245" s="182"/>
      <c r="CP1245" s="182"/>
      <c r="CQ1245" s="182"/>
      <c r="CR1245" s="182"/>
      <c r="CS1245" s="182"/>
      <c r="CT1245" s="182"/>
      <c r="CU1245" s="182"/>
      <c r="CV1245" s="182"/>
      <c r="CW1245" s="182"/>
      <c r="CX1245" s="182"/>
      <c r="CY1245" s="182"/>
      <c r="CZ1245" s="182"/>
      <c r="DA1245" s="182"/>
      <c r="DB1245" s="182"/>
      <c r="DC1245" s="182"/>
      <c r="DD1245" s="182"/>
      <c r="DE1245" s="182"/>
    </row>
    <row r="1246" spans="1:109" s="177" customFormat="1" x14ac:dyDescent="0.2">
      <c r="A1246" s="177" t="s">
        <v>21</v>
      </c>
      <c r="B1246" s="89">
        <v>1674</v>
      </c>
      <c r="C1246" s="229">
        <v>1</v>
      </c>
      <c r="D1246" s="83">
        <v>43759</v>
      </c>
      <c r="E1246" s="82">
        <v>2019</v>
      </c>
      <c r="F1246" s="82"/>
      <c r="G1246" s="82"/>
      <c r="H1246" s="240">
        <v>5</v>
      </c>
      <c r="I1246" s="239">
        <v>10.4</v>
      </c>
      <c r="J1246" s="239">
        <v>10.5</v>
      </c>
      <c r="K1246" s="89"/>
      <c r="N1246" s="46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182"/>
      <c r="BH1246" s="182"/>
      <c r="BI1246" s="182"/>
      <c r="BJ1246" s="182"/>
      <c r="BK1246" s="182"/>
      <c r="BL1246" s="182"/>
      <c r="BM1246" s="182"/>
      <c r="BN1246" s="182"/>
      <c r="BO1246" s="182"/>
      <c r="BP1246" s="182"/>
      <c r="BQ1246" s="182"/>
      <c r="BR1246" s="182"/>
      <c r="BS1246" s="182"/>
      <c r="BT1246" s="182"/>
      <c r="BU1246" s="182"/>
      <c r="BV1246" s="182"/>
      <c r="BW1246" s="182"/>
      <c r="BX1246" s="182"/>
      <c r="BY1246" s="182"/>
      <c r="BZ1246" s="182"/>
      <c r="CA1246" s="182"/>
      <c r="CB1246" s="182"/>
      <c r="CC1246" s="182"/>
      <c r="CD1246" s="182"/>
      <c r="CE1246" s="182"/>
      <c r="CF1246" s="182"/>
      <c r="CG1246" s="182"/>
      <c r="CH1246" s="182"/>
      <c r="CI1246" s="182"/>
      <c r="CJ1246" s="182"/>
      <c r="CK1246" s="182"/>
      <c r="CL1246" s="182"/>
      <c r="CM1246" s="182"/>
      <c r="CN1246" s="182"/>
      <c r="CO1246" s="182"/>
      <c r="CP1246" s="182"/>
      <c r="CQ1246" s="182"/>
      <c r="CR1246" s="182"/>
      <c r="CS1246" s="182"/>
      <c r="CT1246" s="182"/>
      <c r="CU1246" s="182"/>
      <c r="CV1246" s="182"/>
      <c r="CW1246" s="182"/>
      <c r="CX1246" s="182"/>
      <c r="CY1246" s="182"/>
      <c r="CZ1246" s="182"/>
      <c r="DA1246" s="182"/>
      <c r="DB1246" s="182"/>
      <c r="DC1246" s="182"/>
      <c r="DD1246" s="182"/>
      <c r="DE1246" s="182"/>
    </row>
    <row r="1247" spans="1:109" s="177" customFormat="1" x14ac:dyDescent="0.2">
      <c r="A1247" s="177" t="s">
        <v>21</v>
      </c>
      <c r="B1247" s="89">
        <v>1674</v>
      </c>
      <c r="C1247" s="229">
        <v>1</v>
      </c>
      <c r="D1247" s="83">
        <v>43759</v>
      </c>
      <c r="E1247" s="82">
        <v>2019</v>
      </c>
      <c r="F1247" s="82"/>
      <c r="G1247" s="82"/>
      <c r="H1247" s="240">
        <v>6</v>
      </c>
      <c r="I1247" s="239">
        <v>10.4</v>
      </c>
      <c r="J1247" s="239">
        <v>10.3</v>
      </c>
      <c r="K1247" s="89"/>
      <c r="N1247" s="46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182"/>
      <c r="BH1247" s="182"/>
      <c r="BI1247" s="182"/>
      <c r="BJ1247" s="182"/>
      <c r="BK1247" s="182"/>
      <c r="BL1247" s="182"/>
      <c r="BM1247" s="182"/>
      <c r="BN1247" s="182"/>
      <c r="BO1247" s="182"/>
      <c r="BP1247" s="182"/>
      <c r="BQ1247" s="182"/>
      <c r="BR1247" s="182"/>
      <c r="BS1247" s="182"/>
      <c r="BT1247" s="182"/>
      <c r="BU1247" s="182"/>
      <c r="BV1247" s="182"/>
      <c r="BW1247" s="182"/>
      <c r="BX1247" s="182"/>
      <c r="BY1247" s="182"/>
      <c r="BZ1247" s="182"/>
      <c r="CA1247" s="182"/>
      <c r="CB1247" s="182"/>
      <c r="CC1247" s="182"/>
      <c r="CD1247" s="182"/>
      <c r="CE1247" s="182"/>
      <c r="CF1247" s="182"/>
      <c r="CG1247" s="182"/>
      <c r="CH1247" s="182"/>
      <c r="CI1247" s="182"/>
      <c r="CJ1247" s="182"/>
      <c r="CK1247" s="182"/>
      <c r="CL1247" s="182"/>
      <c r="CM1247" s="182"/>
      <c r="CN1247" s="182"/>
      <c r="CO1247" s="182"/>
      <c r="CP1247" s="182"/>
      <c r="CQ1247" s="182"/>
      <c r="CR1247" s="182"/>
      <c r="CS1247" s="182"/>
      <c r="CT1247" s="182"/>
      <c r="CU1247" s="182"/>
      <c r="CV1247" s="182"/>
      <c r="CW1247" s="182"/>
      <c r="CX1247" s="182"/>
      <c r="CY1247" s="182"/>
      <c r="CZ1247" s="182"/>
      <c r="DA1247" s="182"/>
      <c r="DB1247" s="182"/>
      <c r="DC1247" s="182"/>
      <c r="DD1247" s="182"/>
      <c r="DE1247" s="182"/>
    </row>
    <row r="1248" spans="1:109" s="177" customFormat="1" x14ac:dyDescent="0.2">
      <c r="A1248" s="177" t="s">
        <v>21</v>
      </c>
      <c r="B1248" s="89">
        <v>1674</v>
      </c>
      <c r="C1248" s="229">
        <v>1</v>
      </c>
      <c r="D1248" s="83">
        <v>43759</v>
      </c>
      <c r="E1248" s="82">
        <v>2019</v>
      </c>
      <c r="F1248" s="82"/>
      <c r="G1248" s="82"/>
      <c r="H1248" s="240">
        <v>7</v>
      </c>
      <c r="I1248" s="239">
        <v>10.3</v>
      </c>
      <c r="J1248" s="239">
        <v>10</v>
      </c>
      <c r="K1248" s="89"/>
      <c r="N1248" s="46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182"/>
      <c r="BH1248" s="182"/>
      <c r="BI1248" s="182"/>
      <c r="BJ1248" s="182"/>
      <c r="BK1248" s="182"/>
      <c r="BL1248" s="182"/>
      <c r="BM1248" s="182"/>
      <c r="BN1248" s="182"/>
      <c r="BO1248" s="182"/>
      <c r="BP1248" s="182"/>
      <c r="BQ1248" s="182"/>
      <c r="BR1248" s="182"/>
      <c r="BS1248" s="182"/>
      <c r="BT1248" s="182"/>
      <c r="BU1248" s="182"/>
      <c r="BV1248" s="182"/>
      <c r="BW1248" s="182"/>
      <c r="BX1248" s="182"/>
      <c r="BY1248" s="182"/>
      <c r="BZ1248" s="182"/>
      <c r="CA1248" s="182"/>
      <c r="CB1248" s="182"/>
      <c r="CC1248" s="182"/>
      <c r="CD1248" s="182"/>
      <c r="CE1248" s="182"/>
      <c r="CF1248" s="182"/>
      <c r="CG1248" s="182"/>
      <c r="CH1248" s="182"/>
      <c r="CI1248" s="182"/>
      <c r="CJ1248" s="182"/>
      <c r="CK1248" s="182"/>
      <c r="CL1248" s="182"/>
      <c r="CM1248" s="182"/>
      <c r="CN1248" s="182"/>
      <c r="CO1248" s="182"/>
      <c r="CP1248" s="182"/>
      <c r="CQ1248" s="182"/>
      <c r="CR1248" s="182"/>
      <c r="CS1248" s="182"/>
      <c r="CT1248" s="182"/>
      <c r="CU1248" s="182"/>
      <c r="CV1248" s="182"/>
      <c r="CW1248" s="182"/>
      <c r="CX1248" s="182"/>
      <c r="CY1248" s="182"/>
      <c r="CZ1248" s="182"/>
      <c r="DA1248" s="182"/>
      <c r="DB1248" s="182"/>
      <c r="DC1248" s="182"/>
      <c r="DD1248" s="182"/>
      <c r="DE1248" s="182"/>
    </row>
    <row r="1249" spans="1:109" s="177" customFormat="1" x14ac:dyDescent="0.2">
      <c r="A1249" s="177" t="s">
        <v>21</v>
      </c>
      <c r="B1249" s="89">
        <v>1674</v>
      </c>
      <c r="C1249" s="229">
        <v>1</v>
      </c>
      <c r="D1249" s="83">
        <v>43759</v>
      </c>
      <c r="E1249" s="82">
        <v>2019</v>
      </c>
      <c r="F1249" s="82"/>
      <c r="G1249" s="82"/>
      <c r="H1249" s="240">
        <v>8</v>
      </c>
      <c r="I1249" s="239">
        <v>10.3</v>
      </c>
      <c r="J1249" s="239">
        <v>10</v>
      </c>
      <c r="K1249" s="89"/>
      <c r="N1249" s="46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182"/>
      <c r="BH1249" s="182"/>
      <c r="BI1249" s="182"/>
      <c r="BJ1249" s="182"/>
      <c r="BK1249" s="182"/>
      <c r="BL1249" s="182"/>
      <c r="BM1249" s="182"/>
      <c r="BN1249" s="182"/>
      <c r="BO1249" s="182"/>
      <c r="BP1249" s="182"/>
      <c r="BQ1249" s="182"/>
      <c r="BR1249" s="182"/>
      <c r="BS1249" s="182"/>
      <c r="BT1249" s="182"/>
      <c r="BU1249" s="182"/>
      <c r="BV1249" s="182"/>
      <c r="BW1249" s="182"/>
      <c r="BX1249" s="182"/>
      <c r="BY1249" s="182"/>
      <c r="BZ1249" s="182"/>
      <c r="CA1249" s="182"/>
      <c r="CB1249" s="182"/>
      <c r="CC1249" s="182"/>
      <c r="CD1249" s="182"/>
      <c r="CE1249" s="182"/>
      <c r="CF1249" s="182"/>
      <c r="CG1249" s="182"/>
      <c r="CH1249" s="182"/>
      <c r="CI1249" s="182"/>
      <c r="CJ1249" s="182"/>
      <c r="CK1249" s="182"/>
      <c r="CL1249" s="182"/>
      <c r="CM1249" s="182"/>
      <c r="CN1249" s="182"/>
      <c r="CO1249" s="182"/>
      <c r="CP1249" s="182"/>
      <c r="CQ1249" s="182"/>
      <c r="CR1249" s="182"/>
      <c r="CS1249" s="182"/>
      <c r="CT1249" s="182"/>
      <c r="CU1249" s="182"/>
      <c r="CV1249" s="182"/>
      <c r="CW1249" s="182"/>
      <c r="CX1249" s="182"/>
      <c r="CY1249" s="182"/>
      <c r="CZ1249" s="182"/>
      <c r="DA1249" s="182"/>
      <c r="DB1249" s="182"/>
      <c r="DC1249" s="182"/>
      <c r="DD1249" s="182"/>
      <c r="DE1249" s="182"/>
    </row>
    <row r="1250" spans="1:109" s="177" customFormat="1" x14ac:dyDescent="0.2">
      <c r="A1250" s="177" t="s">
        <v>21</v>
      </c>
      <c r="B1250" s="89">
        <v>1674</v>
      </c>
      <c r="C1250" s="229">
        <v>1</v>
      </c>
      <c r="D1250" s="83">
        <v>43759</v>
      </c>
      <c r="E1250" s="82">
        <v>2019</v>
      </c>
      <c r="F1250" s="82"/>
      <c r="G1250" s="82"/>
      <c r="H1250" s="240">
        <v>9</v>
      </c>
      <c r="I1250" s="239">
        <v>10.3</v>
      </c>
      <c r="J1250" s="239">
        <v>9.9</v>
      </c>
      <c r="K1250" s="89"/>
      <c r="N1250" s="46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182"/>
      <c r="BH1250" s="182"/>
      <c r="BI1250" s="182"/>
      <c r="BJ1250" s="182"/>
      <c r="BK1250" s="182"/>
      <c r="BL1250" s="182"/>
      <c r="BM1250" s="182"/>
      <c r="BN1250" s="182"/>
      <c r="BO1250" s="182"/>
      <c r="BP1250" s="182"/>
      <c r="BQ1250" s="182"/>
      <c r="BR1250" s="182"/>
      <c r="BS1250" s="182"/>
      <c r="BT1250" s="182"/>
      <c r="BU1250" s="182"/>
      <c r="BV1250" s="182"/>
      <c r="BW1250" s="182"/>
      <c r="BX1250" s="182"/>
      <c r="BY1250" s="182"/>
      <c r="BZ1250" s="182"/>
      <c r="CA1250" s="182"/>
      <c r="CB1250" s="182"/>
      <c r="CC1250" s="182"/>
      <c r="CD1250" s="182"/>
      <c r="CE1250" s="182"/>
      <c r="CF1250" s="182"/>
      <c r="CG1250" s="182"/>
      <c r="CH1250" s="182"/>
      <c r="CI1250" s="182"/>
      <c r="CJ1250" s="182"/>
      <c r="CK1250" s="182"/>
      <c r="CL1250" s="182"/>
      <c r="CM1250" s="182"/>
      <c r="CN1250" s="182"/>
      <c r="CO1250" s="182"/>
      <c r="CP1250" s="182"/>
      <c r="CQ1250" s="182"/>
      <c r="CR1250" s="182"/>
      <c r="CS1250" s="182"/>
      <c r="CT1250" s="182"/>
      <c r="CU1250" s="182"/>
      <c r="CV1250" s="182"/>
      <c r="CW1250" s="182"/>
      <c r="CX1250" s="182"/>
      <c r="CY1250" s="182"/>
      <c r="CZ1250" s="182"/>
      <c r="DA1250" s="182"/>
      <c r="DB1250" s="182"/>
      <c r="DC1250" s="182"/>
      <c r="DD1250" s="182"/>
      <c r="DE1250" s="182"/>
    </row>
    <row r="1251" spans="1:109" s="177" customFormat="1" x14ac:dyDescent="0.2">
      <c r="A1251" s="177" t="s">
        <v>21</v>
      </c>
      <c r="B1251" s="89">
        <v>1674</v>
      </c>
      <c r="C1251" s="229">
        <v>1</v>
      </c>
      <c r="D1251" s="83">
        <v>43759</v>
      </c>
      <c r="E1251" s="82">
        <v>2019</v>
      </c>
      <c r="F1251" s="82"/>
      <c r="G1251" s="82"/>
      <c r="H1251" s="240">
        <v>10</v>
      </c>
      <c r="I1251" s="239">
        <v>10.1</v>
      </c>
      <c r="J1251" s="239">
        <v>9.6</v>
      </c>
      <c r="K1251" s="89"/>
      <c r="N1251" s="46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182"/>
      <c r="BH1251" s="182"/>
      <c r="BI1251" s="182"/>
      <c r="BJ1251" s="182"/>
      <c r="BK1251" s="182"/>
      <c r="BL1251" s="182"/>
      <c r="BM1251" s="182"/>
      <c r="BN1251" s="182"/>
      <c r="BO1251" s="182"/>
      <c r="BP1251" s="182"/>
      <c r="BQ1251" s="182"/>
      <c r="BR1251" s="182"/>
      <c r="BS1251" s="182"/>
      <c r="BT1251" s="182"/>
      <c r="BU1251" s="182"/>
      <c r="BV1251" s="182"/>
      <c r="BW1251" s="182"/>
      <c r="BX1251" s="182"/>
      <c r="BY1251" s="182"/>
      <c r="BZ1251" s="182"/>
      <c r="CA1251" s="182"/>
      <c r="CB1251" s="182"/>
      <c r="CC1251" s="182"/>
      <c r="CD1251" s="182"/>
      <c r="CE1251" s="182"/>
      <c r="CF1251" s="182"/>
      <c r="CG1251" s="182"/>
      <c r="CH1251" s="182"/>
      <c r="CI1251" s="182"/>
      <c r="CJ1251" s="182"/>
      <c r="CK1251" s="182"/>
      <c r="CL1251" s="182"/>
      <c r="CM1251" s="182"/>
      <c r="CN1251" s="182"/>
      <c r="CO1251" s="182"/>
      <c r="CP1251" s="182"/>
      <c r="CQ1251" s="182"/>
      <c r="CR1251" s="182"/>
      <c r="CS1251" s="182"/>
      <c r="CT1251" s="182"/>
      <c r="CU1251" s="182"/>
      <c r="CV1251" s="182"/>
      <c r="CW1251" s="182"/>
      <c r="CX1251" s="182"/>
      <c r="CY1251" s="182"/>
      <c r="CZ1251" s="182"/>
      <c r="DA1251" s="182"/>
      <c r="DB1251" s="182"/>
      <c r="DC1251" s="182"/>
      <c r="DD1251" s="182"/>
      <c r="DE1251" s="182"/>
    </row>
    <row r="1252" spans="1:109" s="177" customFormat="1" x14ac:dyDescent="0.2">
      <c r="A1252" s="177" t="s">
        <v>21</v>
      </c>
      <c r="B1252" s="89">
        <v>1674</v>
      </c>
      <c r="C1252" s="229">
        <v>1</v>
      </c>
      <c r="D1252" s="83">
        <v>43759</v>
      </c>
      <c r="E1252" s="82">
        <v>2019</v>
      </c>
      <c r="F1252" s="82"/>
      <c r="G1252" s="82"/>
      <c r="H1252" s="240">
        <v>11</v>
      </c>
      <c r="I1252" s="239">
        <v>10</v>
      </c>
      <c r="J1252" s="239">
        <v>9.6</v>
      </c>
      <c r="K1252" s="89"/>
      <c r="N1252" s="46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182"/>
      <c r="BH1252" s="182"/>
      <c r="BI1252" s="182"/>
      <c r="BJ1252" s="182"/>
      <c r="BK1252" s="182"/>
      <c r="BL1252" s="182"/>
      <c r="BM1252" s="182"/>
      <c r="BN1252" s="182"/>
      <c r="BO1252" s="182"/>
      <c r="BP1252" s="182"/>
      <c r="BQ1252" s="182"/>
      <c r="BR1252" s="182"/>
      <c r="BS1252" s="182"/>
      <c r="BT1252" s="182"/>
      <c r="BU1252" s="182"/>
      <c r="BV1252" s="182"/>
      <c r="BW1252" s="182"/>
      <c r="BX1252" s="182"/>
      <c r="BY1252" s="182"/>
      <c r="BZ1252" s="182"/>
      <c r="CA1252" s="182"/>
      <c r="CB1252" s="182"/>
      <c r="CC1252" s="182"/>
      <c r="CD1252" s="182"/>
      <c r="CE1252" s="182"/>
      <c r="CF1252" s="182"/>
      <c r="CG1252" s="182"/>
      <c r="CH1252" s="182"/>
      <c r="CI1252" s="182"/>
      <c r="CJ1252" s="182"/>
      <c r="CK1252" s="182"/>
      <c r="CL1252" s="182"/>
      <c r="CM1252" s="182"/>
      <c r="CN1252" s="182"/>
      <c r="CO1252" s="182"/>
      <c r="CP1252" s="182"/>
      <c r="CQ1252" s="182"/>
      <c r="CR1252" s="182"/>
      <c r="CS1252" s="182"/>
      <c r="CT1252" s="182"/>
      <c r="CU1252" s="182"/>
      <c r="CV1252" s="182"/>
      <c r="CW1252" s="182"/>
      <c r="CX1252" s="182"/>
      <c r="CY1252" s="182"/>
      <c r="CZ1252" s="182"/>
      <c r="DA1252" s="182"/>
      <c r="DB1252" s="182"/>
      <c r="DC1252" s="182"/>
      <c r="DD1252" s="182"/>
      <c r="DE1252" s="182"/>
    </row>
    <row r="1253" spans="1:109" s="177" customFormat="1" x14ac:dyDescent="0.2">
      <c r="A1253" s="177" t="s">
        <v>21</v>
      </c>
      <c r="B1253" s="89">
        <v>1674</v>
      </c>
      <c r="C1253" s="229">
        <v>1</v>
      </c>
      <c r="D1253" s="83">
        <v>43759</v>
      </c>
      <c r="E1253" s="82">
        <v>2019</v>
      </c>
      <c r="F1253" s="82"/>
      <c r="G1253" s="82"/>
      <c r="H1253" s="240">
        <v>12</v>
      </c>
      <c r="I1253" s="239">
        <v>10</v>
      </c>
      <c r="J1253" s="239">
        <v>9.5</v>
      </c>
      <c r="K1253" s="89"/>
      <c r="N1253" s="46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182"/>
      <c r="BH1253" s="182"/>
      <c r="BI1253" s="182"/>
      <c r="BJ1253" s="182"/>
      <c r="BK1253" s="182"/>
      <c r="BL1253" s="182"/>
      <c r="BM1253" s="182"/>
      <c r="BN1253" s="182"/>
      <c r="BO1253" s="182"/>
      <c r="BP1253" s="182"/>
      <c r="BQ1253" s="182"/>
      <c r="BR1253" s="182"/>
      <c r="BS1253" s="182"/>
      <c r="BT1253" s="182"/>
      <c r="BU1253" s="182"/>
      <c r="BV1253" s="182"/>
      <c r="BW1253" s="182"/>
      <c r="BX1253" s="182"/>
      <c r="BY1253" s="182"/>
      <c r="BZ1253" s="182"/>
      <c r="CA1253" s="182"/>
      <c r="CB1253" s="182"/>
      <c r="CC1253" s="182"/>
      <c r="CD1253" s="182"/>
      <c r="CE1253" s="182"/>
      <c r="CF1253" s="182"/>
      <c r="CG1253" s="182"/>
      <c r="CH1253" s="182"/>
      <c r="CI1253" s="182"/>
      <c r="CJ1253" s="182"/>
      <c r="CK1253" s="182"/>
      <c r="CL1253" s="182"/>
      <c r="CM1253" s="182"/>
      <c r="CN1253" s="182"/>
      <c r="CO1253" s="182"/>
      <c r="CP1253" s="182"/>
      <c r="CQ1253" s="182"/>
      <c r="CR1253" s="182"/>
      <c r="CS1253" s="182"/>
      <c r="CT1253" s="182"/>
      <c r="CU1253" s="182"/>
      <c r="CV1253" s="182"/>
      <c r="CW1253" s="182"/>
      <c r="CX1253" s="182"/>
      <c r="CY1253" s="182"/>
      <c r="CZ1253" s="182"/>
      <c r="DA1253" s="182"/>
      <c r="DB1253" s="182"/>
      <c r="DC1253" s="182"/>
      <c r="DD1253" s="182"/>
      <c r="DE1253" s="182"/>
    </row>
    <row r="1254" spans="1:109" s="177" customFormat="1" x14ac:dyDescent="0.2">
      <c r="A1254" s="177" t="s">
        <v>21</v>
      </c>
      <c r="B1254" s="89">
        <v>1674</v>
      </c>
      <c r="C1254" s="229">
        <v>1</v>
      </c>
      <c r="D1254" s="83">
        <v>43759</v>
      </c>
      <c r="E1254" s="82">
        <v>2019</v>
      </c>
      <c r="F1254" s="82"/>
      <c r="G1254" s="82"/>
      <c r="H1254" s="240">
        <v>13</v>
      </c>
      <c r="I1254" s="239">
        <v>10</v>
      </c>
      <c r="J1254" s="239">
        <v>8.3000000000000007</v>
      </c>
      <c r="K1254" s="89"/>
      <c r="N1254" s="46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182"/>
      <c r="BH1254" s="182"/>
      <c r="BI1254" s="182"/>
      <c r="BJ1254" s="182"/>
      <c r="BK1254" s="182"/>
      <c r="BL1254" s="182"/>
      <c r="BM1254" s="182"/>
      <c r="BN1254" s="182"/>
      <c r="BO1254" s="182"/>
      <c r="BP1254" s="182"/>
      <c r="BQ1254" s="182"/>
      <c r="BR1254" s="182"/>
      <c r="BS1254" s="182"/>
      <c r="BT1254" s="182"/>
      <c r="BU1254" s="182"/>
      <c r="BV1254" s="182"/>
      <c r="BW1254" s="182"/>
      <c r="BX1254" s="182"/>
      <c r="BY1254" s="182"/>
      <c r="BZ1254" s="182"/>
      <c r="CA1254" s="182"/>
      <c r="CB1254" s="182"/>
      <c r="CC1254" s="182"/>
      <c r="CD1254" s="182"/>
      <c r="CE1254" s="182"/>
      <c r="CF1254" s="182"/>
      <c r="CG1254" s="182"/>
      <c r="CH1254" s="182"/>
      <c r="CI1254" s="182"/>
      <c r="CJ1254" s="182"/>
      <c r="CK1254" s="182"/>
      <c r="CL1254" s="182"/>
      <c r="CM1254" s="182"/>
      <c r="CN1254" s="182"/>
      <c r="CO1254" s="182"/>
      <c r="CP1254" s="182"/>
      <c r="CQ1254" s="182"/>
      <c r="CR1254" s="182"/>
      <c r="CS1254" s="182"/>
      <c r="CT1254" s="182"/>
      <c r="CU1254" s="182"/>
      <c r="CV1254" s="182"/>
      <c r="CW1254" s="182"/>
      <c r="CX1254" s="182"/>
      <c r="CY1254" s="182"/>
      <c r="CZ1254" s="182"/>
      <c r="DA1254" s="182"/>
      <c r="DB1254" s="182"/>
      <c r="DC1254" s="182"/>
      <c r="DD1254" s="182"/>
      <c r="DE1254" s="182"/>
    </row>
    <row r="1255" spans="1:109" s="177" customFormat="1" x14ac:dyDescent="0.2">
      <c r="A1255" s="177" t="s">
        <v>21</v>
      </c>
      <c r="B1255" s="89">
        <v>1674</v>
      </c>
      <c r="C1255" s="229">
        <v>1</v>
      </c>
      <c r="D1255" s="83">
        <v>44137</v>
      </c>
      <c r="E1255" s="82">
        <v>2019</v>
      </c>
      <c r="F1255" s="82"/>
      <c r="G1255" s="82"/>
      <c r="H1255" s="240">
        <v>0</v>
      </c>
      <c r="I1255" s="239">
        <v>8.6999999999999993</v>
      </c>
      <c r="J1255" s="239">
        <v>11.4</v>
      </c>
      <c r="K1255" s="89"/>
      <c r="N1255" s="46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182"/>
      <c r="BH1255" s="182"/>
      <c r="BI1255" s="182"/>
      <c r="BJ1255" s="182"/>
      <c r="BK1255" s="182"/>
      <c r="BL1255" s="182"/>
      <c r="BM1255" s="182"/>
      <c r="BN1255" s="182"/>
      <c r="BO1255" s="182"/>
      <c r="BP1255" s="182"/>
      <c r="BQ1255" s="182"/>
      <c r="BR1255" s="182"/>
      <c r="BS1255" s="182"/>
      <c r="BT1255" s="182"/>
      <c r="BU1255" s="182"/>
      <c r="BV1255" s="182"/>
      <c r="BW1255" s="182"/>
      <c r="BX1255" s="182"/>
      <c r="BY1255" s="182"/>
      <c r="BZ1255" s="182"/>
      <c r="CA1255" s="182"/>
      <c r="CB1255" s="182"/>
      <c r="CC1255" s="182"/>
      <c r="CD1255" s="182"/>
      <c r="CE1255" s="182"/>
      <c r="CF1255" s="182"/>
      <c r="CG1255" s="182"/>
      <c r="CH1255" s="182"/>
      <c r="CI1255" s="182"/>
      <c r="CJ1255" s="182"/>
      <c r="CK1255" s="182"/>
      <c r="CL1255" s="182"/>
      <c r="CM1255" s="182"/>
      <c r="CN1255" s="182"/>
      <c r="CO1255" s="182"/>
      <c r="CP1255" s="182"/>
      <c r="CQ1255" s="182"/>
      <c r="CR1255" s="182"/>
      <c r="CS1255" s="182"/>
      <c r="CT1255" s="182"/>
      <c r="CU1255" s="182"/>
      <c r="CV1255" s="182"/>
      <c r="CW1255" s="182"/>
      <c r="CX1255" s="182"/>
      <c r="CY1255" s="182"/>
      <c r="CZ1255" s="182"/>
      <c r="DA1255" s="182"/>
      <c r="DB1255" s="182"/>
      <c r="DC1255" s="182"/>
      <c r="DD1255" s="182"/>
      <c r="DE1255" s="182"/>
    </row>
    <row r="1256" spans="1:109" s="177" customFormat="1" x14ac:dyDescent="0.2">
      <c r="A1256" s="177" t="s">
        <v>21</v>
      </c>
      <c r="B1256" s="89">
        <v>1674</v>
      </c>
      <c r="C1256" s="229">
        <v>1</v>
      </c>
      <c r="D1256" s="83">
        <v>44137</v>
      </c>
      <c r="E1256" s="82">
        <v>2019</v>
      </c>
      <c r="F1256" s="82"/>
      <c r="G1256" s="82"/>
      <c r="H1256" s="240">
        <v>1</v>
      </c>
      <c r="I1256" s="239">
        <v>8.6999999999999993</v>
      </c>
      <c r="J1256" s="239">
        <v>11.2</v>
      </c>
      <c r="K1256" s="89"/>
      <c r="N1256" s="46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182"/>
      <c r="BH1256" s="182"/>
      <c r="BI1256" s="182"/>
      <c r="BJ1256" s="182"/>
      <c r="BK1256" s="182"/>
      <c r="BL1256" s="182"/>
      <c r="BM1256" s="182"/>
      <c r="BN1256" s="182"/>
      <c r="BO1256" s="182"/>
      <c r="BP1256" s="182"/>
      <c r="BQ1256" s="182"/>
      <c r="BR1256" s="182"/>
      <c r="BS1256" s="182"/>
      <c r="BT1256" s="182"/>
      <c r="BU1256" s="182"/>
      <c r="BV1256" s="182"/>
      <c r="BW1256" s="182"/>
      <c r="BX1256" s="182"/>
      <c r="BY1256" s="182"/>
      <c r="BZ1256" s="182"/>
      <c r="CA1256" s="182"/>
      <c r="CB1256" s="182"/>
      <c r="CC1256" s="182"/>
      <c r="CD1256" s="182"/>
      <c r="CE1256" s="182"/>
      <c r="CF1256" s="182"/>
      <c r="CG1256" s="182"/>
      <c r="CH1256" s="182"/>
      <c r="CI1256" s="182"/>
      <c r="CJ1256" s="182"/>
      <c r="CK1256" s="182"/>
      <c r="CL1256" s="182"/>
      <c r="CM1256" s="182"/>
      <c r="CN1256" s="182"/>
      <c r="CO1256" s="182"/>
      <c r="CP1256" s="182"/>
      <c r="CQ1256" s="182"/>
      <c r="CR1256" s="182"/>
      <c r="CS1256" s="182"/>
      <c r="CT1256" s="182"/>
      <c r="CU1256" s="182"/>
      <c r="CV1256" s="182"/>
      <c r="CW1256" s="182"/>
      <c r="CX1256" s="182"/>
      <c r="CY1256" s="182"/>
      <c r="CZ1256" s="182"/>
      <c r="DA1256" s="182"/>
      <c r="DB1256" s="182"/>
      <c r="DC1256" s="182"/>
      <c r="DD1256" s="182"/>
      <c r="DE1256" s="182"/>
    </row>
    <row r="1257" spans="1:109" s="177" customFormat="1" x14ac:dyDescent="0.2">
      <c r="A1257" s="177" t="s">
        <v>21</v>
      </c>
      <c r="B1257" s="89">
        <v>1674</v>
      </c>
      <c r="C1257" s="229">
        <v>1</v>
      </c>
      <c r="D1257" s="83">
        <v>44137</v>
      </c>
      <c r="E1257" s="82">
        <v>2019</v>
      </c>
      <c r="F1257" s="82"/>
      <c r="G1257" s="82"/>
      <c r="H1257" s="240">
        <v>2</v>
      </c>
      <c r="I1257" s="239">
        <v>8.6999999999999993</v>
      </c>
      <c r="J1257" s="239">
        <v>11.1</v>
      </c>
      <c r="K1257" s="89"/>
      <c r="N1257" s="46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182"/>
      <c r="BH1257" s="182"/>
      <c r="BI1257" s="182"/>
      <c r="BJ1257" s="182"/>
      <c r="BK1257" s="182"/>
      <c r="BL1257" s="182"/>
      <c r="BM1257" s="182"/>
      <c r="BN1257" s="182"/>
      <c r="BO1257" s="182"/>
      <c r="BP1257" s="182"/>
      <c r="BQ1257" s="182"/>
      <c r="BR1257" s="182"/>
      <c r="BS1257" s="182"/>
      <c r="BT1257" s="182"/>
      <c r="BU1257" s="182"/>
      <c r="BV1257" s="182"/>
      <c r="BW1257" s="182"/>
      <c r="BX1257" s="182"/>
      <c r="BY1257" s="182"/>
      <c r="BZ1257" s="182"/>
      <c r="CA1257" s="182"/>
      <c r="CB1257" s="182"/>
      <c r="CC1257" s="182"/>
      <c r="CD1257" s="182"/>
      <c r="CE1257" s="182"/>
      <c r="CF1257" s="182"/>
      <c r="CG1257" s="182"/>
      <c r="CH1257" s="182"/>
      <c r="CI1257" s="182"/>
      <c r="CJ1257" s="182"/>
      <c r="CK1257" s="182"/>
      <c r="CL1257" s="182"/>
      <c r="CM1257" s="182"/>
      <c r="CN1257" s="182"/>
      <c r="CO1257" s="182"/>
      <c r="CP1257" s="182"/>
      <c r="CQ1257" s="182"/>
      <c r="CR1257" s="182"/>
      <c r="CS1257" s="182"/>
      <c r="CT1257" s="182"/>
      <c r="CU1257" s="182"/>
      <c r="CV1257" s="182"/>
      <c r="CW1257" s="182"/>
      <c r="CX1257" s="182"/>
      <c r="CY1257" s="182"/>
      <c r="CZ1257" s="182"/>
      <c r="DA1257" s="182"/>
      <c r="DB1257" s="182"/>
      <c r="DC1257" s="182"/>
      <c r="DD1257" s="182"/>
      <c r="DE1257" s="182"/>
    </row>
    <row r="1258" spans="1:109" s="177" customFormat="1" x14ac:dyDescent="0.2">
      <c r="A1258" s="177" t="s">
        <v>21</v>
      </c>
      <c r="B1258" s="89">
        <v>1674</v>
      </c>
      <c r="C1258" s="229">
        <v>1</v>
      </c>
      <c r="D1258" s="83">
        <v>44137</v>
      </c>
      <c r="E1258" s="82">
        <v>2019</v>
      </c>
      <c r="F1258" s="82"/>
      <c r="G1258" s="82"/>
      <c r="H1258" s="240">
        <v>3</v>
      </c>
      <c r="I1258" s="239">
        <v>8.6999999999999993</v>
      </c>
      <c r="J1258" s="239">
        <v>11.1</v>
      </c>
      <c r="K1258" s="89"/>
      <c r="N1258" s="46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182"/>
      <c r="BH1258" s="182"/>
      <c r="BI1258" s="182"/>
      <c r="BJ1258" s="182"/>
      <c r="BK1258" s="182"/>
      <c r="BL1258" s="182"/>
      <c r="BM1258" s="182"/>
      <c r="BN1258" s="182"/>
      <c r="BO1258" s="182"/>
      <c r="BP1258" s="182"/>
      <c r="BQ1258" s="182"/>
      <c r="BR1258" s="182"/>
      <c r="BS1258" s="182"/>
      <c r="BT1258" s="182"/>
      <c r="BU1258" s="182"/>
      <c r="BV1258" s="182"/>
      <c r="BW1258" s="182"/>
      <c r="BX1258" s="182"/>
      <c r="BY1258" s="182"/>
      <c r="BZ1258" s="182"/>
      <c r="CA1258" s="182"/>
      <c r="CB1258" s="182"/>
      <c r="CC1258" s="182"/>
      <c r="CD1258" s="182"/>
      <c r="CE1258" s="182"/>
      <c r="CF1258" s="182"/>
      <c r="CG1258" s="182"/>
      <c r="CH1258" s="182"/>
      <c r="CI1258" s="182"/>
      <c r="CJ1258" s="182"/>
      <c r="CK1258" s="182"/>
      <c r="CL1258" s="182"/>
      <c r="CM1258" s="182"/>
      <c r="CN1258" s="182"/>
      <c r="CO1258" s="182"/>
      <c r="CP1258" s="182"/>
      <c r="CQ1258" s="182"/>
      <c r="CR1258" s="182"/>
      <c r="CS1258" s="182"/>
      <c r="CT1258" s="182"/>
      <c r="CU1258" s="182"/>
      <c r="CV1258" s="182"/>
      <c r="CW1258" s="182"/>
      <c r="CX1258" s="182"/>
      <c r="CY1258" s="182"/>
      <c r="CZ1258" s="182"/>
      <c r="DA1258" s="182"/>
      <c r="DB1258" s="182"/>
      <c r="DC1258" s="182"/>
      <c r="DD1258" s="182"/>
      <c r="DE1258" s="182"/>
    </row>
    <row r="1259" spans="1:109" s="177" customFormat="1" x14ac:dyDescent="0.2">
      <c r="A1259" s="177" t="s">
        <v>21</v>
      </c>
      <c r="B1259" s="89">
        <v>1674</v>
      </c>
      <c r="C1259" s="229">
        <v>1</v>
      </c>
      <c r="D1259" s="83">
        <v>44137</v>
      </c>
      <c r="E1259" s="82">
        <v>2019</v>
      </c>
      <c r="F1259" s="82"/>
      <c r="G1259" s="82"/>
      <c r="H1259" s="240">
        <v>4</v>
      </c>
      <c r="I1259" s="239">
        <v>8.6999999999999993</v>
      </c>
      <c r="J1259" s="239">
        <v>11.1</v>
      </c>
      <c r="K1259" s="89"/>
      <c r="N1259" s="46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182"/>
      <c r="BH1259" s="182"/>
      <c r="BI1259" s="182"/>
      <c r="BJ1259" s="182"/>
      <c r="BK1259" s="182"/>
      <c r="BL1259" s="182"/>
      <c r="BM1259" s="182"/>
      <c r="BN1259" s="182"/>
      <c r="BO1259" s="182"/>
      <c r="BP1259" s="182"/>
      <c r="BQ1259" s="182"/>
      <c r="BR1259" s="182"/>
      <c r="BS1259" s="182"/>
      <c r="BT1259" s="182"/>
      <c r="BU1259" s="182"/>
      <c r="BV1259" s="182"/>
      <c r="BW1259" s="182"/>
      <c r="BX1259" s="182"/>
      <c r="BY1259" s="182"/>
      <c r="BZ1259" s="182"/>
      <c r="CA1259" s="182"/>
      <c r="CB1259" s="182"/>
      <c r="CC1259" s="182"/>
      <c r="CD1259" s="182"/>
      <c r="CE1259" s="182"/>
      <c r="CF1259" s="182"/>
      <c r="CG1259" s="182"/>
      <c r="CH1259" s="182"/>
      <c r="CI1259" s="182"/>
      <c r="CJ1259" s="182"/>
      <c r="CK1259" s="182"/>
      <c r="CL1259" s="182"/>
      <c r="CM1259" s="182"/>
      <c r="CN1259" s="182"/>
      <c r="CO1259" s="182"/>
      <c r="CP1259" s="182"/>
      <c r="CQ1259" s="182"/>
      <c r="CR1259" s="182"/>
      <c r="CS1259" s="182"/>
      <c r="CT1259" s="182"/>
      <c r="CU1259" s="182"/>
      <c r="CV1259" s="182"/>
      <c r="CW1259" s="182"/>
      <c r="CX1259" s="182"/>
      <c r="CY1259" s="182"/>
      <c r="CZ1259" s="182"/>
      <c r="DA1259" s="182"/>
      <c r="DB1259" s="182"/>
      <c r="DC1259" s="182"/>
      <c r="DD1259" s="182"/>
      <c r="DE1259" s="182"/>
    </row>
    <row r="1260" spans="1:109" s="177" customFormat="1" x14ac:dyDescent="0.2">
      <c r="A1260" s="177" t="s">
        <v>21</v>
      </c>
      <c r="B1260" s="89">
        <v>1674</v>
      </c>
      <c r="C1260" s="229">
        <v>1</v>
      </c>
      <c r="D1260" s="83">
        <v>44137</v>
      </c>
      <c r="E1260" s="82">
        <v>2019</v>
      </c>
      <c r="F1260" s="82"/>
      <c r="G1260" s="82"/>
      <c r="H1260" s="240">
        <v>5</v>
      </c>
      <c r="I1260" s="239">
        <v>8.6999999999999993</v>
      </c>
      <c r="J1260" s="239">
        <v>11.1</v>
      </c>
      <c r="K1260" s="89"/>
      <c r="N1260" s="46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182"/>
      <c r="BH1260" s="182"/>
      <c r="BI1260" s="182"/>
      <c r="BJ1260" s="182"/>
      <c r="BK1260" s="182"/>
      <c r="BL1260" s="182"/>
      <c r="BM1260" s="182"/>
      <c r="BN1260" s="182"/>
      <c r="BO1260" s="182"/>
      <c r="BP1260" s="182"/>
      <c r="BQ1260" s="182"/>
      <c r="BR1260" s="182"/>
      <c r="BS1260" s="182"/>
      <c r="BT1260" s="182"/>
      <c r="BU1260" s="182"/>
      <c r="BV1260" s="182"/>
      <c r="BW1260" s="182"/>
      <c r="BX1260" s="182"/>
      <c r="BY1260" s="182"/>
      <c r="BZ1260" s="182"/>
      <c r="CA1260" s="182"/>
      <c r="CB1260" s="182"/>
      <c r="CC1260" s="182"/>
      <c r="CD1260" s="182"/>
      <c r="CE1260" s="182"/>
      <c r="CF1260" s="182"/>
      <c r="CG1260" s="182"/>
      <c r="CH1260" s="182"/>
      <c r="CI1260" s="182"/>
      <c r="CJ1260" s="182"/>
      <c r="CK1260" s="182"/>
      <c r="CL1260" s="182"/>
      <c r="CM1260" s="182"/>
      <c r="CN1260" s="182"/>
      <c r="CO1260" s="182"/>
      <c r="CP1260" s="182"/>
      <c r="CQ1260" s="182"/>
      <c r="CR1260" s="182"/>
      <c r="CS1260" s="182"/>
      <c r="CT1260" s="182"/>
      <c r="CU1260" s="182"/>
      <c r="CV1260" s="182"/>
      <c r="CW1260" s="182"/>
      <c r="CX1260" s="182"/>
      <c r="CY1260" s="182"/>
      <c r="CZ1260" s="182"/>
      <c r="DA1260" s="182"/>
      <c r="DB1260" s="182"/>
      <c r="DC1260" s="182"/>
      <c r="DD1260" s="182"/>
      <c r="DE1260" s="182"/>
    </row>
    <row r="1261" spans="1:109" s="177" customFormat="1" x14ac:dyDescent="0.2">
      <c r="A1261" s="177" t="s">
        <v>21</v>
      </c>
      <c r="B1261" s="89">
        <v>1674</v>
      </c>
      <c r="C1261" s="229">
        <v>1</v>
      </c>
      <c r="D1261" s="83">
        <v>44137</v>
      </c>
      <c r="E1261" s="82">
        <v>2019</v>
      </c>
      <c r="F1261" s="82"/>
      <c r="G1261" s="82"/>
      <c r="H1261" s="240">
        <v>6</v>
      </c>
      <c r="I1261" s="239">
        <v>8.6999999999999993</v>
      </c>
      <c r="J1261" s="239">
        <v>11.1</v>
      </c>
      <c r="K1261" s="89"/>
      <c r="N1261" s="46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182"/>
      <c r="BH1261" s="182"/>
      <c r="BI1261" s="182"/>
      <c r="BJ1261" s="182"/>
      <c r="BK1261" s="182"/>
      <c r="BL1261" s="182"/>
      <c r="BM1261" s="182"/>
      <c r="BN1261" s="182"/>
      <c r="BO1261" s="182"/>
      <c r="BP1261" s="182"/>
      <c r="BQ1261" s="182"/>
      <c r="BR1261" s="182"/>
      <c r="BS1261" s="182"/>
      <c r="BT1261" s="182"/>
      <c r="BU1261" s="182"/>
      <c r="BV1261" s="182"/>
      <c r="BW1261" s="182"/>
      <c r="BX1261" s="182"/>
      <c r="BY1261" s="182"/>
      <c r="BZ1261" s="182"/>
      <c r="CA1261" s="182"/>
      <c r="CB1261" s="182"/>
      <c r="CC1261" s="182"/>
      <c r="CD1261" s="182"/>
      <c r="CE1261" s="182"/>
      <c r="CF1261" s="182"/>
      <c r="CG1261" s="182"/>
      <c r="CH1261" s="182"/>
      <c r="CI1261" s="182"/>
      <c r="CJ1261" s="182"/>
      <c r="CK1261" s="182"/>
      <c r="CL1261" s="182"/>
      <c r="CM1261" s="182"/>
      <c r="CN1261" s="182"/>
      <c r="CO1261" s="182"/>
      <c r="CP1261" s="182"/>
      <c r="CQ1261" s="182"/>
      <c r="CR1261" s="182"/>
      <c r="CS1261" s="182"/>
      <c r="CT1261" s="182"/>
      <c r="CU1261" s="182"/>
      <c r="CV1261" s="182"/>
      <c r="CW1261" s="182"/>
      <c r="CX1261" s="182"/>
      <c r="CY1261" s="182"/>
      <c r="CZ1261" s="182"/>
      <c r="DA1261" s="182"/>
      <c r="DB1261" s="182"/>
      <c r="DC1261" s="182"/>
      <c r="DD1261" s="182"/>
      <c r="DE1261" s="182"/>
    </row>
    <row r="1262" spans="1:109" s="177" customFormat="1" x14ac:dyDescent="0.2">
      <c r="A1262" s="177" t="s">
        <v>21</v>
      </c>
      <c r="B1262" s="89">
        <v>1674</v>
      </c>
      <c r="C1262" s="229">
        <v>1</v>
      </c>
      <c r="D1262" s="83">
        <v>44137</v>
      </c>
      <c r="E1262" s="82">
        <v>2019</v>
      </c>
      <c r="F1262" s="82"/>
      <c r="G1262" s="82"/>
      <c r="H1262" s="240">
        <v>7</v>
      </c>
      <c r="I1262" s="239">
        <v>8.6999999999999993</v>
      </c>
      <c r="J1262" s="239">
        <v>11.1</v>
      </c>
      <c r="K1262" s="89"/>
      <c r="N1262" s="46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182"/>
      <c r="BH1262" s="182"/>
      <c r="BI1262" s="182"/>
      <c r="BJ1262" s="182"/>
      <c r="BK1262" s="182"/>
      <c r="BL1262" s="182"/>
      <c r="BM1262" s="182"/>
      <c r="BN1262" s="182"/>
      <c r="BO1262" s="182"/>
      <c r="BP1262" s="182"/>
      <c r="BQ1262" s="182"/>
      <c r="BR1262" s="182"/>
      <c r="BS1262" s="182"/>
      <c r="BT1262" s="182"/>
      <c r="BU1262" s="182"/>
      <c r="BV1262" s="182"/>
      <c r="BW1262" s="182"/>
      <c r="BX1262" s="182"/>
      <c r="BY1262" s="182"/>
      <c r="BZ1262" s="182"/>
      <c r="CA1262" s="182"/>
      <c r="CB1262" s="182"/>
      <c r="CC1262" s="182"/>
      <c r="CD1262" s="182"/>
      <c r="CE1262" s="182"/>
      <c r="CF1262" s="182"/>
      <c r="CG1262" s="182"/>
      <c r="CH1262" s="182"/>
      <c r="CI1262" s="182"/>
      <c r="CJ1262" s="182"/>
      <c r="CK1262" s="182"/>
      <c r="CL1262" s="182"/>
      <c r="CM1262" s="182"/>
      <c r="CN1262" s="182"/>
      <c r="CO1262" s="182"/>
      <c r="CP1262" s="182"/>
      <c r="CQ1262" s="182"/>
      <c r="CR1262" s="182"/>
      <c r="CS1262" s="182"/>
      <c r="CT1262" s="182"/>
      <c r="CU1262" s="182"/>
      <c r="CV1262" s="182"/>
      <c r="CW1262" s="182"/>
      <c r="CX1262" s="182"/>
      <c r="CY1262" s="182"/>
      <c r="CZ1262" s="182"/>
      <c r="DA1262" s="182"/>
      <c r="DB1262" s="182"/>
      <c r="DC1262" s="182"/>
      <c r="DD1262" s="182"/>
      <c r="DE1262" s="182"/>
    </row>
    <row r="1263" spans="1:109" s="177" customFormat="1" x14ac:dyDescent="0.2">
      <c r="A1263" s="177" t="s">
        <v>21</v>
      </c>
      <c r="B1263" s="89">
        <v>1674</v>
      </c>
      <c r="C1263" s="229">
        <v>1</v>
      </c>
      <c r="D1263" s="83">
        <v>44137</v>
      </c>
      <c r="E1263" s="82">
        <v>2019</v>
      </c>
      <c r="F1263" s="82"/>
      <c r="G1263" s="82"/>
      <c r="H1263" s="240">
        <v>8</v>
      </c>
      <c r="I1263" s="239">
        <v>8.6999999999999993</v>
      </c>
      <c r="J1263" s="239">
        <v>11.1</v>
      </c>
      <c r="K1263" s="89"/>
      <c r="N1263" s="46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182"/>
      <c r="BH1263" s="182"/>
      <c r="BI1263" s="182"/>
      <c r="BJ1263" s="182"/>
      <c r="BK1263" s="182"/>
      <c r="BL1263" s="182"/>
      <c r="BM1263" s="182"/>
      <c r="BN1263" s="182"/>
      <c r="BO1263" s="182"/>
      <c r="BP1263" s="182"/>
      <c r="BQ1263" s="182"/>
      <c r="BR1263" s="182"/>
      <c r="BS1263" s="182"/>
      <c r="BT1263" s="182"/>
      <c r="BU1263" s="182"/>
      <c r="BV1263" s="182"/>
      <c r="BW1263" s="182"/>
      <c r="BX1263" s="182"/>
      <c r="BY1263" s="182"/>
      <c r="BZ1263" s="182"/>
      <c r="CA1263" s="182"/>
      <c r="CB1263" s="182"/>
      <c r="CC1263" s="182"/>
      <c r="CD1263" s="182"/>
      <c r="CE1263" s="182"/>
      <c r="CF1263" s="182"/>
      <c r="CG1263" s="182"/>
      <c r="CH1263" s="182"/>
      <c r="CI1263" s="182"/>
      <c r="CJ1263" s="182"/>
      <c r="CK1263" s="182"/>
      <c r="CL1263" s="182"/>
      <c r="CM1263" s="182"/>
      <c r="CN1263" s="182"/>
      <c r="CO1263" s="182"/>
      <c r="CP1263" s="182"/>
      <c r="CQ1263" s="182"/>
      <c r="CR1263" s="182"/>
      <c r="CS1263" s="182"/>
      <c r="CT1263" s="182"/>
      <c r="CU1263" s="182"/>
      <c r="CV1263" s="182"/>
      <c r="CW1263" s="182"/>
      <c r="CX1263" s="182"/>
      <c r="CY1263" s="182"/>
      <c r="CZ1263" s="182"/>
      <c r="DA1263" s="182"/>
      <c r="DB1263" s="182"/>
      <c r="DC1263" s="182"/>
      <c r="DD1263" s="182"/>
      <c r="DE1263" s="182"/>
    </row>
    <row r="1264" spans="1:109" s="177" customFormat="1" x14ac:dyDescent="0.2">
      <c r="A1264" s="177" t="s">
        <v>21</v>
      </c>
      <c r="B1264" s="89">
        <v>1674</v>
      </c>
      <c r="C1264" s="229">
        <v>1</v>
      </c>
      <c r="D1264" s="83">
        <v>44137</v>
      </c>
      <c r="E1264" s="82">
        <v>2019</v>
      </c>
      <c r="F1264" s="82"/>
      <c r="G1264" s="82"/>
      <c r="H1264" s="240">
        <v>9</v>
      </c>
      <c r="I1264" s="239">
        <v>8.6999999999999993</v>
      </c>
      <c r="J1264" s="239">
        <v>11.1</v>
      </c>
      <c r="K1264" s="89"/>
      <c r="N1264" s="46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182"/>
      <c r="BH1264" s="182"/>
      <c r="BI1264" s="182"/>
      <c r="BJ1264" s="182"/>
      <c r="BK1264" s="182"/>
      <c r="BL1264" s="182"/>
      <c r="BM1264" s="182"/>
      <c r="BN1264" s="182"/>
      <c r="BO1264" s="182"/>
      <c r="BP1264" s="182"/>
      <c r="BQ1264" s="182"/>
      <c r="BR1264" s="182"/>
      <c r="BS1264" s="182"/>
      <c r="BT1264" s="182"/>
      <c r="BU1264" s="182"/>
      <c r="BV1264" s="182"/>
      <c r="BW1264" s="182"/>
      <c r="BX1264" s="182"/>
      <c r="BY1264" s="182"/>
      <c r="BZ1264" s="182"/>
      <c r="CA1264" s="182"/>
      <c r="CB1264" s="182"/>
      <c r="CC1264" s="182"/>
      <c r="CD1264" s="182"/>
      <c r="CE1264" s="182"/>
      <c r="CF1264" s="182"/>
      <c r="CG1264" s="182"/>
      <c r="CH1264" s="182"/>
      <c r="CI1264" s="182"/>
      <c r="CJ1264" s="182"/>
      <c r="CK1264" s="182"/>
      <c r="CL1264" s="182"/>
      <c r="CM1264" s="182"/>
      <c r="CN1264" s="182"/>
      <c r="CO1264" s="182"/>
      <c r="CP1264" s="182"/>
      <c r="CQ1264" s="182"/>
      <c r="CR1264" s="182"/>
      <c r="CS1264" s="182"/>
      <c r="CT1264" s="182"/>
      <c r="CU1264" s="182"/>
      <c r="CV1264" s="182"/>
      <c r="CW1264" s="182"/>
      <c r="CX1264" s="182"/>
      <c r="CY1264" s="182"/>
      <c r="CZ1264" s="182"/>
      <c r="DA1264" s="182"/>
      <c r="DB1264" s="182"/>
      <c r="DC1264" s="182"/>
      <c r="DD1264" s="182"/>
      <c r="DE1264" s="182"/>
    </row>
    <row r="1265" spans="1:109" s="177" customFormat="1" x14ac:dyDescent="0.2">
      <c r="A1265" s="177" t="s">
        <v>21</v>
      </c>
      <c r="B1265" s="89">
        <v>1674</v>
      </c>
      <c r="C1265" s="229">
        <v>1</v>
      </c>
      <c r="D1265" s="83">
        <v>44137</v>
      </c>
      <c r="E1265" s="82">
        <v>2019</v>
      </c>
      <c r="F1265" s="82"/>
      <c r="G1265" s="82"/>
      <c r="H1265" s="240">
        <v>10</v>
      </c>
      <c r="I1265" s="239">
        <v>8.6999999999999993</v>
      </c>
      <c r="J1265" s="239">
        <v>11.1</v>
      </c>
      <c r="K1265" s="89"/>
      <c r="N1265" s="46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182"/>
      <c r="BH1265" s="182"/>
      <c r="BI1265" s="182"/>
      <c r="BJ1265" s="182"/>
      <c r="BK1265" s="182"/>
      <c r="BL1265" s="182"/>
      <c r="BM1265" s="182"/>
      <c r="BN1265" s="182"/>
      <c r="BO1265" s="182"/>
      <c r="BP1265" s="182"/>
      <c r="BQ1265" s="182"/>
      <c r="BR1265" s="182"/>
      <c r="BS1265" s="182"/>
      <c r="BT1265" s="182"/>
      <c r="BU1265" s="182"/>
      <c r="BV1265" s="182"/>
      <c r="BW1265" s="182"/>
      <c r="BX1265" s="182"/>
      <c r="BY1265" s="182"/>
      <c r="BZ1265" s="182"/>
      <c r="CA1265" s="182"/>
      <c r="CB1265" s="182"/>
      <c r="CC1265" s="182"/>
      <c r="CD1265" s="182"/>
      <c r="CE1265" s="182"/>
      <c r="CF1265" s="182"/>
      <c r="CG1265" s="182"/>
      <c r="CH1265" s="182"/>
      <c r="CI1265" s="182"/>
      <c r="CJ1265" s="182"/>
      <c r="CK1265" s="182"/>
      <c r="CL1265" s="182"/>
      <c r="CM1265" s="182"/>
      <c r="CN1265" s="182"/>
      <c r="CO1265" s="182"/>
      <c r="CP1265" s="182"/>
      <c r="CQ1265" s="182"/>
      <c r="CR1265" s="182"/>
      <c r="CS1265" s="182"/>
      <c r="CT1265" s="182"/>
      <c r="CU1265" s="182"/>
      <c r="CV1265" s="182"/>
      <c r="CW1265" s="182"/>
      <c r="CX1265" s="182"/>
      <c r="CY1265" s="182"/>
      <c r="CZ1265" s="182"/>
      <c r="DA1265" s="182"/>
      <c r="DB1265" s="182"/>
      <c r="DC1265" s="182"/>
      <c r="DD1265" s="182"/>
      <c r="DE1265" s="182"/>
    </row>
    <row r="1266" spans="1:109" s="177" customFormat="1" x14ac:dyDescent="0.2">
      <c r="A1266" s="177" t="s">
        <v>21</v>
      </c>
      <c r="B1266" s="89">
        <v>1674</v>
      </c>
      <c r="C1266" s="229">
        <v>1</v>
      </c>
      <c r="D1266" s="83">
        <v>44137</v>
      </c>
      <c r="E1266" s="82">
        <v>2019</v>
      </c>
      <c r="F1266" s="82"/>
      <c r="G1266" s="82"/>
      <c r="H1266" s="240">
        <v>11</v>
      </c>
      <c r="I1266" s="239">
        <v>8.6999999999999993</v>
      </c>
      <c r="J1266" s="239">
        <v>11</v>
      </c>
      <c r="K1266" s="89"/>
      <c r="N1266" s="46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182"/>
      <c r="BH1266" s="182"/>
      <c r="BI1266" s="182"/>
      <c r="BJ1266" s="182"/>
      <c r="BK1266" s="182"/>
      <c r="BL1266" s="182"/>
      <c r="BM1266" s="182"/>
      <c r="BN1266" s="182"/>
      <c r="BO1266" s="182"/>
      <c r="BP1266" s="182"/>
      <c r="BQ1266" s="182"/>
      <c r="BR1266" s="182"/>
      <c r="BS1266" s="182"/>
      <c r="BT1266" s="182"/>
      <c r="BU1266" s="182"/>
      <c r="BV1266" s="182"/>
      <c r="BW1266" s="182"/>
      <c r="BX1266" s="182"/>
      <c r="BY1266" s="182"/>
      <c r="BZ1266" s="182"/>
      <c r="CA1266" s="182"/>
      <c r="CB1266" s="182"/>
      <c r="CC1266" s="182"/>
      <c r="CD1266" s="182"/>
      <c r="CE1266" s="182"/>
      <c r="CF1266" s="182"/>
      <c r="CG1266" s="182"/>
      <c r="CH1266" s="182"/>
      <c r="CI1266" s="182"/>
      <c r="CJ1266" s="182"/>
      <c r="CK1266" s="182"/>
      <c r="CL1266" s="182"/>
      <c r="CM1266" s="182"/>
      <c r="CN1266" s="182"/>
      <c r="CO1266" s="182"/>
      <c r="CP1266" s="182"/>
      <c r="CQ1266" s="182"/>
      <c r="CR1266" s="182"/>
      <c r="CS1266" s="182"/>
      <c r="CT1266" s="182"/>
      <c r="CU1266" s="182"/>
      <c r="CV1266" s="182"/>
      <c r="CW1266" s="182"/>
      <c r="CX1266" s="182"/>
      <c r="CY1266" s="182"/>
      <c r="CZ1266" s="182"/>
      <c r="DA1266" s="182"/>
      <c r="DB1266" s="182"/>
      <c r="DC1266" s="182"/>
      <c r="DD1266" s="182"/>
      <c r="DE1266" s="182"/>
    </row>
    <row r="1267" spans="1:109" s="177" customFormat="1" x14ac:dyDescent="0.2">
      <c r="A1267" s="177" t="s">
        <v>21</v>
      </c>
      <c r="B1267" s="89">
        <v>1674</v>
      </c>
      <c r="C1267" s="229">
        <v>1</v>
      </c>
      <c r="D1267" s="83">
        <v>44137</v>
      </c>
      <c r="E1267" s="82">
        <v>2019</v>
      </c>
      <c r="F1267" s="82"/>
      <c r="G1267" s="82"/>
      <c r="H1267" s="240">
        <v>12</v>
      </c>
      <c r="I1267" s="239">
        <v>8.6999999999999993</v>
      </c>
      <c r="J1267" s="239">
        <v>11</v>
      </c>
      <c r="K1267" s="89"/>
      <c r="N1267" s="46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182"/>
      <c r="BH1267" s="182"/>
      <c r="BI1267" s="182"/>
      <c r="BJ1267" s="182"/>
      <c r="BK1267" s="182"/>
      <c r="BL1267" s="182"/>
      <c r="BM1267" s="182"/>
      <c r="BN1267" s="182"/>
      <c r="BO1267" s="182"/>
      <c r="BP1267" s="182"/>
      <c r="BQ1267" s="182"/>
      <c r="BR1267" s="182"/>
      <c r="BS1267" s="182"/>
      <c r="BT1267" s="182"/>
      <c r="BU1267" s="182"/>
      <c r="BV1267" s="182"/>
      <c r="BW1267" s="182"/>
      <c r="BX1267" s="182"/>
      <c r="BY1267" s="182"/>
      <c r="BZ1267" s="182"/>
      <c r="CA1267" s="182"/>
      <c r="CB1267" s="182"/>
      <c r="CC1267" s="182"/>
      <c r="CD1267" s="182"/>
      <c r="CE1267" s="182"/>
      <c r="CF1267" s="182"/>
      <c r="CG1267" s="182"/>
      <c r="CH1267" s="182"/>
      <c r="CI1267" s="182"/>
      <c r="CJ1267" s="182"/>
      <c r="CK1267" s="182"/>
      <c r="CL1267" s="182"/>
      <c r="CM1267" s="182"/>
      <c r="CN1267" s="182"/>
      <c r="CO1267" s="182"/>
      <c r="CP1267" s="182"/>
      <c r="CQ1267" s="182"/>
      <c r="CR1267" s="182"/>
      <c r="CS1267" s="182"/>
      <c r="CT1267" s="182"/>
      <c r="CU1267" s="182"/>
      <c r="CV1267" s="182"/>
      <c r="CW1267" s="182"/>
      <c r="CX1267" s="182"/>
      <c r="CY1267" s="182"/>
      <c r="CZ1267" s="182"/>
      <c r="DA1267" s="182"/>
      <c r="DB1267" s="182"/>
      <c r="DC1267" s="182"/>
      <c r="DD1267" s="182"/>
      <c r="DE1267" s="182"/>
    </row>
    <row r="1268" spans="1:109" s="177" customFormat="1" x14ac:dyDescent="0.2">
      <c r="A1268" s="177" t="s">
        <v>21</v>
      </c>
      <c r="B1268" s="89">
        <v>1674</v>
      </c>
      <c r="C1268" s="229">
        <v>1</v>
      </c>
      <c r="D1268" s="83">
        <v>44137</v>
      </c>
      <c r="E1268" s="82">
        <v>2019</v>
      </c>
      <c r="F1268" s="82"/>
      <c r="G1268" s="82"/>
      <c r="H1268" s="240">
        <v>13</v>
      </c>
      <c r="I1268" s="239">
        <v>8.6</v>
      </c>
      <c r="J1268" s="239">
        <v>11</v>
      </c>
      <c r="K1268" s="89"/>
      <c r="N1268" s="46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182"/>
      <c r="BH1268" s="182"/>
      <c r="BI1268" s="182"/>
      <c r="BJ1268" s="182"/>
      <c r="BK1268" s="182"/>
      <c r="BL1268" s="182"/>
      <c r="BM1268" s="182"/>
      <c r="BN1268" s="182"/>
      <c r="BO1268" s="182"/>
      <c r="BP1268" s="182"/>
      <c r="BQ1268" s="182"/>
      <c r="BR1268" s="182"/>
      <c r="BS1268" s="182"/>
      <c r="BT1268" s="182"/>
      <c r="BU1268" s="182"/>
      <c r="BV1268" s="182"/>
      <c r="BW1268" s="182"/>
      <c r="BX1268" s="182"/>
      <c r="BY1268" s="182"/>
      <c r="BZ1268" s="182"/>
      <c r="CA1268" s="182"/>
      <c r="CB1268" s="182"/>
      <c r="CC1268" s="182"/>
      <c r="CD1268" s="182"/>
      <c r="CE1268" s="182"/>
      <c r="CF1268" s="182"/>
      <c r="CG1268" s="182"/>
      <c r="CH1268" s="182"/>
      <c r="CI1268" s="182"/>
      <c r="CJ1268" s="182"/>
      <c r="CK1268" s="182"/>
      <c r="CL1268" s="182"/>
      <c r="CM1268" s="182"/>
      <c r="CN1268" s="182"/>
      <c r="CO1268" s="182"/>
      <c r="CP1268" s="182"/>
      <c r="CQ1268" s="182"/>
      <c r="CR1268" s="182"/>
      <c r="CS1268" s="182"/>
      <c r="CT1268" s="182"/>
      <c r="CU1268" s="182"/>
      <c r="CV1268" s="182"/>
      <c r="CW1268" s="182"/>
      <c r="CX1268" s="182"/>
      <c r="CY1268" s="182"/>
      <c r="CZ1268" s="182"/>
      <c r="DA1268" s="182"/>
      <c r="DB1268" s="182"/>
      <c r="DC1268" s="182"/>
      <c r="DD1268" s="182"/>
      <c r="DE1268" s="182"/>
    </row>
    <row r="1269" spans="1:109" x14ac:dyDescent="0.2">
      <c r="A1269" s="177" t="s">
        <v>21</v>
      </c>
      <c r="B1269" s="89">
        <v>1674</v>
      </c>
      <c r="C1269" s="229">
        <v>1</v>
      </c>
      <c r="D1269" s="230">
        <v>43940</v>
      </c>
      <c r="E1269" s="229">
        <v>2020</v>
      </c>
      <c r="F1269" s="229"/>
      <c r="G1269" s="229"/>
      <c r="H1269" s="240">
        <v>0</v>
      </c>
      <c r="I1269" s="239">
        <v>1.4</v>
      </c>
      <c r="J1269" s="239">
        <v>14</v>
      </c>
    </row>
    <row r="1270" spans="1:109" x14ac:dyDescent="0.2">
      <c r="A1270" s="177" t="s">
        <v>21</v>
      </c>
      <c r="B1270" s="89">
        <v>1674</v>
      </c>
      <c r="C1270" s="229">
        <v>1</v>
      </c>
      <c r="D1270" s="230">
        <v>43940</v>
      </c>
      <c r="E1270" s="229">
        <v>2020</v>
      </c>
      <c r="F1270" s="229"/>
      <c r="G1270" s="229"/>
      <c r="H1270" s="240">
        <v>1</v>
      </c>
      <c r="I1270" s="239">
        <v>1.4</v>
      </c>
      <c r="J1270" s="239">
        <v>14.3</v>
      </c>
    </row>
    <row r="1271" spans="1:109" x14ac:dyDescent="0.2">
      <c r="A1271" s="177" t="s">
        <v>21</v>
      </c>
      <c r="B1271" s="89">
        <v>1674</v>
      </c>
      <c r="C1271" s="229">
        <v>1</v>
      </c>
      <c r="D1271" s="230">
        <v>43940</v>
      </c>
      <c r="E1271" s="229">
        <v>2020</v>
      </c>
      <c r="F1271" s="229"/>
      <c r="G1271" s="229"/>
      <c r="H1271" s="240">
        <v>2</v>
      </c>
      <c r="I1271" s="239">
        <v>2.2000000000000002</v>
      </c>
      <c r="J1271" s="239">
        <v>12.9</v>
      </c>
    </row>
    <row r="1272" spans="1:109" x14ac:dyDescent="0.2">
      <c r="A1272" s="177" t="s">
        <v>21</v>
      </c>
      <c r="B1272" s="89">
        <v>1674</v>
      </c>
      <c r="C1272" s="229">
        <v>1</v>
      </c>
      <c r="D1272" s="230">
        <v>43940</v>
      </c>
      <c r="E1272" s="229">
        <v>2020</v>
      </c>
      <c r="F1272" s="229"/>
      <c r="G1272" s="229"/>
      <c r="H1272" s="240">
        <v>3</v>
      </c>
      <c r="I1272" s="239">
        <v>3.9</v>
      </c>
      <c r="J1272" s="239">
        <v>7.6</v>
      </c>
    </row>
    <row r="1273" spans="1:109" x14ac:dyDescent="0.2">
      <c r="A1273" s="177" t="s">
        <v>21</v>
      </c>
      <c r="B1273" s="89">
        <v>1674</v>
      </c>
      <c r="C1273" s="229">
        <v>1</v>
      </c>
      <c r="D1273" s="230">
        <v>43940</v>
      </c>
      <c r="E1273" s="229">
        <v>2020</v>
      </c>
      <c r="F1273" s="229"/>
      <c r="G1273" s="229"/>
      <c r="H1273" s="240">
        <v>4</v>
      </c>
      <c r="I1273" s="239">
        <v>4</v>
      </c>
      <c r="J1273" s="239">
        <v>7.3</v>
      </c>
    </row>
    <row r="1274" spans="1:109" x14ac:dyDescent="0.2">
      <c r="A1274" s="177" t="s">
        <v>21</v>
      </c>
      <c r="B1274" s="89">
        <v>1674</v>
      </c>
      <c r="C1274" s="229">
        <v>1</v>
      </c>
      <c r="D1274" s="230">
        <v>43940</v>
      </c>
      <c r="E1274" s="229">
        <v>2020</v>
      </c>
      <c r="F1274" s="229"/>
      <c r="G1274" s="229"/>
      <c r="H1274" s="240">
        <v>5</v>
      </c>
      <c r="I1274" s="239">
        <v>4</v>
      </c>
      <c r="J1274" s="239">
        <v>7.2</v>
      </c>
    </row>
    <row r="1275" spans="1:109" x14ac:dyDescent="0.2">
      <c r="A1275" s="177" t="s">
        <v>21</v>
      </c>
      <c r="B1275" s="89">
        <v>1674</v>
      </c>
      <c r="C1275" s="229">
        <v>1</v>
      </c>
      <c r="D1275" s="230">
        <v>43940</v>
      </c>
      <c r="E1275" s="229">
        <v>2020</v>
      </c>
      <c r="F1275" s="229"/>
      <c r="G1275" s="229"/>
      <c r="H1275" s="240">
        <v>6</v>
      </c>
      <c r="I1275" s="239">
        <v>4.0999999999999996</v>
      </c>
      <c r="J1275" s="239">
        <v>6.5</v>
      </c>
    </row>
    <row r="1276" spans="1:109" x14ac:dyDescent="0.2">
      <c r="A1276" s="177" t="s">
        <v>21</v>
      </c>
      <c r="B1276" s="89">
        <v>1674</v>
      </c>
      <c r="C1276" s="229">
        <v>1</v>
      </c>
      <c r="D1276" s="230">
        <v>43940</v>
      </c>
      <c r="E1276" s="229">
        <v>2020</v>
      </c>
      <c r="F1276" s="229"/>
      <c r="G1276" s="229"/>
      <c r="H1276" s="240">
        <v>7</v>
      </c>
      <c r="I1276" s="239">
        <v>4.4000000000000004</v>
      </c>
      <c r="J1276" s="239">
        <v>5</v>
      </c>
    </row>
    <row r="1277" spans="1:109" x14ac:dyDescent="0.2">
      <c r="A1277" s="177" t="s">
        <v>21</v>
      </c>
      <c r="B1277" s="89">
        <v>1674</v>
      </c>
      <c r="C1277" s="229">
        <v>1</v>
      </c>
      <c r="D1277" s="230">
        <v>43940</v>
      </c>
      <c r="E1277" s="229">
        <v>2020</v>
      </c>
      <c r="F1277" s="229"/>
      <c r="G1277" s="229"/>
      <c r="H1277" s="240">
        <v>8</v>
      </c>
      <c r="I1277" s="239">
        <v>4.5</v>
      </c>
      <c r="J1277" s="239">
        <v>3.9</v>
      </c>
    </row>
    <row r="1278" spans="1:109" x14ac:dyDescent="0.2">
      <c r="A1278" s="177" t="s">
        <v>21</v>
      </c>
      <c r="B1278" s="89">
        <v>1674</v>
      </c>
      <c r="C1278" s="229">
        <v>1</v>
      </c>
      <c r="D1278" s="230">
        <v>43940</v>
      </c>
      <c r="E1278" s="229">
        <v>2020</v>
      </c>
      <c r="F1278" s="229"/>
      <c r="G1278" s="229"/>
      <c r="H1278" s="240">
        <v>9</v>
      </c>
      <c r="I1278" s="239">
        <v>4.7</v>
      </c>
      <c r="J1278" s="239">
        <v>3.5</v>
      </c>
    </row>
    <row r="1279" spans="1:109" x14ac:dyDescent="0.2">
      <c r="A1279" s="177" t="s">
        <v>21</v>
      </c>
      <c r="B1279" s="89">
        <v>1674</v>
      </c>
      <c r="C1279" s="229">
        <v>1</v>
      </c>
      <c r="D1279" s="230">
        <v>43940</v>
      </c>
      <c r="E1279" s="229">
        <v>2020</v>
      </c>
      <c r="F1279" s="229"/>
      <c r="G1279" s="229"/>
      <c r="H1279" s="240">
        <v>10</v>
      </c>
      <c r="I1279" s="239">
        <v>4.8</v>
      </c>
      <c r="J1279" s="239">
        <v>3.8</v>
      </c>
    </row>
    <row r="1280" spans="1:109" x14ac:dyDescent="0.2">
      <c r="A1280" s="177" t="s">
        <v>21</v>
      </c>
      <c r="B1280" s="89">
        <v>1674</v>
      </c>
      <c r="C1280" s="229">
        <v>1</v>
      </c>
      <c r="D1280" s="230">
        <v>43940</v>
      </c>
      <c r="E1280" s="229">
        <v>2020</v>
      </c>
      <c r="F1280" s="229"/>
      <c r="G1280" s="229"/>
      <c r="H1280" s="240">
        <v>11</v>
      </c>
      <c r="I1280" s="239">
        <v>4.8</v>
      </c>
      <c r="J1280" s="239">
        <v>3.8</v>
      </c>
    </row>
    <row r="1281" spans="1:10" x14ac:dyDescent="0.2">
      <c r="A1281" s="177" t="s">
        <v>21</v>
      </c>
      <c r="B1281" s="89">
        <v>1674</v>
      </c>
      <c r="C1281" s="229">
        <v>1</v>
      </c>
      <c r="D1281" s="230">
        <v>43940</v>
      </c>
      <c r="E1281" s="229">
        <v>2020</v>
      </c>
      <c r="F1281" s="229"/>
      <c r="G1281" s="229"/>
      <c r="H1281" s="240">
        <v>12</v>
      </c>
      <c r="I1281" s="239">
        <v>4.8</v>
      </c>
      <c r="J1281" s="239">
        <v>3.8</v>
      </c>
    </row>
    <row r="1282" spans="1:10" x14ac:dyDescent="0.2">
      <c r="A1282" s="177" t="s">
        <v>21</v>
      </c>
      <c r="B1282" s="89">
        <v>1674</v>
      </c>
      <c r="C1282" s="229">
        <v>1</v>
      </c>
      <c r="D1282" s="230">
        <v>43940</v>
      </c>
      <c r="E1282" s="229">
        <v>2020</v>
      </c>
      <c r="F1282" s="229"/>
      <c r="G1282" s="229"/>
      <c r="H1282" s="240">
        <v>13</v>
      </c>
      <c r="I1282" s="239">
        <v>4.7</v>
      </c>
      <c r="J1282" s="239">
        <v>4.7</v>
      </c>
    </row>
    <row r="1283" spans="1:10" x14ac:dyDescent="0.2">
      <c r="A1283" s="177" t="s">
        <v>21</v>
      </c>
      <c r="B1283" s="89">
        <v>1674</v>
      </c>
      <c r="C1283" s="229">
        <v>1</v>
      </c>
      <c r="D1283" s="230">
        <v>43940</v>
      </c>
      <c r="E1283" s="229">
        <v>2020</v>
      </c>
      <c r="F1283" s="229"/>
      <c r="G1283" s="229"/>
      <c r="H1283" s="240" t="s">
        <v>301</v>
      </c>
      <c r="I1283" s="239">
        <v>4.8</v>
      </c>
      <c r="J1283" s="239">
        <v>2</v>
      </c>
    </row>
    <row r="1284" spans="1:10" x14ac:dyDescent="0.2">
      <c r="A1284" s="177" t="s">
        <v>21</v>
      </c>
      <c r="B1284" s="89">
        <v>1674</v>
      </c>
      <c r="C1284" s="229">
        <v>1</v>
      </c>
      <c r="D1284" s="230">
        <v>43958</v>
      </c>
      <c r="E1284" s="229">
        <v>2020</v>
      </c>
      <c r="F1284" s="229"/>
      <c r="G1284" s="229"/>
      <c r="H1284" s="240">
        <v>0</v>
      </c>
      <c r="I1284" s="239">
        <v>3.4</v>
      </c>
      <c r="J1284" s="239">
        <v>11.5</v>
      </c>
    </row>
    <row r="1285" spans="1:10" x14ac:dyDescent="0.2">
      <c r="A1285" s="177" t="s">
        <v>21</v>
      </c>
      <c r="B1285" s="89">
        <v>1674</v>
      </c>
      <c r="C1285" s="229">
        <v>1</v>
      </c>
      <c r="D1285" s="230">
        <v>43958</v>
      </c>
      <c r="E1285" s="229">
        <v>2020</v>
      </c>
      <c r="F1285" s="229"/>
      <c r="G1285" s="229"/>
      <c r="H1285" s="240">
        <v>1</v>
      </c>
      <c r="I1285" s="239">
        <v>3.4</v>
      </c>
      <c r="J1285" s="239">
        <v>11.4</v>
      </c>
    </row>
    <row r="1286" spans="1:10" x14ac:dyDescent="0.2">
      <c r="A1286" s="177" t="s">
        <v>21</v>
      </c>
      <c r="B1286" s="89">
        <v>1674</v>
      </c>
      <c r="C1286" s="229">
        <v>1</v>
      </c>
      <c r="D1286" s="230">
        <v>43958</v>
      </c>
      <c r="E1286" s="229">
        <v>2020</v>
      </c>
      <c r="F1286" s="229"/>
      <c r="G1286" s="229"/>
      <c r="H1286" s="240">
        <v>2</v>
      </c>
      <c r="I1286" s="239">
        <v>3.7</v>
      </c>
      <c r="J1286" s="239">
        <v>11.3</v>
      </c>
    </row>
    <row r="1287" spans="1:10" x14ac:dyDescent="0.2">
      <c r="A1287" s="177" t="s">
        <v>21</v>
      </c>
      <c r="B1287" s="89">
        <v>1674</v>
      </c>
      <c r="C1287" s="229">
        <v>1</v>
      </c>
      <c r="D1287" s="230">
        <v>43958</v>
      </c>
      <c r="E1287" s="229">
        <v>2020</v>
      </c>
      <c r="F1287" s="229"/>
      <c r="G1287" s="229"/>
      <c r="H1287" s="240">
        <v>3</v>
      </c>
      <c r="I1287" s="239">
        <v>4</v>
      </c>
      <c r="J1287" s="239">
        <v>11.2</v>
      </c>
    </row>
    <row r="1288" spans="1:10" x14ac:dyDescent="0.2">
      <c r="A1288" s="177" t="s">
        <v>21</v>
      </c>
      <c r="B1288" s="89">
        <v>1674</v>
      </c>
      <c r="C1288" s="229">
        <v>1</v>
      </c>
      <c r="D1288" s="230">
        <v>43958</v>
      </c>
      <c r="E1288" s="229">
        <v>2020</v>
      </c>
      <c r="F1288" s="229"/>
      <c r="G1288" s="229"/>
      <c r="H1288" s="240">
        <v>4</v>
      </c>
      <c r="I1288" s="239">
        <v>4</v>
      </c>
      <c r="J1288" s="239">
        <v>11.1</v>
      </c>
    </row>
    <row r="1289" spans="1:10" x14ac:dyDescent="0.2">
      <c r="A1289" s="177" t="s">
        <v>21</v>
      </c>
      <c r="B1289" s="89">
        <v>1674</v>
      </c>
      <c r="C1289" s="229">
        <v>1</v>
      </c>
      <c r="D1289" s="230">
        <v>43958</v>
      </c>
      <c r="E1289" s="229">
        <v>2020</v>
      </c>
      <c r="F1289" s="229"/>
      <c r="G1289" s="229"/>
      <c r="H1289" s="240">
        <v>5</v>
      </c>
      <c r="I1289" s="239">
        <v>4.0999999999999996</v>
      </c>
      <c r="J1289" s="239">
        <v>11.1</v>
      </c>
    </row>
    <row r="1290" spans="1:10" x14ac:dyDescent="0.2">
      <c r="A1290" s="177" t="s">
        <v>21</v>
      </c>
      <c r="B1290" s="89">
        <v>1674</v>
      </c>
      <c r="C1290" s="229">
        <v>1</v>
      </c>
      <c r="D1290" s="230">
        <v>43958</v>
      </c>
      <c r="E1290" s="229">
        <v>2020</v>
      </c>
      <c r="F1290" s="229"/>
      <c r="G1290" s="229"/>
      <c r="H1290" s="240">
        <v>6</v>
      </c>
      <c r="I1290" s="239">
        <v>4</v>
      </c>
      <c r="J1290" s="239">
        <v>11.1</v>
      </c>
    </row>
    <row r="1291" spans="1:10" x14ac:dyDescent="0.2">
      <c r="A1291" s="177" t="s">
        <v>21</v>
      </c>
      <c r="B1291" s="89">
        <v>1674</v>
      </c>
      <c r="C1291" s="229">
        <v>1</v>
      </c>
      <c r="D1291" s="230">
        <v>43958</v>
      </c>
      <c r="E1291" s="229">
        <v>2020</v>
      </c>
      <c r="F1291" s="229"/>
      <c r="G1291" s="229"/>
      <c r="H1291" s="240">
        <v>7</v>
      </c>
      <c r="I1291" s="239">
        <v>4</v>
      </c>
      <c r="J1291" s="239">
        <v>11</v>
      </c>
    </row>
    <row r="1292" spans="1:10" x14ac:dyDescent="0.2">
      <c r="A1292" s="177" t="s">
        <v>21</v>
      </c>
      <c r="B1292" s="89">
        <v>1674</v>
      </c>
      <c r="C1292" s="229">
        <v>1</v>
      </c>
      <c r="D1292" s="230">
        <v>43958</v>
      </c>
      <c r="E1292" s="229">
        <v>2020</v>
      </c>
      <c r="F1292" s="229"/>
      <c r="G1292" s="229"/>
      <c r="H1292" s="240">
        <v>8</v>
      </c>
      <c r="I1292" s="239">
        <v>4</v>
      </c>
      <c r="J1292" s="239">
        <v>10.9</v>
      </c>
    </row>
    <row r="1293" spans="1:10" x14ac:dyDescent="0.2">
      <c r="A1293" s="177" t="s">
        <v>21</v>
      </c>
      <c r="B1293" s="89">
        <v>1674</v>
      </c>
      <c r="C1293" s="229">
        <v>1</v>
      </c>
      <c r="D1293" s="230">
        <v>43958</v>
      </c>
      <c r="E1293" s="229">
        <v>2020</v>
      </c>
      <c r="F1293" s="229"/>
      <c r="G1293" s="229"/>
      <c r="H1293" s="240">
        <v>9</v>
      </c>
      <c r="I1293" s="239">
        <v>3.9</v>
      </c>
      <c r="J1293" s="239">
        <v>10.7</v>
      </c>
    </row>
    <row r="1294" spans="1:10" x14ac:dyDescent="0.2">
      <c r="A1294" s="177" t="s">
        <v>21</v>
      </c>
      <c r="B1294" s="89">
        <v>1674</v>
      </c>
      <c r="C1294" s="229">
        <v>1</v>
      </c>
      <c r="D1294" s="230">
        <v>43958</v>
      </c>
      <c r="E1294" s="229">
        <v>2020</v>
      </c>
      <c r="F1294" s="229"/>
      <c r="G1294" s="229"/>
      <c r="H1294" s="240">
        <v>10</v>
      </c>
      <c r="I1294" s="239">
        <v>3.8</v>
      </c>
      <c r="J1294" s="239">
        <v>10.6</v>
      </c>
    </row>
    <row r="1295" spans="1:10" x14ac:dyDescent="0.2">
      <c r="A1295" s="177" t="s">
        <v>21</v>
      </c>
      <c r="B1295" s="89">
        <v>1674</v>
      </c>
      <c r="C1295" s="229">
        <v>1</v>
      </c>
      <c r="D1295" s="230">
        <v>43958</v>
      </c>
      <c r="E1295" s="229">
        <v>2020</v>
      </c>
      <c r="F1295" s="229"/>
      <c r="G1295" s="229"/>
      <c r="H1295" s="240">
        <v>11</v>
      </c>
      <c r="I1295" s="239">
        <v>3.8</v>
      </c>
      <c r="J1295" s="239">
        <v>10.5</v>
      </c>
    </row>
    <row r="1296" spans="1:10" x14ac:dyDescent="0.2">
      <c r="A1296" s="177" t="s">
        <v>21</v>
      </c>
      <c r="B1296" s="89">
        <v>1674</v>
      </c>
      <c r="C1296" s="229">
        <v>1</v>
      </c>
      <c r="D1296" s="230">
        <v>43958</v>
      </c>
      <c r="E1296" s="229">
        <v>2020</v>
      </c>
      <c r="F1296" s="229"/>
      <c r="G1296" s="229"/>
      <c r="H1296" s="240">
        <v>12</v>
      </c>
      <c r="I1296" s="239">
        <v>3.8</v>
      </c>
      <c r="J1296" s="239">
        <v>10.5</v>
      </c>
    </row>
    <row r="1297" spans="1:10" x14ac:dyDescent="0.2">
      <c r="A1297" s="177" t="s">
        <v>21</v>
      </c>
      <c r="B1297" s="89">
        <v>1674</v>
      </c>
      <c r="C1297" s="229">
        <v>1</v>
      </c>
      <c r="D1297" s="230">
        <v>43958</v>
      </c>
      <c r="E1297" s="229">
        <v>2020</v>
      </c>
      <c r="F1297" s="229"/>
      <c r="G1297" s="229"/>
      <c r="H1297" s="240">
        <v>13</v>
      </c>
      <c r="I1297" s="239">
        <v>3.9</v>
      </c>
      <c r="J1297" s="239">
        <v>10.3</v>
      </c>
    </row>
    <row r="1298" spans="1:10" x14ac:dyDescent="0.2">
      <c r="A1298" s="177" t="s">
        <v>21</v>
      </c>
      <c r="B1298" s="89">
        <v>1674</v>
      </c>
      <c r="C1298" s="229">
        <v>1</v>
      </c>
      <c r="D1298" s="230">
        <v>43958</v>
      </c>
      <c r="E1298" s="229">
        <v>2020</v>
      </c>
      <c r="F1298" s="229"/>
      <c r="G1298" s="229"/>
      <c r="H1298" s="240" t="s">
        <v>301</v>
      </c>
      <c r="I1298" s="239">
        <v>3.9</v>
      </c>
      <c r="J1298" s="239">
        <v>10.199999999999999</v>
      </c>
    </row>
    <row r="1299" spans="1:10" x14ac:dyDescent="0.2">
      <c r="A1299" s="177" t="s">
        <v>21</v>
      </c>
      <c r="B1299" s="89">
        <v>1674</v>
      </c>
      <c r="C1299" s="229">
        <v>1</v>
      </c>
      <c r="D1299" s="230">
        <v>43971</v>
      </c>
      <c r="E1299" s="229">
        <v>2020</v>
      </c>
      <c r="F1299" s="229"/>
      <c r="G1299" s="229"/>
      <c r="H1299" s="240">
        <v>0</v>
      </c>
      <c r="I1299" s="239">
        <v>11.8</v>
      </c>
      <c r="J1299" s="239">
        <v>12.1</v>
      </c>
    </row>
    <row r="1300" spans="1:10" x14ac:dyDescent="0.2">
      <c r="A1300" s="177" t="s">
        <v>21</v>
      </c>
      <c r="B1300" s="89">
        <v>1674</v>
      </c>
      <c r="C1300" s="229">
        <v>1</v>
      </c>
      <c r="D1300" s="230">
        <v>43971</v>
      </c>
      <c r="E1300" s="229">
        <v>2020</v>
      </c>
      <c r="F1300" s="229"/>
      <c r="G1300" s="229"/>
      <c r="H1300" s="240">
        <v>1</v>
      </c>
      <c r="I1300" s="239">
        <v>10.9</v>
      </c>
      <c r="J1300" s="239">
        <v>12.2</v>
      </c>
    </row>
    <row r="1301" spans="1:10" x14ac:dyDescent="0.2">
      <c r="A1301" s="177" t="s">
        <v>21</v>
      </c>
      <c r="B1301" s="89">
        <v>1674</v>
      </c>
      <c r="C1301" s="229">
        <v>1</v>
      </c>
      <c r="D1301" s="230">
        <v>43971</v>
      </c>
      <c r="E1301" s="229">
        <v>2020</v>
      </c>
      <c r="F1301" s="229"/>
      <c r="G1301" s="229"/>
      <c r="H1301" s="240">
        <v>2</v>
      </c>
      <c r="I1301" s="239">
        <v>10.1</v>
      </c>
      <c r="J1301" s="239">
        <v>12.2</v>
      </c>
    </row>
    <row r="1302" spans="1:10" x14ac:dyDescent="0.2">
      <c r="A1302" s="177" t="s">
        <v>21</v>
      </c>
      <c r="B1302" s="89">
        <v>1674</v>
      </c>
      <c r="C1302" s="229">
        <v>1</v>
      </c>
      <c r="D1302" s="230">
        <v>43971</v>
      </c>
      <c r="E1302" s="229">
        <v>2020</v>
      </c>
      <c r="F1302" s="229"/>
      <c r="G1302" s="229"/>
      <c r="H1302" s="240">
        <v>3</v>
      </c>
      <c r="I1302" s="239">
        <v>9.9</v>
      </c>
      <c r="J1302" s="239">
        <v>12.1</v>
      </c>
    </row>
    <row r="1303" spans="1:10" x14ac:dyDescent="0.2">
      <c r="A1303" s="177" t="s">
        <v>21</v>
      </c>
      <c r="B1303" s="89">
        <v>1674</v>
      </c>
      <c r="C1303" s="229">
        <v>1</v>
      </c>
      <c r="D1303" s="230">
        <v>43971</v>
      </c>
      <c r="E1303" s="229">
        <v>2020</v>
      </c>
      <c r="F1303" s="229"/>
      <c r="G1303" s="229"/>
      <c r="H1303" s="240">
        <v>4</v>
      </c>
      <c r="I1303" s="239">
        <v>9.6999999999999993</v>
      </c>
      <c r="J1303" s="239">
        <v>12.1</v>
      </c>
    </row>
    <row r="1304" spans="1:10" x14ac:dyDescent="0.2">
      <c r="A1304" s="177" t="s">
        <v>21</v>
      </c>
      <c r="B1304" s="89">
        <v>1674</v>
      </c>
      <c r="C1304" s="229">
        <v>1</v>
      </c>
      <c r="D1304" s="230">
        <v>43971</v>
      </c>
      <c r="E1304" s="229">
        <v>2020</v>
      </c>
      <c r="F1304" s="229"/>
      <c r="G1304" s="229"/>
      <c r="H1304" s="240">
        <v>5</v>
      </c>
      <c r="I1304" s="239">
        <v>9.4</v>
      </c>
      <c r="J1304" s="239">
        <v>12.1</v>
      </c>
    </row>
    <row r="1305" spans="1:10" x14ac:dyDescent="0.2">
      <c r="A1305" s="177" t="s">
        <v>21</v>
      </c>
      <c r="B1305" s="89">
        <v>1674</v>
      </c>
      <c r="C1305" s="229">
        <v>1</v>
      </c>
      <c r="D1305" s="230">
        <v>43971</v>
      </c>
      <c r="E1305" s="229">
        <v>2020</v>
      </c>
      <c r="F1305" s="229"/>
      <c r="G1305" s="229"/>
      <c r="H1305" s="240">
        <v>6</v>
      </c>
      <c r="I1305" s="239">
        <v>9</v>
      </c>
      <c r="J1305" s="239">
        <v>12.1</v>
      </c>
    </row>
    <row r="1306" spans="1:10" x14ac:dyDescent="0.2">
      <c r="A1306" s="177" t="s">
        <v>21</v>
      </c>
      <c r="B1306" s="89">
        <v>1674</v>
      </c>
      <c r="C1306" s="229">
        <v>1</v>
      </c>
      <c r="D1306" s="230">
        <v>43971</v>
      </c>
      <c r="E1306" s="229">
        <v>2020</v>
      </c>
      <c r="F1306" s="229"/>
      <c r="G1306" s="229"/>
      <c r="H1306" s="240">
        <v>7</v>
      </c>
      <c r="I1306" s="239">
        <v>8.4</v>
      </c>
      <c r="J1306" s="239">
        <v>12</v>
      </c>
    </row>
    <row r="1307" spans="1:10" x14ac:dyDescent="0.2">
      <c r="A1307" t="s">
        <v>21</v>
      </c>
      <c r="B1307" s="89">
        <v>1674</v>
      </c>
      <c r="C1307" s="229">
        <v>1</v>
      </c>
      <c r="D1307" s="230">
        <v>43971</v>
      </c>
      <c r="E1307" s="229">
        <v>2020</v>
      </c>
      <c r="F1307" s="229"/>
      <c r="G1307" s="229"/>
      <c r="H1307" s="240">
        <v>8</v>
      </c>
      <c r="I1307" s="239">
        <v>8.1999999999999993</v>
      </c>
      <c r="J1307" s="239">
        <v>12</v>
      </c>
    </row>
    <row r="1308" spans="1:10" x14ac:dyDescent="0.2">
      <c r="A1308" t="s">
        <v>21</v>
      </c>
      <c r="B1308" s="89">
        <v>1674</v>
      </c>
      <c r="C1308" s="229">
        <v>1</v>
      </c>
      <c r="D1308" s="230">
        <v>43971</v>
      </c>
      <c r="E1308" s="229">
        <v>2020</v>
      </c>
      <c r="F1308" s="229"/>
      <c r="G1308" s="229"/>
      <c r="H1308" s="240">
        <v>9</v>
      </c>
      <c r="I1308" s="239">
        <v>8.1</v>
      </c>
      <c r="J1308" s="239">
        <v>12</v>
      </c>
    </row>
    <row r="1309" spans="1:10" x14ac:dyDescent="0.2">
      <c r="A1309" t="s">
        <v>21</v>
      </c>
      <c r="B1309" s="89">
        <v>1674</v>
      </c>
      <c r="C1309" s="229">
        <v>1</v>
      </c>
      <c r="D1309" s="230">
        <v>43971</v>
      </c>
      <c r="E1309" s="229">
        <v>2020</v>
      </c>
      <c r="F1309" s="229"/>
      <c r="G1309" s="229"/>
      <c r="H1309" s="240">
        <v>10</v>
      </c>
      <c r="I1309" s="239">
        <v>7.9</v>
      </c>
      <c r="J1309" s="239">
        <v>12</v>
      </c>
    </row>
    <row r="1310" spans="1:10" x14ac:dyDescent="0.2">
      <c r="A1310" t="s">
        <v>21</v>
      </c>
      <c r="B1310" s="89">
        <v>1674</v>
      </c>
      <c r="C1310" s="229">
        <v>1</v>
      </c>
      <c r="D1310" s="230">
        <v>43971</v>
      </c>
      <c r="E1310" s="229">
        <v>2020</v>
      </c>
      <c r="F1310" s="229"/>
      <c r="G1310" s="229"/>
      <c r="H1310" s="240">
        <v>11</v>
      </c>
      <c r="I1310" s="239">
        <v>7.9</v>
      </c>
      <c r="J1310" s="239">
        <v>11.9</v>
      </c>
    </row>
    <row r="1311" spans="1:10" x14ac:dyDescent="0.2">
      <c r="A1311" t="s">
        <v>21</v>
      </c>
      <c r="B1311" s="89">
        <v>1674</v>
      </c>
      <c r="C1311" s="229">
        <v>1</v>
      </c>
      <c r="D1311" s="230">
        <v>43971</v>
      </c>
      <c r="E1311" s="229">
        <v>2020</v>
      </c>
      <c r="F1311" s="229"/>
      <c r="G1311" s="229"/>
      <c r="H1311" s="240">
        <v>12</v>
      </c>
      <c r="I1311" s="239">
        <v>7.7</v>
      </c>
      <c r="J1311" s="239">
        <v>11.6</v>
      </c>
    </row>
    <row r="1312" spans="1:10" x14ac:dyDescent="0.2">
      <c r="A1312" t="s">
        <v>21</v>
      </c>
      <c r="B1312" s="89">
        <v>1674</v>
      </c>
      <c r="C1312" s="229">
        <v>1</v>
      </c>
      <c r="D1312" s="230">
        <v>43971</v>
      </c>
      <c r="E1312" s="229">
        <v>2020</v>
      </c>
      <c r="F1312" s="229"/>
      <c r="G1312" s="229"/>
      <c r="H1312" s="240">
        <v>13</v>
      </c>
      <c r="I1312" s="239">
        <v>7.5</v>
      </c>
      <c r="J1312" s="239">
        <v>11.4</v>
      </c>
    </row>
    <row r="1313" spans="1:10" x14ac:dyDescent="0.2">
      <c r="A1313" t="s">
        <v>21</v>
      </c>
      <c r="B1313" s="89">
        <v>1674</v>
      </c>
      <c r="C1313" s="229">
        <v>1</v>
      </c>
      <c r="D1313" s="230">
        <v>43971</v>
      </c>
      <c r="E1313" s="229">
        <v>2020</v>
      </c>
      <c r="F1313" s="229"/>
      <c r="G1313" s="229"/>
      <c r="H1313" s="240" t="s">
        <v>301</v>
      </c>
      <c r="I1313" s="239">
        <v>7.3</v>
      </c>
      <c r="J1313" s="239">
        <v>10.3</v>
      </c>
    </row>
    <row r="1314" spans="1:10" x14ac:dyDescent="0.2">
      <c r="A1314" t="s">
        <v>21</v>
      </c>
      <c r="B1314" s="89">
        <v>1674</v>
      </c>
      <c r="C1314" s="229">
        <v>1</v>
      </c>
      <c r="D1314" s="230">
        <v>43985</v>
      </c>
      <c r="E1314" s="229">
        <v>2020</v>
      </c>
      <c r="F1314" s="229"/>
      <c r="G1314" s="229"/>
      <c r="H1314" s="240">
        <v>0</v>
      </c>
      <c r="I1314" s="239">
        <v>15.3</v>
      </c>
      <c r="J1314" s="239">
        <v>10</v>
      </c>
    </row>
    <row r="1315" spans="1:10" x14ac:dyDescent="0.2">
      <c r="A1315" t="s">
        <v>21</v>
      </c>
      <c r="B1315" s="89">
        <v>1674</v>
      </c>
      <c r="C1315" s="229">
        <v>1</v>
      </c>
      <c r="D1315" s="230">
        <v>43985</v>
      </c>
      <c r="E1315" s="229">
        <v>2020</v>
      </c>
      <c r="F1315" s="229"/>
      <c r="G1315" s="229"/>
      <c r="H1315" s="240">
        <v>1</v>
      </c>
      <c r="I1315" s="239">
        <v>15.3</v>
      </c>
      <c r="J1315" s="239">
        <v>10.1</v>
      </c>
    </row>
    <row r="1316" spans="1:10" x14ac:dyDescent="0.2">
      <c r="A1316" t="s">
        <v>21</v>
      </c>
      <c r="B1316" s="89">
        <v>1674</v>
      </c>
      <c r="C1316" s="229">
        <v>1</v>
      </c>
      <c r="D1316" s="230">
        <v>43985</v>
      </c>
      <c r="E1316" s="229">
        <v>2020</v>
      </c>
      <c r="F1316" s="229"/>
      <c r="G1316" s="229"/>
      <c r="H1316" s="240">
        <v>2</v>
      </c>
      <c r="I1316" s="239">
        <v>15.2</v>
      </c>
      <c r="J1316" s="239">
        <v>10.1</v>
      </c>
    </row>
    <row r="1317" spans="1:10" x14ac:dyDescent="0.2">
      <c r="A1317" t="s">
        <v>21</v>
      </c>
      <c r="B1317" s="89">
        <v>1674</v>
      </c>
      <c r="C1317" s="229">
        <v>1</v>
      </c>
      <c r="D1317" s="230">
        <v>43985</v>
      </c>
      <c r="E1317" s="229">
        <v>2020</v>
      </c>
      <c r="F1317" s="229"/>
      <c r="G1317" s="229"/>
      <c r="H1317" s="240">
        <v>3</v>
      </c>
      <c r="I1317" s="239">
        <v>15.2</v>
      </c>
      <c r="J1317" s="239">
        <v>10</v>
      </c>
    </row>
    <row r="1318" spans="1:10" x14ac:dyDescent="0.2">
      <c r="A1318" t="s">
        <v>21</v>
      </c>
      <c r="B1318" s="89">
        <v>1674</v>
      </c>
      <c r="C1318" s="229">
        <v>1</v>
      </c>
      <c r="D1318" s="230">
        <v>43985</v>
      </c>
      <c r="E1318" s="229">
        <v>2020</v>
      </c>
      <c r="F1318" s="229"/>
      <c r="G1318" s="229"/>
      <c r="H1318" s="240">
        <v>4</v>
      </c>
      <c r="I1318" s="239">
        <v>15.2</v>
      </c>
      <c r="J1318" s="239">
        <v>10</v>
      </c>
    </row>
    <row r="1319" spans="1:10" x14ac:dyDescent="0.2">
      <c r="A1319" t="s">
        <v>21</v>
      </c>
      <c r="B1319" s="89">
        <v>1674</v>
      </c>
      <c r="C1319" s="229">
        <v>1</v>
      </c>
      <c r="D1319" s="230">
        <v>43985</v>
      </c>
      <c r="E1319" s="229">
        <v>2020</v>
      </c>
      <c r="F1319" s="229"/>
      <c r="G1319" s="229"/>
      <c r="H1319" s="240">
        <v>5</v>
      </c>
      <c r="I1319" s="239">
        <v>15.2</v>
      </c>
      <c r="J1319" s="239">
        <v>10</v>
      </c>
    </row>
    <row r="1320" spans="1:10" x14ac:dyDescent="0.2">
      <c r="A1320" t="s">
        <v>21</v>
      </c>
      <c r="B1320" s="89">
        <v>1674</v>
      </c>
      <c r="C1320" s="229">
        <v>1</v>
      </c>
      <c r="D1320" s="230">
        <v>43985</v>
      </c>
      <c r="E1320" s="229">
        <v>2020</v>
      </c>
      <c r="F1320" s="229"/>
      <c r="G1320" s="229"/>
      <c r="H1320" s="240">
        <v>6</v>
      </c>
      <c r="I1320" s="239">
        <v>15.2</v>
      </c>
      <c r="J1320" s="239">
        <v>10</v>
      </c>
    </row>
    <row r="1321" spans="1:10" x14ac:dyDescent="0.2">
      <c r="A1321" t="s">
        <v>21</v>
      </c>
      <c r="B1321" s="89">
        <v>1674</v>
      </c>
      <c r="C1321" s="229">
        <v>1</v>
      </c>
      <c r="D1321" s="230">
        <v>43985</v>
      </c>
      <c r="E1321" s="229">
        <v>2020</v>
      </c>
      <c r="F1321" s="229"/>
      <c r="G1321" s="229"/>
      <c r="H1321" s="240">
        <v>7</v>
      </c>
      <c r="I1321" s="239">
        <v>15.2</v>
      </c>
      <c r="J1321" s="239">
        <v>10</v>
      </c>
    </row>
    <row r="1322" spans="1:10" x14ac:dyDescent="0.2">
      <c r="A1322" t="s">
        <v>21</v>
      </c>
      <c r="B1322" s="89">
        <v>1674</v>
      </c>
      <c r="C1322" s="229">
        <v>1</v>
      </c>
      <c r="D1322" s="230">
        <v>43985</v>
      </c>
      <c r="E1322" s="229">
        <v>2020</v>
      </c>
      <c r="F1322" s="229"/>
      <c r="G1322" s="229"/>
      <c r="H1322" s="240">
        <v>8</v>
      </c>
      <c r="I1322" s="239">
        <v>15.2</v>
      </c>
      <c r="J1322" s="239">
        <v>10</v>
      </c>
    </row>
    <row r="1323" spans="1:10" x14ac:dyDescent="0.2">
      <c r="A1323" t="s">
        <v>21</v>
      </c>
      <c r="B1323" s="89">
        <v>1674</v>
      </c>
      <c r="C1323" s="229">
        <v>1</v>
      </c>
      <c r="D1323" s="230">
        <v>43985</v>
      </c>
      <c r="E1323" s="229">
        <v>2020</v>
      </c>
      <c r="F1323" s="229"/>
      <c r="G1323" s="229"/>
      <c r="H1323" s="240">
        <v>9</v>
      </c>
      <c r="I1323" s="239">
        <v>15.2</v>
      </c>
      <c r="J1323" s="239">
        <v>10</v>
      </c>
    </row>
    <row r="1324" spans="1:10" x14ac:dyDescent="0.2">
      <c r="A1324" t="s">
        <v>21</v>
      </c>
      <c r="B1324" s="89">
        <v>1674</v>
      </c>
      <c r="C1324" s="229">
        <v>1</v>
      </c>
      <c r="D1324" s="230">
        <v>43985</v>
      </c>
      <c r="E1324" s="229">
        <v>2020</v>
      </c>
      <c r="F1324" s="229"/>
      <c r="G1324" s="229"/>
      <c r="H1324" s="240">
        <v>10</v>
      </c>
      <c r="I1324" s="239">
        <v>15.1</v>
      </c>
      <c r="J1324" s="239">
        <v>9.9</v>
      </c>
    </row>
    <row r="1325" spans="1:10" x14ac:dyDescent="0.2">
      <c r="A1325" t="s">
        <v>21</v>
      </c>
      <c r="B1325" s="89">
        <v>1674</v>
      </c>
      <c r="C1325" s="229">
        <v>1</v>
      </c>
      <c r="D1325" s="230">
        <v>43985</v>
      </c>
      <c r="E1325" s="229">
        <v>2020</v>
      </c>
      <c r="F1325" s="229"/>
      <c r="G1325" s="229"/>
      <c r="H1325" s="240">
        <v>11</v>
      </c>
      <c r="I1325" s="239">
        <v>12.7</v>
      </c>
      <c r="J1325" s="239">
        <v>8.8000000000000007</v>
      </c>
    </row>
    <row r="1326" spans="1:10" x14ac:dyDescent="0.2">
      <c r="A1326" t="s">
        <v>21</v>
      </c>
      <c r="B1326" s="89">
        <v>1674</v>
      </c>
      <c r="C1326" s="229">
        <v>1</v>
      </c>
      <c r="D1326" s="230">
        <v>43985</v>
      </c>
      <c r="E1326" s="229">
        <v>2020</v>
      </c>
      <c r="F1326" s="229"/>
      <c r="G1326" s="229"/>
      <c r="H1326" s="240">
        <v>12</v>
      </c>
      <c r="I1326" s="239">
        <v>9.9</v>
      </c>
      <c r="J1326" s="239">
        <v>8.1999999999999993</v>
      </c>
    </row>
    <row r="1327" spans="1:10" x14ac:dyDescent="0.2">
      <c r="A1327" t="s">
        <v>21</v>
      </c>
      <c r="B1327" s="89">
        <v>1674</v>
      </c>
      <c r="C1327" s="229">
        <v>1</v>
      </c>
      <c r="D1327" s="230">
        <v>43985</v>
      </c>
      <c r="E1327" s="229">
        <v>2020</v>
      </c>
      <c r="F1327" s="229"/>
      <c r="G1327" s="229"/>
      <c r="H1327" s="240">
        <v>13</v>
      </c>
      <c r="I1327" s="239">
        <v>9.1</v>
      </c>
      <c r="J1327" s="239">
        <v>3.8</v>
      </c>
    </row>
    <row r="1328" spans="1:10" x14ac:dyDescent="0.2">
      <c r="A1328" t="s">
        <v>21</v>
      </c>
      <c r="B1328" s="89">
        <v>1674</v>
      </c>
      <c r="C1328" s="229">
        <v>1</v>
      </c>
      <c r="D1328" s="230">
        <v>43985</v>
      </c>
      <c r="E1328" s="229">
        <v>2020</v>
      </c>
      <c r="F1328" s="229"/>
      <c r="G1328" s="229"/>
      <c r="H1328" s="240" t="s">
        <v>301</v>
      </c>
      <c r="I1328" s="239">
        <v>9</v>
      </c>
      <c r="J1328" s="239">
        <v>0.6</v>
      </c>
    </row>
    <row r="1329" spans="1:10" x14ac:dyDescent="0.2">
      <c r="A1329" t="s">
        <v>21</v>
      </c>
      <c r="B1329" s="89">
        <v>1674</v>
      </c>
      <c r="C1329" s="229">
        <v>1</v>
      </c>
      <c r="D1329" s="230">
        <v>44001</v>
      </c>
      <c r="E1329" s="229">
        <v>2020</v>
      </c>
      <c r="F1329" s="229"/>
      <c r="G1329" s="229"/>
      <c r="H1329" s="156">
        <v>0</v>
      </c>
      <c r="I1329" s="232">
        <v>22.8</v>
      </c>
      <c r="J1329" s="233">
        <v>9.9</v>
      </c>
    </row>
    <row r="1330" spans="1:10" x14ac:dyDescent="0.2">
      <c r="A1330" t="s">
        <v>21</v>
      </c>
      <c r="B1330" s="89">
        <v>1674</v>
      </c>
      <c r="C1330" s="229">
        <v>1</v>
      </c>
      <c r="D1330" s="230">
        <v>44001</v>
      </c>
      <c r="E1330" s="229">
        <v>2020</v>
      </c>
      <c r="F1330" s="229"/>
      <c r="G1330" s="229"/>
      <c r="H1330" s="156">
        <v>1</v>
      </c>
      <c r="I1330" s="232">
        <v>22.5</v>
      </c>
      <c r="J1330" s="233">
        <v>9.9</v>
      </c>
    </row>
    <row r="1331" spans="1:10" x14ac:dyDescent="0.2">
      <c r="A1331" t="s">
        <v>21</v>
      </c>
      <c r="B1331" s="89">
        <v>1674</v>
      </c>
      <c r="C1331" s="229">
        <v>1</v>
      </c>
      <c r="D1331" s="230">
        <v>44001</v>
      </c>
      <c r="E1331" s="229">
        <v>2020</v>
      </c>
      <c r="F1331" s="229"/>
      <c r="G1331" s="229"/>
      <c r="H1331" s="156">
        <v>2</v>
      </c>
      <c r="I1331" s="232">
        <v>20.7</v>
      </c>
      <c r="J1331" s="233">
        <v>10</v>
      </c>
    </row>
    <row r="1332" spans="1:10" x14ac:dyDescent="0.2">
      <c r="A1332" t="s">
        <v>21</v>
      </c>
      <c r="B1332" s="89">
        <v>1674</v>
      </c>
      <c r="C1332" s="229">
        <v>1</v>
      </c>
      <c r="D1332" s="230">
        <v>44001</v>
      </c>
      <c r="E1332" s="229">
        <v>2020</v>
      </c>
      <c r="F1332" s="229"/>
      <c r="G1332" s="229"/>
      <c r="H1332" s="156">
        <v>3</v>
      </c>
      <c r="I1332" s="232">
        <v>19</v>
      </c>
      <c r="J1332" s="233">
        <v>10.1</v>
      </c>
    </row>
    <row r="1333" spans="1:10" x14ac:dyDescent="0.2">
      <c r="A1333" t="s">
        <v>21</v>
      </c>
      <c r="B1333" s="89">
        <v>1674</v>
      </c>
      <c r="C1333" s="229">
        <v>1</v>
      </c>
      <c r="D1333" s="230">
        <v>44001</v>
      </c>
      <c r="E1333" s="229">
        <v>2020</v>
      </c>
      <c r="F1333" s="229"/>
      <c r="G1333" s="229"/>
      <c r="H1333" s="156">
        <v>4</v>
      </c>
      <c r="I1333" s="232">
        <v>18.100000000000001</v>
      </c>
      <c r="J1333" s="233">
        <v>9.6999999999999993</v>
      </c>
    </row>
    <row r="1334" spans="1:10" x14ac:dyDescent="0.2">
      <c r="A1334" t="s">
        <v>21</v>
      </c>
      <c r="B1334" s="89">
        <v>1674</v>
      </c>
      <c r="C1334" s="229">
        <v>1</v>
      </c>
      <c r="D1334" s="230">
        <v>44001</v>
      </c>
      <c r="E1334" s="229">
        <v>2020</v>
      </c>
      <c r="F1334" s="229"/>
      <c r="G1334" s="229"/>
      <c r="H1334" s="156">
        <v>5</v>
      </c>
      <c r="I1334" s="232">
        <v>17.3</v>
      </c>
      <c r="J1334" s="233">
        <v>9</v>
      </c>
    </row>
    <row r="1335" spans="1:10" x14ac:dyDescent="0.2">
      <c r="A1335" t="s">
        <v>21</v>
      </c>
      <c r="B1335" s="89">
        <v>1674</v>
      </c>
      <c r="C1335" s="229">
        <v>1</v>
      </c>
      <c r="D1335" s="230">
        <v>44001</v>
      </c>
      <c r="E1335" s="229">
        <v>2020</v>
      </c>
      <c r="F1335" s="229"/>
      <c r="G1335" s="229"/>
      <c r="H1335" s="156">
        <v>6</v>
      </c>
      <c r="I1335" s="232">
        <v>16</v>
      </c>
      <c r="J1335" s="233">
        <v>8.4</v>
      </c>
    </row>
    <row r="1336" spans="1:10" x14ac:dyDescent="0.2">
      <c r="A1336" t="s">
        <v>21</v>
      </c>
      <c r="B1336" s="89">
        <v>1674</v>
      </c>
      <c r="C1336" s="229">
        <v>1</v>
      </c>
      <c r="D1336" s="230">
        <v>44001</v>
      </c>
      <c r="E1336" s="229">
        <v>2020</v>
      </c>
      <c r="F1336" s="229"/>
      <c r="G1336" s="229"/>
      <c r="H1336" s="156">
        <v>7</v>
      </c>
      <c r="I1336" s="232">
        <v>16</v>
      </c>
      <c r="J1336" s="233">
        <v>8.3000000000000007</v>
      </c>
    </row>
    <row r="1337" spans="1:10" x14ac:dyDescent="0.2">
      <c r="A1337" t="s">
        <v>21</v>
      </c>
      <c r="B1337" s="89">
        <v>1674</v>
      </c>
      <c r="C1337" s="229">
        <v>1</v>
      </c>
      <c r="D1337" s="230">
        <v>44001</v>
      </c>
      <c r="E1337" s="229">
        <v>2020</v>
      </c>
      <c r="F1337" s="229"/>
      <c r="G1337" s="229"/>
      <c r="H1337" s="156">
        <v>8</v>
      </c>
      <c r="I1337" s="232">
        <v>15.8</v>
      </c>
      <c r="J1337" s="233">
        <v>8</v>
      </c>
    </row>
    <row r="1338" spans="1:10" x14ac:dyDescent="0.2">
      <c r="A1338" t="s">
        <v>21</v>
      </c>
      <c r="B1338" s="89">
        <v>1674</v>
      </c>
      <c r="C1338" s="229">
        <v>1</v>
      </c>
      <c r="D1338" s="230">
        <v>44001</v>
      </c>
      <c r="E1338" s="229">
        <v>2020</v>
      </c>
      <c r="F1338" s="229"/>
      <c r="G1338" s="229"/>
      <c r="H1338" s="156">
        <v>9</v>
      </c>
      <c r="I1338" s="232">
        <v>15.6</v>
      </c>
      <c r="J1338" s="233">
        <v>7.7</v>
      </c>
    </row>
    <row r="1339" spans="1:10" x14ac:dyDescent="0.2">
      <c r="A1339" t="s">
        <v>21</v>
      </c>
      <c r="B1339" s="89">
        <v>1674</v>
      </c>
      <c r="C1339" s="229">
        <v>1</v>
      </c>
      <c r="D1339" s="230">
        <v>44001</v>
      </c>
      <c r="E1339" s="229">
        <v>2020</v>
      </c>
      <c r="F1339" s="229"/>
      <c r="G1339" s="229"/>
      <c r="H1339" s="156">
        <v>10</v>
      </c>
      <c r="I1339" s="232">
        <v>14.9</v>
      </c>
      <c r="J1339" s="233">
        <v>6.7</v>
      </c>
    </row>
    <row r="1340" spans="1:10" x14ac:dyDescent="0.2">
      <c r="A1340" t="s">
        <v>21</v>
      </c>
      <c r="B1340" s="89">
        <v>1674</v>
      </c>
      <c r="C1340" s="229">
        <v>1</v>
      </c>
      <c r="D1340" s="230">
        <v>44001</v>
      </c>
      <c r="E1340" s="229">
        <v>2020</v>
      </c>
      <c r="F1340" s="229"/>
      <c r="G1340" s="229"/>
      <c r="H1340" s="156">
        <v>11</v>
      </c>
      <c r="I1340" s="232">
        <v>14.5</v>
      </c>
      <c r="J1340" s="233">
        <v>5.9</v>
      </c>
    </row>
    <row r="1341" spans="1:10" x14ac:dyDescent="0.2">
      <c r="A1341" t="s">
        <v>21</v>
      </c>
      <c r="B1341" s="89">
        <v>1674</v>
      </c>
      <c r="C1341" s="229">
        <v>1</v>
      </c>
      <c r="D1341" s="230">
        <v>44001</v>
      </c>
      <c r="E1341" s="229">
        <v>2020</v>
      </c>
      <c r="F1341" s="229"/>
      <c r="G1341" s="229"/>
      <c r="H1341" s="156">
        <v>12</v>
      </c>
      <c r="I1341" s="232">
        <v>13.5</v>
      </c>
      <c r="J1341" s="233">
        <v>4.5</v>
      </c>
    </row>
    <row r="1342" spans="1:10" x14ac:dyDescent="0.2">
      <c r="A1342" t="s">
        <v>21</v>
      </c>
      <c r="B1342" s="89">
        <v>1674</v>
      </c>
      <c r="C1342" s="229">
        <v>1</v>
      </c>
      <c r="D1342" s="230">
        <v>44001</v>
      </c>
      <c r="E1342" s="229">
        <v>2020</v>
      </c>
      <c r="F1342" s="229"/>
      <c r="G1342" s="229"/>
      <c r="H1342" s="156">
        <v>13</v>
      </c>
      <c r="I1342" s="232">
        <v>11.1</v>
      </c>
      <c r="J1342" s="234">
        <v>0.7</v>
      </c>
    </row>
    <row r="1343" spans="1:10" x14ac:dyDescent="0.2">
      <c r="A1343" t="s">
        <v>21</v>
      </c>
      <c r="B1343" s="89">
        <v>1674</v>
      </c>
      <c r="C1343" s="229">
        <v>1</v>
      </c>
      <c r="D1343" s="230">
        <v>44013</v>
      </c>
      <c r="E1343" s="229">
        <v>2020</v>
      </c>
      <c r="F1343" s="229"/>
      <c r="G1343" s="229"/>
      <c r="H1343" s="156">
        <v>0</v>
      </c>
      <c r="I1343" s="232">
        <v>22.4</v>
      </c>
      <c r="J1343" s="233">
        <v>9</v>
      </c>
    </row>
    <row r="1344" spans="1:10" x14ac:dyDescent="0.2">
      <c r="A1344" t="s">
        <v>21</v>
      </c>
      <c r="B1344" s="89">
        <v>1674</v>
      </c>
      <c r="C1344" s="229">
        <v>1</v>
      </c>
      <c r="D1344" s="230">
        <v>44013</v>
      </c>
      <c r="E1344" s="229">
        <v>2020</v>
      </c>
      <c r="F1344" s="229"/>
      <c r="G1344" s="229"/>
      <c r="H1344" s="156">
        <v>1</v>
      </c>
      <c r="I1344" s="232">
        <v>22</v>
      </c>
      <c r="J1344" s="233">
        <v>9</v>
      </c>
    </row>
    <row r="1345" spans="1:10" x14ac:dyDescent="0.2">
      <c r="A1345" t="s">
        <v>21</v>
      </c>
      <c r="B1345" s="89">
        <v>1674</v>
      </c>
      <c r="C1345" s="229">
        <v>1</v>
      </c>
      <c r="D1345" s="230">
        <v>44013</v>
      </c>
      <c r="E1345" s="229">
        <v>2020</v>
      </c>
      <c r="F1345" s="229"/>
      <c r="G1345" s="229"/>
      <c r="H1345" s="156">
        <v>2</v>
      </c>
      <c r="I1345" s="232">
        <v>22</v>
      </c>
      <c r="J1345" s="233">
        <v>8.9</v>
      </c>
    </row>
    <row r="1346" spans="1:10" x14ac:dyDescent="0.2">
      <c r="A1346" t="s">
        <v>21</v>
      </c>
      <c r="B1346" s="89">
        <v>1674</v>
      </c>
      <c r="C1346" s="229">
        <v>1</v>
      </c>
      <c r="D1346" s="230">
        <v>44013</v>
      </c>
      <c r="E1346" s="229">
        <v>2020</v>
      </c>
      <c r="F1346" s="229"/>
      <c r="G1346" s="229"/>
      <c r="H1346" s="156">
        <v>3</v>
      </c>
      <c r="I1346" s="232">
        <v>21.9</v>
      </c>
      <c r="J1346" s="233">
        <v>8.9</v>
      </c>
    </row>
    <row r="1347" spans="1:10" x14ac:dyDescent="0.2">
      <c r="A1347" t="s">
        <v>21</v>
      </c>
      <c r="B1347" s="89">
        <v>1674</v>
      </c>
      <c r="C1347" s="229">
        <v>1</v>
      </c>
      <c r="D1347" s="230">
        <v>44013</v>
      </c>
      <c r="E1347" s="229">
        <v>2020</v>
      </c>
      <c r="F1347" s="229"/>
      <c r="G1347" s="229"/>
      <c r="H1347" s="156">
        <v>4</v>
      </c>
      <c r="I1347" s="232">
        <v>21.9</v>
      </c>
      <c r="J1347" s="233">
        <v>8.8000000000000007</v>
      </c>
    </row>
    <row r="1348" spans="1:10" x14ac:dyDescent="0.2">
      <c r="A1348" t="s">
        <v>21</v>
      </c>
      <c r="B1348" s="89">
        <v>1674</v>
      </c>
      <c r="C1348" s="229">
        <v>1</v>
      </c>
      <c r="D1348" s="230">
        <v>44013</v>
      </c>
      <c r="E1348" s="229">
        <v>2020</v>
      </c>
      <c r="F1348" s="229"/>
      <c r="G1348" s="229"/>
      <c r="H1348" s="156">
        <v>5</v>
      </c>
      <c r="I1348" s="232">
        <v>18.8</v>
      </c>
      <c r="J1348" s="233">
        <v>6.1</v>
      </c>
    </row>
    <row r="1349" spans="1:10" x14ac:dyDescent="0.2">
      <c r="A1349" t="s">
        <v>21</v>
      </c>
      <c r="B1349" s="89">
        <v>1674</v>
      </c>
      <c r="C1349" s="229">
        <v>1</v>
      </c>
      <c r="D1349" s="230">
        <v>44013</v>
      </c>
      <c r="E1349" s="229">
        <v>2020</v>
      </c>
      <c r="F1349" s="229"/>
      <c r="G1349" s="229"/>
      <c r="H1349" s="156">
        <v>6</v>
      </c>
      <c r="I1349" s="232">
        <v>16.399999999999999</v>
      </c>
      <c r="J1349" s="233">
        <v>5.5</v>
      </c>
    </row>
    <row r="1350" spans="1:10" x14ac:dyDescent="0.2">
      <c r="A1350" t="s">
        <v>21</v>
      </c>
      <c r="B1350" s="89">
        <v>1674</v>
      </c>
      <c r="C1350" s="229">
        <v>1</v>
      </c>
      <c r="D1350" s="230">
        <v>44013</v>
      </c>
      <c r="E1350" s="229">
        <v>2020</v>
      </c>
      <c r="F1350" s="229"/>
      <c r="G1350" s="229"/>
      <c r="H1350" s="156">
        <v>7</v>
      </c>
      <c r="I1350" s="232">
        <v>16</v>
      </c>
      <c r="J1350" s="233">
        <v>5</v>
      </c>
    </row>
    <row r="1351" spans="1:10" x14ac:dyDescent="0.2">
      <c r="A1351" t="s">
        <v>21</v>
      </c>
      <c r="B1351" s="89">
        <v>1674</v>
      </c>
      <c r="C1351" s="229">
        <v>1</v>
      </c>
      <c r="D1351" s="230">
        <v>44013</v>
      </c>
      <c r="E1351" s="229">
        <v>2020</v>
      </c>
      <c r="F1351" s="229"/>
      <c r="G1351" s="229"/>
      <c r="H1351" s="156">
        <v>8</v>
      </c>
      <c r="I1351" s="232">
        <v>15.4</v>
      </c>
      <c r="J1351" s="233">
        <v>4.4000000000000004</v>
      </c>
    </row>
    <row r="1352" spans="1:10" x14ac:dyDescent="0.2">
      <c r="A1352" t="s">
        <v>21</v>
      </c>
      <c r="B1352" s="89">
        <v>1674</v>
      </c>
      <c r="C1352" s="229">
        <v>1</v>
      </c>
      <c r="D1352" s="230">
        <v>44013</v>
      </c>
      <c r="E1352" s="229">
        <v>2020</v>
      </c>
      <c r="F1352" s="229"/>
      <c r="G1352" s="229"/>
      <c r="H1352" s="156">
        <v>9</v>
      </c>
      <c r="I1352" s="232">
        <v>15.1</v>
      </c>
      <c r="J1352" s="233">
        <v>4.0999999999999996</v>
      </c>
    </row>
    <row r="1353" spans="1:10" x14ac:dyDescent="0.2">
      <c r="A1353" t="s">
        <v>21</v>
      </c>
      <c r="B1353" s="89">
        <v>1674</v>
      </c>
      <c r="C1353" s="229">
        <v>1</v>
      </c>
      <c r="D1353" s="230">
        <v>44013</v>
      </c>
      <c r="E1353" s="229">
        <v>2020</v>
      </c>
      <c r="F1353" s="229"/>
      <c r="G1353" s="229"/>
      <c r="H1353" s="156">
        <v>10</v>
      </c>
      <c r="I1353" s="232">
        <v>14.9</v>
      </c>
      <c r="J1353" s="233">
        <v>3.4</v>
      </c>
    </row>
    <row r="1354" spans="1:10" x14ac:dyDescent="0.2">
      <c r="A1354" t="s">
        <v>21</v>
      </c>
      <c r="B1354" s="89">
        <v>1674</v>
      </c>
      <c r="C1354" s="229">
        <v>1</v>
      </c>
      <c r="D1354" s="230">
        <v>44013</v>
      </c>
      <c r="E1354" s="229">
        <v>2020</v>
      </c>
      <c r="F1354" s="229"/>
      <c r="G1354" s="229"/>
      <c r="H1354" s="156">
        <v>11</v>
      </c>
      <c r="I1354" s="232">
        <v>14.6</v>
      </c>
      <c r="J1354" s="233">
        <v>3.2</v>
      </c>
    </row>
    <row r="1355" spans="1:10" x14ac:dyDescent="0.2">
      <c r="A1355" t="s">
        <v>21</v>
      </c>
      <c r="B1355" s="89">
        <v>1674</v>
      </c>
      <c r="C1355" s="229">
        <v>1</v>
      </c>
      <c r="D1355" s="230">
        <v>44013</v>
      </c>
      <c r="E1355" s="229">
        <v>2020</v>
      </c>
      <c r="F1355" s="229"/>
      <c r="G1355" s="229"/>
      <c r="H1355" s="156">
        <v>12</v>
      </c>
      <c r="I1355" s="232">
        <v>14.1</v>
      </c>
      <c r="J1355" s="233">
        <v>2.4</v>
      </c>
    </row>
    <row r="1356" spans="1:10" x14ac:dyDescent="0.2">
      <c r="A1356" t="s">
        <v>21</v>
      </c>
      <c r="B1356" s="89">
        <v>1674</v>
      </c>
      <c r="C1356" s="229">
        <v>1</v>
      </c>
      <c r="D1356" s="230">
        <v>44013</v>
      </c>
      <c r="E1356" s="229">
        <v>2020</v>
      </c>
      <c r="F1356" s="229"/>
      <c r="G1356" s="229"/>
      <c r="H1356" s="156">
        <v>13</v>
      </c>
      <c r="I1356" s="232">
        <v>13</v>
      </c>
      <c r="J1356" s="234">
        <v>0.5</v>
      </c>
    </row>
    <row r="1357" spans="1:10" x14ac:dyDescent="0.2">
      <c r="A1357" t="s">
        <v>21</v>
      </c>
      <c r="B1357" s="89">
        <v>1674</v>
      </c>
      <c r="C1357" s="229">
        <v>1</v>
      </c>
      <c r="D1357" s="230">
        <v>44028</v>
      </c>
      <c r="E1357" s="229">
        <v>2020</v>
      </c>
      <c r="F1357" s="229"/>
      <c r="G1357" s="229"/>
      <c r="H1357" s="156">
        <v>0</v>
      </c>
      <c r="I1357" s="232">
        <v>22.2</v>
      </c>
      <c r="J1357" s="233">
        <v>8.8000000000000007</v>
      </c>
    </row>
    <row r="1358" spans="1:10" x14ac:dyDescent="0.2">
      <c r="A1358" t="s">
        <v>21</v>
      </c>
      <c r="B1358" s="89">
        <v>1674</v>
      </c>
      <c r="C1358" s="229">
        <v>1</v>
      </c>
      <c r="D1358" s="230">
        <v>44028</v>
      </c>
      <c r="E1358" s="229">
        <v>2020</v>
      </c>
      <c r="F1358" s="229"/>
      <c r="G1358" s="229"/>
      <c r="H1358" s="156">
        <v>1</v>
      </c>
      <c r="I1358" s="232">
        <v>22.2</v>
      </c>
      <c r="J1358" s="233">
        <v>8.6999999999999993</v>
      </c>
    </row>
    <row r="1359" spans="1:10" x14ac:dyDescent="0.2">
      <c r="A1359" t="s">
        <v>21</v>
      </c>
      <c r="B1359" s="89">
        <v>1674</v>
      </c>
      <c r="C1359" s="229">
        <v>1</v>
      </c>
      <c r="D1359" s="230">
        <v>44028</v>
      </c>
      <c r="E1359" s="229">
        <v>2020</v>
      </c>
      <c r="F1359" s="229"/>
      <c r="G1359" s="229"/>
      <c r="H1359" s="156">
        <v>2</v>
      </c>
      <c r="I1359" s="232">
        <v>22.2</v>
      </c>
      <c r="J1359" s="233">
        <v>8.6999999999999993</v>
      </c>
    </row>
    <row r="1360" spans="1:10" x14ac:dyDescent="0.2">
      <c r="A1360" t="s">
        <v>21</v>
      </c>
      <c r="B1360" s="89">
        <v>1674</v>
      </c>
      <c r="C1360" s="229">
        <v>1</v>
      </c>
      <c r="D1360" s="230">
        <v>44028</v>
      </c>
      <c r="E1360" s="229">
        <v>2020</v>
      </c>
      <c r="F1360" s="229"/>
      <c r="G1360" s="229"/>
      <c r="H1360" s="156">
        <v>3</v>
      </c>
      <c r="I1360" s="232">
        <v>22.2</v>
      </c>
      <c r="J1360" s="233">
        <v>8.6999999999999993</v>
      </c>
    </row>
    <row r="1361" spans="1:10" x14ac:dyDescent="0.2">
      <c r="A1361" t="s">
        <v>21</v>
      </c>
      <c r="B1361" s="89">
        <v>1674</v>
      </c>
      <c r="C1361" s="229">
        <v>1</v>
      </c>
      <c r="D1361" s="230">
        <v>44028</v>
      </c>
      <c r="E1361" s="229">
        <v>2020</v>
      </c>
      <c r="F1361" s="229"/>
      <c r="G1361" s="229"/>
      <c r="H1361" s="156">
        <v>4</v>
      </c>
      <c r="I1361" s="232">
        <v>22.2</v>
      </c>
      <c r="J1361" s="233">
        <v>8.6</v>
      </c>
    </row>
    <row r="1362" spans="1:10" x14ac:dyDescent="0.2">
      <c r="A1362" t="s">
        <v>21</v>
      </c>
      <c r="B1362" s="89">
        <v>1674</v>
      </c>
      <c r="C1362" s="229">
        <v>1</v>
      </c>
      <c r="D1362" s="230">
        <v>44028</v>
      </c>
      <c r="E1362" s="229">
        <v>2020</v>
      </c>
      <c r="F1362" s="229"/>
      <c r="G1362" s="229"/>
      <c r="H1362" s="156">
        <v>5</v>
      </c>
      <c r="I1362" s="232">
        <v>22.1</v>
      </c>
      <c r="J1362" s="233">
        <v>8.6</v>
      </c>
    </row>
    <row r="1363" spans="1:10" x14ac:dyDescent="0.2">
      <c r="A1363" t="s">
        <v>21</v>
      </c>
      <c r="B1363" s="89">
        <v>1674</v>
      </c>
      <c r="C1363" s="229">
        <v>1</v>
      </c>
      <c r="D1363" s="230">
        <v>44028</v>
      </c>
      <c r="E1363" s="229">
        <v>2020</v>
      </c>
      <c r="F1363" s="229"/>
      <c r="G1363" s="229"/>
      <c r="H1363" s="156">
        <v>6</v>
      </c>
      <c r="I1363" s="232">
        <v>20.7</v>
      </c>
      <c r="J1363" s="233">
        <v>6.3</v>
      </c>
    </row>
    <row r="1364" spans="1:10" x14ac:dyDescent="0.2">
      <c r="A1364" t="s">
        <v>21</v>
      </c>
      <c r="B1364" s="89">
        <v>1674</v>
      </c>
      <c r="C1364" s="229">
        <v>1</v>
      </c>
      <c r="D1364" s="230">
        <v>44028</v>
      </c>
      <c r="E1364" s="229">
        <v>2020</v>
      </c>
      <c r="F1364" s="229"/>
      <c r="G1364" s="229"/>
      <c r="H1364" s="156">
        <v>7</v>
      </c>
      <c r="I1364" s="232">
        <v>19.3</v>
      </c>
      <c r="J1364" s="233">
        <v>4.2</v>
      </c>
    </row>
    <row r="1365" spans="1:10" x14ac:dyDescent="0.2">
      <c r="A1365" t="s">
        <v>21</v>
      </c>
      <c r="B1365" s="89">
        <v>1674</v>
      </c>
      <c r="C1365" s="229">
        <v>1</v>
      </c>
      <c r="D1365" s="230">
        <v>44028</v>
      </c>
      <c r="E1365" s="229">
        <v>2020</v>
      </c>
      <c r="F1365" s="229"/>
      <c r="G1365" s="229"/>
      <c r="H1365" s="156">
        <v>8</v>
      </c>
      <c r="I1365" s="232">
        <v>16.399999999999999</v>
      </c>
      <c r="J1365" s="233">
        <v>1.5</v>
      </c>
    </row>
    <row r="1366" spans="1:10" x14ac:dyDescent="0.2">
      <c r="A1366" t="s">
        <v>21</v>
      </c>
      <c r="B1366" s="89">
        <v>1674</v>
      </c>
      <c r="C1366" s="229">
        <v>1</v>
      </c>
      <c r="D1366" s="230">
        <v>44028</v>
      </c>
      <c r="E1366" s="229">
        <v>2020</v>
      </c>
      <c r="F1366" s="229"/>
      <c r="G1366" s="229"/>
      <c r="H1366" s="156">
        <v>9</v>
      </c>
      <c r="I1366" s="232">
        <v>15.8</v>
      </c>
      <c r="J1366" s="234">
        <v>1.1000000000000001</v>
      </c>
    </row>
    <row r="1367" spans="1:10" x14ac:dyDescent="0.2">
      <c r="A1367" t="s">
        <v>21</v>
      </c>
      <c r="B1367" s="89">
        <v>1674</v>
      </c>
      <c r="C1367" s="229">
        <v>1</v>
      </c>
      <c r="D1367" s="230">
        <v>44028</v>
      </c>
      <c r="E1367" s="229">
        <v>2020</v>
      </c>
      <c r="F1367" s="229"/>
      <c r="G1367" s="229"/>
      <c r="H1367" s="156">
        <v>10</v>
      </c>
      <c r="I1367" s="232">
        <v>15.6</v>
      </c>
      <c r="J1367" s="234">
        <v>1.1000000000000001</v>
      </c>
    </row>
    <row r="1368" spans="1:10" x14ac:dyDescent="0.2">
      <c r="A1368" t="s">
        <v>21</v>
      </c>
      <c r="B1368" s="89">
        <v>1674</v>
      </c>
      <c r="C1368" s="229">
        <v>1</v>
      </c>
      <c r="D1368" s="230">
        <v>44028</v>
      </c>
      <c r="E1368" s="229">
        <v>2020</v>
      </c>
      <c r="F1368" s="229"/>
      <c r="G1368" s="229"/>
      <c r="H1368" s="156">
        <v>11</v>
      </c>
      <c r="I1368" s="232">
        <v>14.9</v>
      </c>
      <c r="J1368" s="234">
        <v>0.6</v>
      </c>
    </row>
    <row r="1369" spans="1:10" x14ac:dyDescent="0.2">
      <c r="A1369" t="s">
        <v>21</v>
      </c>
      <c r="B1369" s="89">
        <v>1674</v>
      </c>
      <c r="C1369" s="229">
        <v>1</v>
      </c>
      <c r="D1369" s="230">
        <v>44028</v>
      </c>
      <c r="E1369" s="229">
        <v>2020</v>
      </c>
      <c r="F1369" s="229"/>
      <c r="G1369" s="229"/>
      <c r="H1369" s="156">
        <v>12</v>
      </c>
      <c r="I1369" s="232">
        <v>14.3</v>
      </c>
      <c r="J1369" s="234">
        <v>0.3</v>
      </c>
    </row>
    <row r="1370" spans="1:10" x14ac:dyDescent="0.2">
      <c r="A1370" t="s">
        <v>21</v>
      </c>
      <c r="B1370" s="89">
        <v>1674</v>
      </c>
      <c r="C1370" s="229">
        <v>1</v>
      </c>
      <c r="D1370" s="230">
        <v>44028</v>
      </c>
      <c r="E1370" s="229">
        <v>2020</v>
      </c>
      <c r="F1370" s="229"/>
      <c r="G1370" s="229"/>
      <c r="H1370" s="156">
        <v>13</v>
      </c>
      <c r="I1370" s="232">
        <v>13.7</v>
      </c>
      <c r="J1370" s="234">
        <v>0.2</v>
      </c>
    </row>
    <row r="1371" spans="1:10" x14ac:dyDescent="0.2">
      <c r="A1371" t="s">
        <v>21</v>
      </c>
      <c r="B1371" s="89">
        <v>1674</v>
      </c>
      <c r="C1371" s="229">
        <v>1</v>
      </c>
      <c r="D1371" s="230">
        <v>44041</v>
      </c>
      <c r="E1371" s="229">
        <v>2020</v>
      </c>
      <c r="F1371" s="229"/>
      <c r="G1371" s="229"/>
      <c r="H1371" s="156">
        <v>0</v>
      </c>
      <c r="I1371" s="232">
        <v>25.7</v>
      </c>
      <c r="J1371" s="233">
        <v>9</v>
      </c>
    </row>
    <row r="1372" spans="1:10" x14ac:dyDescent="0.2">
      <c r="A1372" t="s">
        <v>21</v>
      </c>
      <c r="B1372" s="89">
        <v>1674</v>
      </c>
      <c r="C1372" s="229">
        <v>1</v>
      </c>
      <c r="D1372" s="230">
        <v>44041</v>
      </c>
      <c r="E1372" s="229">
        <v>2020</v>
      </c>
      <c r="F1372" s="229"/>
      <c r="G1372" s="229"/>
      <c r="H1372" s="156">
        <v>1</v>
      </c>
      <c r="I1372" s="232">
        <v>25.4</v>
      </c>
      <c r="J1372" s="233">
        <v>9</v>
      </c>
    </row>
    <row r="1373" spans="1:10" x14ac:dyDescent="0.2">
      <c r="A1373" t="s">
        <v>21</v>
      </c>
      <c r="B1373" s="89">
        <v>1674</v>
      </c>
      <c r="C1373" s="229">
        <v>1</v>
      </c>
      <c r="D1373" s="230">
        <v>44041</v>
      </c>
      <c r="E1373" s="229">
        <v>2020</v>
      </c>
      <c r="F1373" s="229"/>
      <c r="G1373" s="229"/>
      <c r="H1373" s="156">
        <v>2</v>
      </c>
      <c r="I1373" s="232">
        <v>24.6</v>
      </c>
      <c r="J1373" s="233">
        <v>9.1</v>
      </c>
    </row>
    <row r="1374" spans="1:10" x14ac:dyDescent="0.2">
      <c r="A1374" t="s">
        <v>21</v>
      </c>
      <c r="B1374" s="89">
        <v>1674</v>
      </c>
      <c r="C1374" s="229">
        <v>1</v>
      </c>
      <c r="D1374" s="230">
        <v>44041</v>
      </c>
      <c r="E1374" s="229">
        <v>2020</v>
      </c>
      <c r="F1374" s="229"/>
      <c r="G1374" s="229"/>
      <c r="H1374" s="156">
        <v>3</v>
      </c>
      <c r="I1374" s="232">
        <v>24.4</v>
      </c>
      <c r="J1374" s="233">
        <v>9</v>
      </c>
    </row>
    <row r="1375" spans="1:10" x14ac:dyDescent="0.2">
      <c r="A1375" t="s">
        <v>21</v>
      </c>
      <c r="B1375" s="89">
        <v>1674</v>
      </c>
      <c r="C1375" s="229">
        <v>1</v>
      </c>
      <c r="D1375" s="230">
        <v>44041</v>
      </c>
      <c r="E1375" s="229">
        <v>2020</v>
      </c>
      <c r="F1375" s="229"/>
      <c r="G1375" s="229"/>
      <c r="H1375" s="156">
        <v>4</v>
      </c>
      <c r="I1375" s="232">
        <v>24.3</v>
      </c>
      <c r="J1375" s="233">
        <v>8.9</v>
      </c>
    </row>
    <row r="1376" spans="1:10" x14ac:dyDescent="0.2">
      <c r="A1376" t="s">
        <v>21</v>
      </c>
      <c r="B1376" s="89">
        <v>1674</v>
      </c>
      <c r="C1376" s="229">
        <v>1</v>
      </c>
      <c r="D1376" s="230">
        <v>44041</v>
      </c>
      <c r="E1376" s="229">
        <v>2020</v>
      </c>
      <c r="F1376" s="229"/>
      <c r="G1376" s="229"/>
      <c r="H1376" s="156">
        <v>5</v>
      </c>
      <c r="I1376" s="232">
        <v>23.6</v>
      </c>
      <c r="J1376" s="233">
        <v>8.8000000000000007</v>
      </c>
    </row>
    <row r="1377" spans="1:10" x14ac:dyDescent="0.2">
      <c r="A1377" t="s">
        <v>21</v>
      </c>
      <c r="B1377" s="89">
        <v>1674</v>
      </c>
      <c r="C1377" s="229">
        <v>1</v>
      </c>
      <c r="D1377" s="230">
        <v>44041</v>
      </c>
      <c r="E1377" s="229">
        <v>2020</v>
      </c>
      <c r="F1377" s="229"/>
      <c r="G1377" s="229"/>
      <c r="H1377" s="156">
        <v>6</v>
      </c>
      <c r="I1377" s="232">
        <v>22.4</v>
      </c>
      <c r="J1377" s="233">
        <v>7.6</v>
      </c>
    </row>
    <row r="1378" spans="1:10" x14ac:dyDescent="0.2">
      <c r="A1378" t="s">
        <v>21</v>
      </c>
      <c r="B1378" s="89">
        <v>1674</v>
      </c>
      <c r="C1378" s="229">
        <v>1</v>
      </c>
      <c r="D1378" s="230">
        <v>44041</v>
      </c>
      <c r="E1378" s="229">
        <v>2020</v>
      </c>
      <c r="F1378" s="229"/>
      <c r="G1378" s="229"/>
      <c r="H1378" s="156">
        <v>7</v>
      </c>
      <c r="I1378" s="232">
        <v>20.9</v>
      </c>
      <c r="J1378" s="233">
        <v>5.4</v>
      </c>
    </row>
    <row r="1379" spans="1:10" x14ac:dyDescent="0.2">
      <c r="A1379" t="s">
        <v>21</v>
      </c>
      <c r="B1379" s="89">
        <v>1674</v>
      </c>
      <c r="C1379" s="229">
        <v>1</v>
      </c>
      <c r="D1379" s="230">
        <v>44041</v>
      </c>
      <c r="E1379" s="229">
        <v>2020</v>
      </c>
      <c r="F1379" s="229"/>
      <c r="G1379" s="229"/>
      <c r="H1379" s="156">
        <v>8</v>
      </c>
      <c r="I1379" s="232">
        <v>18.600000000000001</v>
      </c>
      <c r="J1379" s="233">
        <v>2.8</v>
      </c>
    </row>
    <row r="1380" spans="1:10" x14ac:dyDescent="0.2">
      <c r="A1380" t="s">
        <v>21</v>
      </c>
      <c r="B1380" s="89">
        <v>1674</v>
      </c>
      <c r="C1380" s="229">
        <v>1</v>
      </c>
      <c r="D1380" s="230">
        <v>44041</v>
      </c>
      <c r="E1380" s="229">
        <v>2020</v>
      </c>
      <c r="F1380" s="229"/>
      <c r="G1380" s="229"/>
      <c r="H1380" s="156">
        <v>9</v>
      </c>
      <c r="I1380" s="232">
        <v>17.600000000000001</v>
      </c>
      <c r="J1380" s="234">
        <v>0.8</v>
      </c>
    </row>
    <row r="1381" spans="1:10" x14ac:dyDescent="0.2">
      <c r="A1381" t="s">
        <v>21</v>
      </c>
      <c r="B1381" s="89">
        <v>1674</v>
      </c>
      <c r="C1381" s="229">
        <v>1</v>
      </c>
      <c r="D1381" s="230">
        <v>44041</v>
      </c>
      <c r="E1381" s="229">
        <v>2020</v>
      </c>
      <c r="F1381" s="229"/>
      <c r="G1381" s="229"/>
      <c r="H1381" s="156">
        <v>10</v>
      </c>
      <c r="I1381" s="232">
        <v>16.899999999999999</v>
      </c>
      <c r="J1381" s="234">
        <v>0.4</v>
      </c>
    </row>
    <row r="1382" spans="1:10" x14ac:dyDescent="0.2">
      <c r="A1382" t="s">
        <v>21</v>
      </c>
      <c r="B1382" s="89">
        <v>1674</v>
      </c>
      <c r="C1382" s="229">
        <v>1</v>
      </c>
      <c r="D1382" s="230">
        <v>44041</v>
      </c>
      <c r="E1382" s="229">
        <v>2020</v>
      </c>
      <c r="F1382" s="229"/>
      <c r="G1382" s="229"/>
      <c r="H1382" s="156">
        <v>11</v>
      </c>
      <c r="I1382" s="232">
        <v>15.8</v>
      </c>
      <c r="J1382" s="234">
        <v>0.2</v>
      </c>
    </row>
    <row r="1383" spans="1:10" x14ac:dyDescent="0.2">
      <c r="A1383" t="s">
        <v>21</v>
      </c>
      <c r="B1383" s="89">
        <v>1674</v>
      </c>
      <c r="C1383" s="229">
        <v>1</v>
      </c>
      <c r="D1383" s="230">
        <v>44041</v>
      </c>
      <c r="E1383" s="229">
        <v>2020</v>
      </c>
      <c r="F1383" s="229"/>
      <c r="G1383" s="229"/>
      <c r="H1383" s="156">
        <v>12</v>
      </c>
      <c r="I1383" s="232">
        <v>14.7</v>
      </c>
      <c r="J1383" s="234">
        <v>0.1</v>
      </c>
    </row>
    <row r="1384" spans="1:10" x14ac:dyDescent="0.2">
      <c r="A1384" t="s">
        <v>21</v>
      </c>
      <c r="B1384" s="89">
        <v>1674</v>
      </c>
      <c r="C1384" s="229">
        <v>1</v>
      </c>
      <c r="D1384" s="230">
        <v>44041</v>
      </c>
      <c r="E1384" s="229">
        <v>2020</v>
      </c>
      <c r="F1384" s="229"/>
      <c r="G1384" s="229"/>
      <c r="H1384" s="156">
        <v>13</v>
      </c>
      <c r="I1384" s="232">
        <v>14</v>
      </c>
      <c r="J1384" s="234">
        <v>0.1</v>
      </c>
    </row>
    <row r="1385" spans="1:10" x14ac:dyDescent="0.2">
      <c r="A1385" t="s">
        <v>21</v>
      </c>
      <c r="B1385" s="89">
        <v>1674</v>
      </c>
      <c r="C1385" s="229">
        <v>1</v>
      </c>
      <c r="D1385" s="230">
        <v>44056</v>
      </c>
      <c r="E1385" s="231">
        <v>2020</v>
      </c>
      <c r="F1385" s="229"/>
      <c r="G1385" s="229"/>
      <c r="H1385" s="156">
        <v>0</v>
      </c>
      <c r="I1385" s="232">
        <v>24.9</v>
      </c>
      <c r="J1385" s="233">
        <v>8.8000000000000007</v>
      </c>
    </row>
    <row r="1386" spans="1:10" x14ac:dyDescent="0.2">
      <c r="A1386" t="s">
        <v>21</v>
      </c>
      <c r="B1386" s="89">
        <v>1674</v>
      </c>
      <c r="C1386" s="229">
        <v>1</v>
      </c>
      <c r="D1386" s="230">
        <v>44056</v>
      </c>
      <c r="E1386" s="231">
        <v>2020</v>
      </c>
      <c r="F1386" s="229"/>
      <c r="G1386" s="229"/>
      <c r="H1386" s="156">
        <v>1</v>
      </c>
      <c r="I1386" s="232">
        <v>24.7</v>
      </c>
      <c r="J1386" s="233">
        <v>8.8000000000000007</v>
      </c>
    </row>
    <row r="1387" spans="1:10" x14ac:dyDescent="0.2">
      <c r="A1387" t="s">
        <v>21</v>
      </c>
      <c r="B1387" s="89">
        <v>1674</v>
      </c>
      <c r="C1387" s="229">
        <v>1</v>
      </c>
      <c r="D1387" s="230">
        <v>44056</v>
      </c>
      <c r="E1387" s="231">
        <v>2020</v>
      </c>
      <c r="F1387" s="229"/>
      <c r="G1387" s="229"/>
      <c r="H1387" s="156">
        <v>2</v>
      </c>
      <c r="I1387" s="232">
        <v>24.6</v>
      </c>
      <c r="J1387" s="233">
        <v>8.6999999999999993</v>
      </c>
    </row>
    <row r="1388" spans="1:10" x14ac:dyDescent="0.2">
      <c r="A1388" t="s">
        <v>21</v>
      </c>
      <c r="B1388" s="89">
        <v>1674</v>
      </c>
      <c r="C1388" s="229">
        <v>1</v>
      </c>
      <c r="D1388" s="230">
        <v>44056</v>
      </c>
      <c r="E1388" s="231">
        <v>2020</v>
      </c>
      <c r="F1388" s="229"/>
      <c r="G1388" s="229"/>
      <c r="H1388" s="156">
        <v>3</v>
      </c>
      <c r="I1388" s="232">
        <v>24.5</v>
      </c>
      <c r="J1388" s="233">
        <v>8.6999999999999993</v>
      </c>
    </row>
    <row r="1389" spans="1:10" x14ac:dyDescent="0.2">
      <c r="A1389" t="s">
        <v>21</v>
      </c>
      <c r="B1389" s="89">
        <v>1674</v>
      </c>
      <c r="C1389" s="229">
        <v>1</v>
      </c>
      <c r="D1389" s="230">
        <v>44056</v>
      </c>
      <c r="E1389" s="231">
        <v>2020</v>
      </c>
      <c r="F1389" s="229"/>
      <c r="G1389" s="229"/>
      <c r="H1389" s="156">
        <v>4</v>
      </c>
      <c r="I1389" s="232">
        <v>24.5</v>
      </c>
      <c r="J1389" s="233">
        <v>8.4</v>
      </c>
    </row>
    <row r="1390" spans="1:10" x14ac:dyDescent="0.2">
      <c r="A1390" t="s">
        <v>21</v>
      </c>
      <c r="B1390" s="89">
        <v>1674</v>
      </c>
      <c r="C1390" s="229">
        <v>1</v>
      </c>
      <c r="D1390" s="230">
        <v>44056</v>
      </c>
      <c r="E1390" s="231">
        <v>2020</v>
      </c>
      <c r="F1390" s="229"/>
      <c r="G1390" s="229"/>
      <c r="H1390" s="156">
        <v>5</v>
      </c>
      <c r="I1390" s="232">
        <v>24.2</v>
      </c>
      <c r="J1390" s="233">
        <v>8</v>
      </c>
    </row>
    <row r="1391" spans="1:10" x14ac:dyDescent="0.2">
      <c r="A1391" t="s">
        <v>21</v>
      </c>
      <c r="B1391" s="89">
        <v>1674</v>
      </c>
      <c r="C1391" s="229">
        <v>1</v>
      </c>
      <c r="D1391" s="230">
        <v>44056</v>
      </c>
      <c r="E1391" s="231">
        <v>2020</v>
      </c>
      <c r="F1391" s="229"/>
      <c r="G1391" s="229"/>
      <c r="H1391" s="156">
        <v>6</v>
      </c>
      <c r="I1391" s="232">
        <v>23.4</v>
      </c>
      <c r="J1391" s="233">
        <v>7.5</v>
      </c>
    </row>
    <row r="1392" spans="1:10" x14ac:dyDescent="0.2">
      <c r="A1392" t="s">
        <v>21</v>
      </c>
      <c r="B1392" s="89">
        <v>1674</v>
      </c>
      <c r="C1392" s="229">
        <v>1</v>
      </c>
      <c r="D1392" s="230">
        <v>44056</v>
      </c>
      <c r="E1392" s="231">
        <v>2020</v>
      </c>
      <c r="F1392" s="229"/>
      <c r="G1392" s="229"/>
      <c r="H1392" s="156">
        <v>7</v>
      </c>
      <c r="I1392" s="232">
        <v>22.4</v>
      </c>
      <c r="J1392" s="233">
        <v>6</v>
      </c>
    </row>
    <row r="1393" spans="1:10" x14ac:dyDescent="0.2">
      <c r="A1393" t="s">
        <v>21</v>
      </c>
      <c r="B1393" s="89">
        <v>1674</v>
      </c>
      <c r="C1393" s="229">
        <v>1</v>
      </c>
      <c r="D1393" s="230">
        <v>44056</v>
      </c>
      <c r="E1393" s="231">
        <v>2020</v>
      </c>
      <c r="F1393" s="229"/>
      <c r="G1393" s="229"/>
      <c r="H1393" s="156">
        <v>8</v>
      </c>
      <c r="I1393" s="232">
        <v>21</v>
      </c>
      <c r="J1393" s="233">
        <v>3.8</v>
      </c>
    </row>
    <row r="1394" spans="1:10" x14ac:dyDescent="0.2">
      <c r="A1394" t="s">
        <v>21</v>
      </c>
      <c r="B1394" s="89">
        <v>1674</v>
      </c>
      <c r="C1394" s="229">
        <v>1</v>
      </c>
      <c r="D1394" s="230">
        <v>44056</v>
      </c>
      <c r="E1394" s="231">
        <v>2020</v>
      </c>
      <c r="F1394" s="229"/>
      <c r="G1394" s="229"/>
      <c r="H1394" s="156">
        <v>9</v>
      </c>
      <c r="I1394" s="232">
        <v>18.3</v>
      </c>
      <c r="J1394" s="234">
        <v>1</v>
      </c>
    </row>
    <row r="1395" spans="1:10" x14ac:dyDescent="0.2">
      <c r="A1395" t="s">
        <v>21</v>
      </c>
      <c r="B1395" s="89">
        <v>1674</v>
      </c>
      <c r="C1395" s="229">
        <v>1</v>
      </c>
      <c r="D1395" s="230">
        <v>44056</v>
      </c>
      <c r="E1395" s="231">
        <v>2020</v>
      </c>
      <c r="F1395" s="229"/>
      <c r="G1395" s="229"/>
      <c r="H1395" s="156">
        <v>10</v>
      </c>
      <c r="I1395" s="232">
        <v>17.2</v>
      </c>
      <c r="J1395" s="234">
        <v>0.3</v>
      </c>
    </row>
    <row r="1396" spans="1:10" x14ac:dyDescent="0.2">
      <c r="A1396" t="s">
        <v>21</v>
      </c>
      <c r="B1396" s="89">
        <v>1674</v>
      </c>
      <c r="C1396" s="229">
        <v>1</v>
      </c>
      <c r="D1396" s="230">
        <v>44056</v>
      </c>
      <c r="E1396" s="231">
        <v>2020</v>
      </c>
      <c r="F1396" s="229"/>
      <c r="G1396" s="229"/>
      <c r="H1396" s="156">
        <v>11</v>
      </c>
      <c r="I1396" s="232">
        <v>16.600000000000001</v>
      </c>
      <c r="J1396" s="234">
        <v>0.2</v>
      </c>
    </row>
    <row r="1397" spans="1:10" x14ac:dyDescent="0.2">
      <c r="A1397" t="s">
        <v>21</v>
      </c>
      <c r="B1397" s="89">
        <v>1674</v>
      </c>
      <c r="C1397" s="229">
        <v>1</v>
      </c>
      <c r="D1397" s="230">
        <v>44056</v>
      </c>
      <c r="E1397" s="231">
        <v>2020</v>
      </c>
      <c r="F1397" s="229"/>
      <c r="G1397" s="229"/>
      <c r="H1397" s="156">
        <v>12</v>
      </c>
      <c r="I1397" s="232">
        <v>14.7</v>
      </c>
      <c r="J1397" s="234">
        <v>0.2</v>
      </c>
    </row>
    <row r="1398" spans="1:10" x14ac:dyDescent="0.2">
      <c r="A1398" t="s">
        <v>21</v>
      </c>
      <c r="B1398" s="89">
        <v>1674</v>
      </c>
      <c r="C1398" s="229">
        <v>1</v>
      </c>
      <c r="D1398" s="230">
        <v>44056</v>
      </c>
      <c r="E1398" s="231">
        <v>2020</v>
      </c>
      <c r="F1398" s="229"/>
      <c r="G1398" s="229"/>
      <c r="H1398" s="156">
        <v>13</v>
      </c>
      <c r="I1398" s="232">
        <v>14.3</v>
      </c>
      <c r="J1398" s="234">
        <v>0.1</v>
      </c>
    </row>
    <row r="1399" spans="1:10" x14ac:dyDescent="0.2">
      <c r="A1399" t="s">
        <v>21</v>
      </c>
      <c r="B1399" s="89">
        <v>1674</v>
      </c>
      <c r="C1399" s="229">
        <v>1</v>
      </c>
      <c r="D1399" s="230">
        <v>44067</v>
      </c>
      <c r="E1399" s="231">
        <v>2020</v>
      </c>
      <c r="F1399" s="229"/>
      <c r="G1399" s="229"/>
      <c r="H1399" s="156">
        <v>0</v>
      </c>
      <c r="I1399" s="232">
        <v>22</v>
      </c>
      <c r="J1399" s="233">
        <v>8.8000000000000007</v>
      </c>
    </row>
    <row r="1400" spans="1:10" x14ac:dyDescent="0.2">
      <c r="A1400" t="s">
        <v>21</v>
      </c>
      <c r="B1400" s="89">
        <v>1674</v>
      </c>
      <c r="C1400" s="229">
        <v>1</v>
      </c>
      <c r="D1400" s="230">
        <v>44067</v>
      </c>
      <c r="E1400" s="231">
        <v>2020</v>
      </c>
      <c r="F1400" s="229"/>
      <c r="G1400" s="229"/>
      <c r="H1400" s="156">
        <v>1</v>
      </c>
      <c r="I1400" s="232">
        <v>22</v>
      </c>
      <c r="J1400" s="233">
        <v>8.8000000000000007</v>
      </c>
    </row>
    <row r="1401" spans="1:10" x14ac:dyDescent="0.2">
      <c r="A1401" t="s">
        <v>21</v>
      </c>
      <c r="B1401" s="89">
        <v>1674</v>
      </c>
      <c r="C1401" s="229">
        <v>1</v>
      </c>
      <c r="D1401" s="230">
        <v>44067</v>
      </c>
      <c r="E1401" s="231">
        <v>2020</v>
      </c>
      <c r="F1401" s="229"/>
      <c r="G1401" s="229"/>
      <c r="H1401" s="156">
        <v>2</v>
      </c>
      <c r="I1401" s="232">
        <v>21.9</v>
      </c>
      <c r="J1401" s="233">
        <v>8.8000000000000007</v>
      </c>
    </row>
    <row r="1402" spans="1:10" x14ac:dyDescent="0.2">
      <c r="A1402" t="s">
        <v>21</v>
      </c>
      <c r="B1402" s="89">
        <v>1674</v>
      </c>
      <c r="C1402" s="229">
        <v>1</v>
      </c>
      <c r="D1402" s="230">
        <v>44067</v>
      </c>
      <c r="E1402" s="231">
        <v>2020</v>
      </c>
      <c r="F1402" s="229"/>
      <c r="G1402" s="229"/>
      <c r="H1402" s="156">
        <v>3</v>
      </c>
      <c r="I1402" s="232">
        <v>21.8</v>
      </c>
      <c r="J1402" s="233">
        <v>8.6999999999999993</v>
      </c>
    </row>
    <row r="1403" spans="1:10" x14ac:dyDescent="0.2">
      <c r="A1403" t="s">
        <v>21</v>
      </c>
      <c r="B1403" s="89">
        <v>1674</v>
      </c>
      <c r="C1403" s="229">
        <v>1</v>
      </c>
      <c r="D1403" s="230">
        <v>44067</v>
      </c>
      <c r="E1403" s="231">
        <v>2020</v>
      </c>
      <c r="F1403" s="229"/>
      <c r="G1403" s="229"/>
      <c r="H1403" s="156">
        <v>4</v>
      </c>
      <c r="I1403" s="232">
        <v>21.8</v>
      </c>
      <c r="J1403" s="233">
        <v>8.6</v>
      </c>
    </row>
    <row r="1404" spans="1:10" x14ac:dyDescent="0.2">
      <c r="A1404" t="s">
        <v>21</v>
      </c>
      <c r="B1404" s="89">
        <v>1674</v>
      </c>
      <c r="C1404" s="229">
        <v>1</v>
      </c>
      <c r="D1404" s="230">
        <v>44067</v>
      </c>
      <c r="E1404" s="231">
        <v>2020</v>
      </c>
      <c r="F1404" s="229"/>
      <c r="G1404" s="229"/>
      <c r="H1404" s="156">
        <v>5</v>
      </c>
      <c r="I1404" s="232">
        <v>21.6</v>
      </c>
      <c r="J1404" s="233">
        <v>8.1</v>
      </c>
    </row>
    <row r="1405" spans="1:10" x14ac:dyDescent="0.2">
      <c r="A1405" t="s">
        <v>21</v>
      </c>
      <c r="B1405" s="89">
        <v>1674</v>
      </c>
      <c r="C1405" s="229">
        <v>1</v>
      </c>
      <c r="D1405" s="230">
        <v>44067</v>
      </c>
      <c r="E1405" s="231">
        <v>2020</v>
      </c>
      <c r="F1405" s="229"/>
      <c r="G1405" s="229"/>
      <c r="H1405" s="156">
        <v>6</v>
      </c>
      <c r="I1405" s="232">
        <v>21.4</v>
      </c>
      <c r="J1405" s="233">
        <v>7.7</v>
      </c>
    </row>
    <row r="1406" spans="1:10" x14ac:dyDescent="0.2">
      <c r="A1406" t="s">
        <v>21</v>
      </c>
      <c r="B1406" s="89">
        <v>1674</v>
      </c>
      <c r="C1406" s="229">
        <v>1</v>
      </c>
      <c r="D1406" s="230">
        <v>44067</v>
      </c>
      <c r="E1406" s="231">
        <v>2020</v>
      </c>
      <c r="F1406" s="229"/>
      <c r="G1406" s="229"/>
      <c r="H1406" s="156">
        <v>7</v>
      </c>
      <c r="I1406" s="232">
        <v>21.3</v>
      </c>
      <c r="J1406" s="233">
        <v>7.6</v>
      </c>
    </row>
    <row r="1407" spans="1:10" x14ac:dyDescent="0.2">
      <c r="A1407" t="s">
        <v>21</v>
      </c>
      <c r="B1407" s="89">
        <v>1674</v>
      </c>
      <c r="C1407" s="229">
        <v>1</v>
      </c>
      <c r="D1407" s="230">
        <v>44067</v>
      </c>
      <c r="E1407" s="231">
        <v>2020</v>
      </c>
      <c r="F1407" s="229"/>
      <c r="G1407" s="229"/>
      <c r="H1407" s="156">
        <v>8</v>
      </c>
      <c r="I1407" s="232">
        <v>21.1</v>
      </c>
      <c r="J1407" s="233">
        <v>6.4</v>
      </c>
    </row>
    <row r="1408" spans="1:10" x14ac:dyDescent="0.2">
      <c r="A1408" t="s">
        <v>21</v>
      </c>
      <c r="B1408" s="89">
        <v>1674</v>
      </c>
      <c r="C1408" s="229">
        <v>1</v>
      </c>
      <c r="D1408" s="230">
        <v>44067</v>
      </c>
      <c r="E1408" s="231">
        <v>2020</v>
      </c>
      <c r="F1408" s="229"/>
      <c r="G1408" s="229"/>
      <c r="H1408" s="156">
        <v>9</v>
      </c>
      <c r="I1408" s="232">
        <v>20.2</v>
      </c>
      <c r="J1408" s="233">
        <v>3</v>
      </c>
    </row>
    <row r="1409" spans="1:109" x14ac:dyDescent="0.2">
      <c r="A1409" t="s">
        <v>21</v>
      </c>
      <c r="B1409" s="89">
        <v>1674</v>
      </c>
      <c r="C1409" s="229">
        <v>1</v>
      </c>
      <c r="D1409" s="230">
        <v>44067</v>
      </c>
      <c r="E1409" s="231">
        <v>2020</v>
      </c>
      <c r="F1409" s="229"/>
      <c r="G1409" s="229"/>
      <c r="H1409" s="156">
        <v>10</v>
      </c>
      <c r="I1409" s="232">
        <v>18.899999999999999</v>
      </c>
      <c r="J1409" s="234">
        <v>0.4</v>
      </c>
    </row>
    <row r="1410" spans="1:109" x14ac:dyDescent="0.2">
      <c r="A1410" t="s">
        <v>21</v>
      </c>
      <c r="B1410" s="89">
        <v>1674</v>
      </c>
      <c r="C1410" s="229">
        <v>1</v>
      </c>
      <c r="D1410" s="230">
        <v>44067</v>
      </c>
      <c r="E1410" s="231">
        <v>2020</v>
      </c>
      <c r="F1410" s="229"/>
      <c r="G1410" s="229"/>
      <c r="H1410" s="156">
        <v>11</v>
      </c>
      <c r="I1410" s="232">
        <v>16.5</v>
      </c>
      <c r="J1410" s="234">
        <v>0.2</v>
      </c>
    </row>
    <row r="1411" spans="1:109" x14ac:dyDescent="0.2">
      <c r="A1411" t="s">
        <v>21</v>
      </c>
      <c r="B1411" s="89">
        <v>1674</v>
      </c>
      <c r="C1411" s="229">
        <v>1</v>
      </c>
      <c r="D1411" s="230">
        <v>44067</v>
      </c>
      <c r="E1411" s="231">
        <v>2020</v>
      </c>
      <c r="F1411" s="229"/>
      <c r="G1411" s="229"/>
      <c r="H1411" s="156">
        <v>12</v>
      </c>
      <c r="I1411" s="232">
        <v>15.3</v>
      </c>
      <c r="J1411" s="234">
        <v>0.2</v>
      </c>
    </row>
    <row r="1412" spans="1:109" x14ac:dyDescent="0.2">
      <c r="A1412" t="s">
        <v>21</v>
      </c>
      <c r="B1412" s="89">
        <v>1674</v>
      </c>
      <c r="C1412" s="229">
        <v>1</v>
      </c>
      <c r="D1412" s="230">
        <v>44067</v>
      </c>
      <c r="E1412" s="231">
        <v>2020</v>
      </c>
      <c r="F1412" s="229"/>
      <c r="G1412" s="229"/>
      <c r="H1412" s="156">
        <v>13</v>
      </c>
      <c r="I1412" s="232">
        <v>14.5</v>
      </c>
      <c r="J1412" s="234">
        <v>0.1</v>
      </c>
    </row>
    <row r="1413" spans="1:109" s="177" customFormat="1" x14ac:dyDescent="0.2">
      <c r="A1413" s="177" t="s">
        <v>21</v>
      </c>
      <c r="B1413" s="89">
        <v>1674</v>
      </c>
      <c r="C1413" s="229">
        <v>1</v>
      </c>
      <c r="D1413" s="230">
        <v>44071</v>
      </c>
      <c r="E1413" s="231">
        <v>2020</v>
      </c>
      <c r="F1413" s="229"/>
      <c r="G1413" s="229"/>
      <c r="H1413" s="156">
        <v>0</v>
      </c>
      <c r="I1413" s="232">
        <v>21.5</v>
      </c>
      <c r="J1413" s="233">
        <v>9.1999999999999993</v>
      </c>
      <c r="K1413" s="89"/>
      <c r="N1413" s="46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  <c r="AM1413" s="38"/>
      <c r="AN1413" s="38"/>
      <c r="AO1413" s="38"/>
      <c r="AP1413" s="38"/>
      <c r="AQ1413" s="38"/>
      <c r="AR1413" s="38"/>
      <c r="AS1413" s="38"/>
      <c r="AT1413" s="38"/>
      <c r="AU1413" s="38"/>
      <c r="AV1413" s="38"/>
      <c r="AW1413" s="38"/>
      <c r="AX1413" s="38"/>
      <c r="AY1413" s="38"/>
      <c r="AZ1413" s="38"/>
      <c r="BA1413" s="38"/>
      <c r="BB1413" s="38"/>
      <c r="BC1413" s="38"/>
      <c r="BD1413" s="38"/>
      <c r="BE1413" s="38"/>
      <c r="BF1413" s="38"/>
      <c r="BG1413" s="182"/>
      <c r="BH1413" s="182"/>
      <c r="BI1413" s="182"/>
      <c r="BJ1413" s="182"/>
      <c r="BK1413" s="182"/>
      <c r="BL1413" s="182"/>
      <c r="BM1413" s="182"/>
      <c r="BN1413" s="182"/>
      <c r="BO1413" s="182"/>
      <c r="BP1413" s="182"/>
      <c r="BQ1413" s="182"/>
      <c r="BR1413" s="182"/>
      <c r="BS1413" s="182"/>
      <c r="BT1413" s="182"/>
      <c r="BU1413" s="182"/>
      <c r="BV1413" s="182"/>
      <c r="BW1413" s="182"/>
      <c r="BX1413" s="182"/>
      <c r="BY1413" s="182"/>
      <c r="BZ1413" s="182"/>
      <c r="CA1413" s="182"/>
      <c r="CB1413" s="182"/>
      <c r="CC1413" s="182"/>
      <c r="CD1413" s="182"/>
      <c r="CE1413" s="182"/>
      <c r="CF1413" s="182"/>
      <c r="CG1413" s="182"/>
      <c r="CH1413" s="182"/>
      <c r="CI1413" s="182"/>
      <c r="CJ1413" s="182"/>
      <c r="CK1413" s="182"/>
      <c r="CL1413" s="182"/>
      <c r="CM1413" s="182"/>
      <c r="CN1413" s="182"/>
      <c r="CO1413" s="182"/>
      <c r="CP1413" s="182"/>
      <c r="CQ1413" s="182"/>
      <c r="CR1413" s="182"/>
      <c r="CS1413" s="182"/>
      <c r="CT1413" s="182"/>
      <c r="CU1413" s="182"/>
      <c r="CV1413" s="182"/>
      <c r="CW1413" s="182"/>
      <c r="CX1413" s="182"/>
      <c r="CY1413" s="182"/>
      <c r="CZ1413" s="182"/>
      <c r="DA1413" s="182"/>
      <c r="DB1413" s="182"/>
      <c r="DC1413" s="182"/>
      <c r="DD1413" s="182"/>
      <c r="DE1413" s="182"/>
    </row>
    <row r="1414" spans="1:109" s="177" customFormat="1" x14ac:dyDescent="0.2">
      <c r="A1414" s="177" t="s">
        <v>21</v>
      </c>
      <c r="B1414" s="89">
        <v>1674</v>
      </c>
      <c r="C1414" s="229">
        <v>1</v>
      </c>
      <c r="D1414" s="230">
        <v>44071</v>
      </c>
      <c r="E1414" s="231">
        <v>2020</v>
      </c>
      <c r="F1414" s="229"/>
      <c r="G1414" s="229"/>
      <c r="H1414" s="156">
        <v>1</v>
      </c>
      <c r="I1414" s="232">
        <v>21.5</v>
      </c>
      <c r="J1414" s="233">
        <v>9.1</v>
      </c>
      <c r="K1414" s="89"/>
      <c r="N1414" s="46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  <c r="AM1414" s="38"/>
      <c r="AN1414" s="38"/>
      <c r="AO1414" s="38"/>
      <c r="AP1414" s="38"/>
      <c r="AQ1414" s="38"/>
      <c r="AR1414" s="38"/>
      <c r="AS1414" s="38"/>
      <c r="AT1414" s="38"/>
      <c r="AU1414" s="38"/>
      <c r="AV1414" s="38"/>
      <c r="AW1414" s="38"/>
      <c r="AX1414" s="38"/>
      <c r="AY1414" s="38"/>
      <c r="AZ1414" s="38"/>
      <c r="BA1414" s="38"/>
      <c r="BB1414" s="38"/>
      <c r="BC1414" s="38"/>
      <c r="BD1414" s="38"/>
      <c r="BE1414" s="38"/>
      <c r="BF1414" s="38"/>
      <c r="BG1414" s="182"/>
      <c r="BH1414" s="182"/>
      <c r="BI1414" s="182"/>
      <c r="BJ1414" s="182"/>
      <c r="BK1414" s="182"/>
      <c r="BL1414" s="182"/>
      <c r="BM1414" s="182"/>
      <c r="BN1414" s="182"/>
      <c r="BO1414" s="182"/>
      <c r="BP1414" s="182"/>
      <c r="BQ1414" s="182"/>
      <c r="BR1414" s="182"/>
      <c r="BS1414" s="182"/>
      <c r="BT1414" s="182"/>
      <c r="BU1414" s="182"/>
      <c r="BV1414" s="182"/>
      <c r="BW1414" s="182"/>
      <c r="BX1414" s="182"/>
      <c r="BY1414" s="182"/>
      <c r="BZ1414" s="182"/>
      <c r="CA1414" s="182"/>
      <c r="CB1414" s="182"/>
      <c r="CC1414" s="182"/>
      <c r="CD1414" s="182"/>
      <c r="CE1414" s="182"/>
      <c r="CF1414" s="182"/>
      <c r="CG1414" s="182"/>
      <c r="CH1414" s="182"/>
      <c r="CI1414" s="182"/>
      <c r="CJ1414" s="182"/>
      <c r="CK1414" s="182"/>
      <c r="CL1414" s="182"/>
      <c r="CM1414" s="182"/>
      <c r="CN1414" s="182"/>
      <c r="CO1414" s="182"/>
      <c r="CP1414" s="182"/>
      <c r="CQ1414" s="182"/>
      <c r="CR1414" s="182"/>
      <c r="CS1414" s="182"/>
      <c r="CT1414" s="182"/>
      <c r="CU1414" s="182"/>
      <c r="CV1414" s="182"/>
      <c r="CW1414" s="182"/>
      <c r="CX1414" s="182"/>
      <c r="CY1414" s="182"/>
      <c r="CZ1414" s="182"/>
      <c r="DA1414" s="182"/>
      <c r="DB1414" s="182"/>
      <c r="DC1414" s="182"/>
      <c r="DD1414" s="182"/>
      <c r="DE1414" s="182"/>
    </row>
    <row r="1415" spans="1:109" x14ac:dyDescent="0.2">
      <c r="A1415" s="177" t="s">
        <v>21</v>
      </c>
      <c r="B1415" s="89">
        <v>1674</v>
      </c>
      <c r="C1415" s="229">
        <v>1</v>
      </c>
      <c r="D1415" s="230">
        <v>44071</v>
      </c>
      <c r="E1415" s="231">
        <v>2020</v>
      </c>
      <c r="F1415" s="229"/>
      <c r="G1415" s="229"/>
      <c r="H1415" s="156">
        <v>2</v>
      </c>
      <c r="I1415" s="232">
        <v>21.3</v>
      </c>
      <c r="J1415" s="233">
        <v>9.1</v>
      </c>
    </row>
    <row r="1416" spans="1:109" x14ac:dyDescent="0.2">
      <c r="A1416" s="177" t="s">
        <v>21</v>
      </c>
      <c r="B1416" s="89">
        <v>1674</v>
      </c>
      <c r="C1416" s="229">
        <v>1</v>
      </c>
      <c r="D1416" s="230">
        <v>44071</v>
      </c>
      <c r="E1416" s="231">
        <v>2020</v>
      </c>
      <c r="F1416" s="229"/>
      <c r="G1416" s="229"/>
      <c r="H1416" s="156">
        <v>3</v>
      </c>
      <c r="I1416" s="232">
        <v>21.1</v>
      </c>
      <c r="J1416" s="233">
        <v>9</v>
      </c>
    </row>
    <row r="1417" spans="1:109" x14ac:dyDescent="0.2">
      <c r="A1417" s="177" t="s">
        <v>21</v>
      </c>
      <c r="B1417" s="89">
        <v>1674</v>
      </c>
      <c r="C1417" s="229">
        <v>1</v>
      </c>
      <c r="D1417" s="230">
        <v>44071</v>
      </c>
      <c r="E1417" s="231">
        <v>2020</v>
      </c>
      <c r="F1417" s="229"/>
      <c r="G1417" s="229"/>
      <c r="H1417" s="156">
        <v>4</v>
      </c>
      <c r="I1417" s="232">
        <v>21</v>
      </c>
      <c r="J1417" s="233">
        <v>8.8000000000000007</v>
      </c>
    </row>
    <row r="1418" spans="1:109" x14ac:dyDescent="0.2">
      <c r="A1418" s="177" t="s">
        <v>21</v>
      </c>
      <c r="B1418" s="89">
        <v>1674</v>
      </c>
      <c r="C1418" s="229">
        <v>1</v>
      </c>
      <c r="D1418" s="230">
        <v>44071</v>
      </c>
      <c r="E1418" s="231">
        <v>2020</v>
      </c>
      <c r="F1418" s="229"/>
      <c r="G1418" s="229"/>
      <c r="H1418" s="156">
        <v>5</v>
      </c>
      <c r="I1418" s="232">
        <v>20.9</v>
      </c>
      <c r="J1418" s="233">
        <v>8.6</v>
      </c>
    </row>
    <row r="1419" spans="1:109" x14ac:dyDescent="0.2">
      <c r="A1419" s="177" t="s">
        <v>21</v>
      </c>
      <c r="B1419" s="89">
        <v>1674</v>
      </c>
      <c r="C1419" s="229">
        <v>1</v>
      </c>
      <c r="D1419" s="230">
        <v>44071</v>
      </c>
      <c r="E1419" s="231">
        <v>2020</v>
      </c>
      <c r="F1419" s="229"/>
      <c r="G1419" s="229"/>
      <c r="H1419" s="156">
        <v>6</v>
      </c>
      <c r="I1419" s="232">
        <v>20.8</v>
      </c>
      <c r="J1419" s="233">
        <v>8.1</v>
      </c>
    </row>
    <row r="1420" spans="1:109" x14ac:dyDescent="0.2">
      <c r="A1420" s="177" t="s">
        <v>21</v>
      </c>
      <c r="B1420" s="89">
        <v>1674</v>
      </c>
      <c r="C1420" s="229">
        <v>1</v>
      </c>
      <c r="D1420" s="230">
        <v>44071</v>
      </c>
      <c r="E1420" s="231">
        <v>2020</v>
      </c>
      <c r="F1420" s="229"/>
      <c r="G1420" s="229"/>
      <c r="H1420" s="156">
        <v>7</v>
      </c>
      <c r="I1420" s="232">
        <v>20.7</v>
      </c>
      <c r="J1420" s="233">
        <v>7.5</v>
      </c>
    </row>
    <row r="1421" spans="1:109" x14ac:dyDescent="0.2">
      <c r="A1421" s="177" t="s">
        <v>21</v>
      </c>
      <c r="B1421" s="89">
        <v>1674</v>
      </c>
      <c r="C1421" s="229">
        <v>1</v>
      </c>
      <c r="D1421" s="230">
        <v>44071</v>
      </c>
      <c r="E1421" s="231">
        <v>2020</v>
      </c>
      <c r="F1421" s="229"/>
      <c r="G1421" s="229"/>
      <c r="H1421" s="156">
        <v>8</v>
      </c>
      <c r="I1421" s="232">
        <v>20.6</v>
      </c>
      <c r="J1421" s="233">
        <v>7.2</v>
      </c>
    </row>
    <row r="1422" spans="1:109" x14ac:dyDescent="0.2">
      <c r="A1422" s="177" t="s">
        <v>21</v>
      </c>
      <c r="B1422" s="89">
        <v>1674</v>
      </c>
      <c r="C1422" s="229">
        <v>1</v>
      </c>
      <c r="D1422" s="230">
        <v>44071</v>
      </c>
      <c r="E1422" s="231">
        <v>2020</v>
      </c>
      <c r="F1422" s="229"/>
      <c r="G1422" s="229"/>
      <c r="H1422" s="156">
        <v>9</v>
      </c>
      <c r="I1422" s="232">
        <v>20.399999999999999</v>
      </c>
      <c r="J1422" s="233">
        <v>6.8</v>
      </c>
    </row>
    <row r="1423" spans="1:109" x14ac:dyDescent="0.2">
      <c r="A1423" s="177" t="s">
        <v>21</v>
      </c>
      <c r="B1423" s="89">
        <v>1674</v>
      </c>
      <c r="C1423" s="229">
        <v>1</v>
      </c>
      <c r="D1423" s="230">
        <v>44071</v>
      </c>
      <c r="E1423" s="231">
        <v>2020</v>
      </c>
      <c r="F1423" s="229"/>
      <c r="G1423" s="229"/>
      <c r="H1423" s="156">
        <v>10</v>
      </c>
      <c r="I1423" s="232">
        <v>20.2</v>
      </c>
      <c r="J1423" s="239">
        <v>5.7</v>
      </c>
    </row>
    <row r="1424" spans="1:109" x14ac:dyDescent="0.2">
      <c r="A1424" s="177" t="s">
        <v>21</v>
      </c>
      <c r="B1424" s="89">
        <v>1674</v>
      </c>
      <c r="C1424" s="229">
        <v>1</v>
      </c>
      <c r="D1424" s="230">
        <v>44071</v>
      </c>
      <c r="E1424" s="231">
        <v>2020</v>
      </c>
      <c r="F1424" s="229"/>
      <c r="G1424" s="229"/>
      <c r="H1424" s="156">
        <v>11</v>
      </c>
      <c r="I1424" s="232">
        <v>19.8</v>
      </c>
      <c r="J1424" s="239">
        <v>4.7</v>
      </c>
    </row>
    <row r="1425" spans="1:10" x14ac:dyDescent="0.2">
      <c r="A1425" s="177" t="s">
        <v>21</v>
      </c>
      <c r="B1425" s="89">
        <v>1674</v>
      </c>
      <c r="C1425" s="229">
        <v>1</v>
      </c>
      <c r="D1425" s="230">
        <v>44071</v>
      </c>
      <c r="E1425" s="231">
        <v>2020</v>
      </c>
      <c r="F1425" s="229"/>
      <c r="G1425" s="229"/>
      <c r="H1425" s="156">
        <v>12</v>
      </c>
      <c r="I1425" s="232">
        <v>18.2</v>
      </c>
      <c r="J1425" s="239">
        <v>0.4</v>
      </c>
    </row>
    <row r="1426" spans="1:10" x14ac:dyDescent="0.2">
      <c r="A1426" s="177" t="s">
        <v>21</v>
      </c>
      <c r="B1426" s="89">
        <v>1674</v>
      </c>
      <c r="C1426" s="229">
        <v>1</v>
      </c>
      <c r="D1426" s="230">
        <v>44071</v>
      </c>
      <c r="E1426" s="231">
        <v>2020</v>
      </c>
      <c r="F1426" s="229"/>
      <c r="G1426" s="229"/>
      <c r="H1426" s="156">
        <v>12.5</v>
      </c>
      <c r="I1426" s="232">
        <v>17.100000000000001</v>
      </c>
      <c r="J1426" s="234">
        <v>0.2</v>
      </c>
    </row>
    <row r="1427" spans="1:10" x14ac:dyDescent="0.2">
      <c r="A1427" t="s">
        <v>21</v>
      </c>
      <c r="B1427" s="89">
        <v>1674</v>
      </c>
      <c r="C1427" s="229">
        <v>1</v>
      </c>
      <c r="D1427" s="230">
        <v>44083</v>
      </c>
      <c r="E1427" s="231">
        <v>2020</v>
      </c>
      <c r="F1427" s="229"/>
      <c r="G1427" s="229"/>
      <c r="H1427" s="156">
        <v>0</v>
      </c>
      <c r="I1427" s="232">
        <v>17.899999999999999</v>
      </c>
      <c r="J1427" s="233">
        <v>9.3000000000000007</v>
      </c>
    </row>
    <row r="1428" spans="1:10" x14ac:dyDescent="0.2">
      <c r="A1428" t="s">
        <v>21</v>
      </c>
      <c r="B1428" s="89">
        <v>1674</v>
      </c>
      <c r="C1428" s="229">
        <v>1</v>
      </c>
      <c r="D1428" s="230">
        <v>44083</v>
      </c>
      <c r="E1428" s="231">
        <v>2020</v>
      </c>
      <c r="F1428" s="229"/>
      <c r="G1428" s="229"/>
      <c r="H1428" s="156">
        <v>1</v>
      </c>
      <c r="I1428" s="232">
        <v>18</v>
      </c>
      <c r="J1428" s="233">
        <v>9.1999999999999993</v>
      </c>
    </row>
    <row r="1429" spans="1:10" x14ac:dyDescent="0.2">
      <c r="A1429" t="s">
        <v>21</v>
      </c>
      <c r="B1429" s="89">
        <v>1674</v>
      </c>
      <c r="C1429" s="229">
        <v>1</v>
      </c>
      <c r="D1429" s="230">
        <v>44083</v>
      </c>
      <c r="E1429" s="231">
        <v>2020</v>
      </c>
      <c r="F1429" s="229"/>
      <c r="G1429" s="229"/>
      <c r="H1429" s="156">
        <v>2</v>
      </c>
      <c r="I1429" s="232">
        <v>18</v>
      </c>
      <c r="J1429" s="233">
        <v>9.1999999999999993</v>
      </c>
    </row>
    <row r="1430" spans="1:10" x14ac:dyDescent="0.2">
      <c r="A1430" t="s">
        <v>21</v>
      </c>
      <c r="B1430" s="89">
        <v>1674</v>
      </c>
      <c r="C1430" s="229">
        <v>1</v>
      </c>
      <c r="D1430" s="230">
        <v>44083</v>
      </c>
      <c r="E1430" s="231">
        <v>2020</v>
      </c>
      <c r="F1430" s="229"/>
      <c r="G1430" s="229"/>
      <c r="H1430" s="156">
        <v>3</v>
      </c>
      <c r="I1430" s="232">
        <v>18</v>
      </c>
      <c r="J1430" s="233">
        <v>9.1999999999999993</v>
      </c>
    </row>
    <row r="1431" spans="1:10" x14ac:dyDescent="0.2">
      <c r="A1431" t="s">
        <v>21</v>
      </c>
      <c r="B1431" s="89">
        <v>1674</v>
      </c>
      <c r="C1431" s="229">
        <v>1</v>
      </c>
      <c r="D1431" s="230">
        <v>44083</v>
      </c>
      <c r="E1431" s="231">
        <v>2020</v>
      </c>
      <c r="F1431" s="229"/>
      <c r="G1431" s="229"/>
      <c r="H1431" s="156">
        <v>4</v>
      </c>
      <c r="I1431" s="232">
        <v>18</v>
      </c>
      <c r="J1431" s="233">
        <v>9.1999999999999993</v>
      </c>
    </row>
    <row r="1432" spans="1:10" x14ac:dyDescent="0.2">
      <c r="A1432" t="s">
        <v>21</v>
      </c>
      <c r="B1432" s="89">
        <v>1674</v>
      </c>
      <c r="C1432" s="229">
        <v>1</v>
      </c>
      <c r="D1432" s="230">
        <v>44083</v>
      </c>
      <c r="E1432" s="231">
        <v>2020</v>
      </c>
      <c r="F1432" s="229"/>
      <c r="G1432" s="229"/>
      <c r="H1432" s="156">
        <v>5</v>
      </c>
      <c r="I1432" s="232">
        <v>18</v>
      </c>
      <c r="J1432" s="233">
        <v>9.1999999999999993</v>
      </c>
    </row>
    <row r="1433" spans="1:10" x14ac:dyDescent="0.2">
      <c r="A1433" t="s">
        <v>21</v>
      </c>
      <c r="B1433" s="89">
        <v>1674</v>
      </c>
      <c r="C1433" s="229">
        <v>1</v>
      </c>
      <c r="D1433" s="230">
        <v>44083</v>
      </c>
      <c r="E1433" s="231">
        <v>2020</v>
      </c>
      <c r="F1433" s="229"/>
      <c r="G1433" s="229"/>
      <c r="H1433" s="156">
        <v>6</v>
      </c>
      <c r="I1433" s="232">
        <v>18</v>
      </c>
      <c r="J1433" s="233">
        <v>9.1999999999999993</v>
      </c>
    </row>
    <row r="1434" spans="1:10" x14ac:dyDescent="0.2">
      <c r="A1434" t="s">
        <v>21</v>
      </c>
      <c r="B1434" s="89">
        <v>1674</v>
      </c>
      <c r="C1434" s="229">
        <v>1</v>
      </c>
      <c r="D1434" s="230">
        <v>44083</v>
      </c>
      <c r="E1434" s="231">
        <v>2020</v>
      </c>
      <c r="F1434" s="229"/>
      <c r="G1434" s="229"/>
      <c r="H1434" s="156">
        <v>7</v>
      </c>
      <c r="I1434" s="232">
        <v>18</v>
      </c>
      <c r="J1434" s="233">
        <v>9.1999999999999993</v>
      </c>
    </row>
    <row r="1435" spans="1:10" x14ac:dyDescent="0.2">
      <c r="A1435" t="s">
        <v>21</v>
      </c>
      <c r="B1435" s="89">
        <v>1674</v>
      </c>
      <c r="C1435" s="229">
        <v>1</v>
      </c>
      <c r="D1435" s="230">
        <v>44083</v>
      </c>
      <c r="E1435" s="231">
        <v>2020</v>
      </c>
      <c r="F1435" s="229"/>
      <c r="G1435" s="229"/>
      <c r="H1435" s="156">
        <v>8</v>
      </c>
      <c r="I1435" s="232">
        <v>18</v>
      </c>
      <c r="J1435" s="233">
        <v>9.1999999999999993</v>
      </c>
    </row>
    <row r="1436" spans="1:10" x14ac:dyDescent="0.2">
      <c r="A1436" t="s">
        <v>21</v>
      </c>
      <c r="B1436" s="89">
        <v>1674</v>
      </c>
      <c r="C1436" s="229">
        <v>1</v>
      </c>
      <c r="D1436" s="230">
        <v>44083</v>
      </c>
      <c r="E1436" s="231">
        <v>2020</v>
      </c>
      <c r="F1436" s="229"/>
      <c r="G1436" s="229"/>
      <c r="H1436" s="156">
        <v>9</v>
      </c>
      <c r="I1436" s="232">
        <v>17.899999999999999</v>
      </c>
      <c r="J1436" s="233">
        <v>9.1</v>
      </c>
    </row>
    <row r="1437" spans="1:10" x14ac:dyDescent="0.2">
      <c r="A1437" t="s">
        <v>21</v>
      </c>
      <c r="B1437" s="89">
        <v>1674</v>
      </c>
      <c r="C1437" s="229">
        <v>1</v>
      </c>
      <c r="D1437" s="230">
        <v>44083</v>
      </c>
      <c r="E1437" s="231">
        <v>2020</v>
      </c>
      <c r="F1437" s="229"/>
      <c r="G1437" s="229"/>
      <c r="H1437" s="156">
        <v>10</v>
      </c>
      <c r="I1437" s="232">
        <v>17.899999999999999</v>
      </c>
      <c r="J1437" s="233">
        <v>9.1</v>
      </c>
    </row>
    <row r="1438" spans="1:10" x14ac:dyDescent="0.2">
      <c r="A1438" t="s">
        <v>21</v>
      </c>
      <c r="B1438" s="89">
        <v>1674</v>
      </c>
      <c r="C1438" s="229">
        <v>1</v>
      </c>
      <c r="D1438" s="230">
        <v>44083</v>
      </c>
      <c r="E1438" s="231">
        <v>2020</v>
      </c>
      <c r="F1438" s="229"/>
      <c r="G1438" s="229"/>
      <c r="H1438" s="156">
        <v>11</v>
      </c>
      <c r="I1438" s="232">
        <v>17.899999999999999</v>
      </c>
      <c r="J1438" s="233">
        <v>9.1</v>
      </c>
    </row>
    <row r="1439" spans="1:10" x14ac:dyDescent="0.2">
      <c r="A1439" t="s">
        <v>21</v>
      </c>
      <c r="B1439" s="89">
        <v>1674</v>
      </c>
      <c r="C1439" s="229">
        <v>1</v>
      </c>
      <c r="D1439" s="230">
        <v>44083</v>
      </c>
      <c r="E1439" s="231">
        <v>2020</v>
      </c>
      <c r="F1439" s="229"/>
      <c r="G1439" s="229"/>
      <c r="H1439" s="156">
        <v>12</v>
      </c>
      <c r="I1439" s="232">
        <v>17.899999999999999</v>
      </c>
      <c r="J1439" s="233">
        <v>9.1</v>
      </c>
    </row>
    <row r="1440" spans="1:10" x14ac:dyDescent="0.2">
      <c r="A1440" t="s">
        <v>21</v>
      </c>
      <c r="B1440" s="89">
        <v>1674</v>
      </c>
      <c r="C1440" s="229">
        <v>1</v>
      </c>
      <c r="D1440" s="230">
        <v>44083</v>
      </c>
      <c r="E1440" s="231">
        <v>2020</v>
      </c>
      <c r="F1440" s="229"/>
      <c r="G1440" s="229"/>
      <c r="H1440" s="156">
        <v>13</v>
      </c>
      <c r="I1440" s="232">
        <v>17.899999999999999</v>
      </c>
      <c r="J1440" s="233">
        <v>7.7</v>
      </c>
    </row>
    <row r="1441" spans="1:10" x14ac:dyDescent="0.2">
      <c r="A1441" t="s">
        <v>21</v>
      </c>
      <c r="B1441" s="89">
        <v>1674</v>
      </c>
      <c r="C1441" s="229">
        <v>1</v>
      </c>
      <c r="D1441" s="230">
        <v>44099</v>
      </c>
      <c r="E1441" s="231">
        <v>2020</v>
      </c>
      <c r="F1441" s="229"/>
      <c r="G1441" s="229"/>
      <c r="H1441" s="156">
        <v>0</v>
      </c>
      <c r="I1441" s="232">
        <v>14.6</v>
      </c>
      <c r="J1441" s="233">
        <v>10.1</v>
      </c>
    </row>
    <row r="1442" spans="1:10" x14ac:dyDescent="0.2">
      <c r="A1442" t="s">
        <v>21</v>
      </c>
      <c r="B1442" s="89">
        <v>1674</v>
      </c>
      <c r="C1442" s="229">
        <v>1</v>
      </c>
      <c r="D1442" s="230">
        <v>44099</v>
      </c>
      <c r="E1442" s="231">
        <v>2020</v>
      </c>
      <c r="F1442" s="229"/>
      <c r="G1442" s="229"/>
      <c r="H1442" s="156">
        <v>1</v>
      </c>
      <c r="I1442" s="232">
        <v>14.5</v>
      </c>
      <c r="J1442" s="233">
        <v>10.1</v>
      </c>
    </row>
    <row r="1443" spans="1:10" x14ac:dyDescent="0.2">
      <c r="A1443" t="s">
        <v>21</v>
      </c>
      <c r="B1443" s="89">
        <v>1674</v>
      </c>
      <c r="C1443" s="229">
        <v>1</v>
      </c>
      <c r="D1443" s="230">
        <v>44099</v>
      </c>
      <c r="E1443" s="231">
        <v>2020</v>
      </c>
      <c r="F1443" s="229"/>
      <c r="G1443" s="229"/>
      <c r="H1443" s="156">
        <v>2</v>
      </c>
      <c r="I1443" s="232">
        <v>14.5</v>
      </c>
      <c r="J1443" s="233">
        <v>10.1</v>
      </c>
    </row>
    <row r="1444" spans="1:10" x14ac:dyDescent="0.2">
      <c r="A1444" t="s">
        <v>21</v>
      </c>
      <c r="B1444" s="89">
        <v>1674</v>
      </c>
      <c r="C1444" s="229">
        <v>1</v>
      </c>
      <c r="D1444" s="230">
        <v>44099</v>
      </c>
      <c r="E1444" s="231">
        <v>2020</v>
      </c>
      <c r="F1444" s="229"/>
      <c r="G1444" s="229"/>
      <c r="H1444" s="156">
        <v>3</v>
      </c>
      <c r="I1444" s="232">
        <v>14.5</v>
      </c>
      <c r="J1444" s="233">
        <v>10.1</v>
      </c>
    </row>
    <row r="1445" spans="1:10" x14ac:dyDescent="0.2">
      <c r="A1445" t="s">
        <v>21</v>
      </c>
      <c r="B1445" s="89">
        <v>1674</v>
      </c>
      <c r="C1445" s="229">
        <v>1</v>
      </c>
      <c r="D1445" s="230">
        <v>44099</v>
      </c>
      <c r="E1445" s="231">
        <v>2020</v>
      </c>
      <c r="F1445" s="229"/>
      <c r="G1445" s="229"/>
      <c r="H1445" s="156">
        <v>4</v>
      </c>
      <c r="I1445" s="232">
        <v>14.5</v>
      </c>
      <c r="J1445" s="233">
        <v>10</v>
      </c>
    </row>
    <row r="1446" spans="1:10" x14ac:dyDescent="0.2">
      <c r="A1446" t="s">
        <v>21</v>
      </c>
      <c r="B1446" s="89">
        <v>1674</v>
      </c>
      <c r="C1446" s="229">
        <v>1</v>
      </c>
      <c r="D1446" s="230">
        <v>44099</v>
      </c>
      <c r="E1446" s="231">
        <v>2020</v>
      </c>
      <c r="F1446" s="229"/>
      <c r="G1446" s="229"/>
      <c r="H1446" s="156">
        <v>5</v>
      </c>
      <c r="I1446" s="232">
        <v>14.4</v>
      </c>
      <c r="J1446" s="233">
        <v>10</v>
      </c>
    </row>
    <row r="1447" spans="1:10" x14ac:dyDescent="0.2">
      <c r="A1447" t="s">
        <v>21</v>
      </c>
      <c r="B1447" s="89">
        <v>1674</v>
      </c>
      <c r="C1447" s="229">
        <v>1</v>
      </c>
      <c r="D1447" s="230">
        <v>44099</v>
      </c>
      <c r="E1447" s="231">
        <v>2020</v>
      </c>
      <c r="F1447" s="229"/>
      <c r="G1447" s="229"/>
      <c r="H1447" s="156">
        <v>6</v>
      </c>
      <c r="I1447" s="232">
        <v>14.4</v>
      </c>
      <c r="J1447" s="233">
        <v>10</v>
      </c>
    </row>
    <row r="1448" spans="1:10" x14ac:dyDescent="0.2">
      <c r="A1448" t="s">
        <v>21</v>
      </c>
      <c r="B1448" s="89">
        <v>1674</v>
      </c>
      <c r="C1448" s="229">
        <v>1</v>
      </c>
      <c r="D1448" s="230">
        <v>44099</v>
      </c>
      <c r="E1448" s="231">
        <v>2020</v>
      </c>
      <c r="F1448" s="229"/>
      <c r="G1448" s="229"/>
      <c r="H1448" s="156">
        <v>7</v>
      </c>
      <c r="I1448" s="232">
        <v>14.4</v>
      </c>
      <c r="J1448" s="233">
        <v>10</v>
      </c>
    </row>
    <row r="1449" spans="1:10" x14ac:dyDescent="0.2">
      <c r="A1449" t="s">
        <v>21</v>
      </c>
      <c r="B1449" s="89">
        <v>1674</v>
      </c>
      <c r="C1449" s="229">
        <v>1</v>
      </c>
      <c r="D1449" s="230">
        <v>44099</v>
      </c>
      <c r="E1449" s="231">
        <v>2020</v>
      </c>
      <c r="F1449" s="229"/>
      <c r="G1449" s="229"/>
      <c r="H1449" s="156">
        <v>8</v>
      </c>
      <c r="I1449" s="232">
        <v>14.4</v>
      </c>
      <c r="J1449" s="233">
        <v>10</v>
      </c>
    </row>
    <row r="1450" spans="1:10" x14ac:dyDescent="0.2">
      <c r="A1450" t="s">
        <v>21</v>
      </c>
      <c r="B1450" s="89">
        <v>1674</v>
      </c>
      <c r="C1450" s="229">
        <v>1</v>
      </c>
      <c r="D1450" s="230">
        <v>44099</v>
      </c>
      <c r="E1450" s="231">
        <v>2020</v>
      </c>
      <c r="F1450" s="229"/>
      <c r="G1450" s="229"/>
      <c r="H1450" s="156">
        <v>9</v>
      </c>
      <c r="I1450" s="232">
        <v>14.4</v>
      </c>
      <c r="J1450" s="233">
        <v>10</v>
      </c>
    </row>
    <row r="1451" spans="1:10" x14ac:dyDescent="0.2">
      <c r="A1451" t="s">
        <v>21</v>
      </c>
      <c r="B1451" s="89">
        <v>1674</v>
      </c>
      <c r="C1451" s="229">
        <v>1</v>
      </c>
      <c r="D1451" s="230">
        <v>44099</v>
      </c>
      <c r="E1451" s="231">
        <v>2020</v>
      </c>
      <c r="F1451" s="229"/>
      <c r="G1451" s="229"/>
      <c r="H1451" s="156">
        <v>10</v>
      </c>
      <c r="I1451" s="232">
        <v>14.4</v>
      </c>
      <c r="J1451" s="233">
        <v>10</v>
      </c>
    </row>
    <row r="1452" spans="1:10" x14ac:dyDescent="0.2">
      <c r="A1452" t="s">
        <v>21</v>
      </c>
      <c r="B1452" s="89">
        <v>1674</v>
      </c>
      <c r="C1452" s="229">
        <v>1</v>
      </c>
      <c r="D1452" s="230">
        <v>44099</v>
      </c>
      <c r="E1452" s="231">
        <v>2020</v>
      </c>
      <c r="F1452" s="229"/>
      <c r="G1452" s="229"/>
      <c r="H1452" s="156">
        <v>11</v>
      </c>
      <c r="I1452" s="232">
        <v>14.3</v>
      </c>
      <c r="J1452" s="233">
        <v>10</v>
      </c>
    </row>
    <row r="1453" spans="1:10" x14ac:dyDescent="0.2">
      <c r="A1453" t="s">
        <v>21</v>
      </c>
      <c r="B1453" s="89">
        <v>1674</v>
      </c>
      <c r="C1453" s="229">
        <v>1</v>
      </c>
      <c r="D1453" s="230">
        <v>44099</v>
      </c>
      <c r="E1453" s="231">
        <v>2020</v>
      </c>
      <c r="F1453" s="229"/>
      <c r="G1453" s="229"/>
      <c r="H1453" s="156">
        <v>12</v>
      </c>
      <c r="I1453" s="232">
        <v>14.2</v>
      </c>
      <c r="J1453" s="233">
        <v>9.8000000000000007</v>
      </c>
    </row>
    <row r="1454" spans="1:10" x14ac:dyDescent="0.2">
      <c r="A1454" t="s">
        <v>21</v>
      </c>
      <c r="B1454" s="89">
        <v>1674</v>
      </c>
      <c r="C1454" s="229">
        <v>1</v>
      </c>
      <c r="D1454" s="230">
        <v>44099</v>
      </c>
      <c r="E1454" s="231">
        <v>2020</v>
      </c>
      <c r="F1454" s="229"/>
      <c r="G1454" s="229"/>
      <c r="H1454" s="156">
        <v>13</v>
      </c>
      <c r="I1454" s="232">
        <v>14.2</v>
      </c>
      <c r="J1454" s="234">
        <v>0.5</v>
      </c>
    </row>
    <row r="1455" spans="1:10" x14ac:dyDescent="0.2">
      <c r="A1455" t="s">
        <v>21</v>
      </c>
      <c r="B1455" s="89">
        <v>1674</v>
      </c>
      <c r="C1455" s="229">
        <v>1</v>
      </c>
      <c r="D1455" s="230">
        <v>44111</v>
      </c>
      <c r="E1455" s="231">
        <v>2020</v>
      </c>
      <c r="F1455" s="229"/>
      <c r="G1455" s="229"/>
      <c r="H1455" s="156">
        <v>0</v>
      </c>
      <c r="I1455" s="232">
        <v>14</v>
      </c>
      <c r="J1455" s="233">
        <v>10</v>
      </c>
    </row>
    <row r="1456" spans="1:10" x14ac:dyDescent="0.2">
      <c r="A1456" t="s">
        <v>21</v>
      </c>
      <c r="B1456" s="89">
        <v>1674</v>
      </c>
      <c r="C1456" s="229">
        <v>1</v>
      </c>
      <c r="D1456" s="230">
        <v>44111</v>
      </c>
      <c r="E1456" s="231">
        <v>2020</v>
      </c>
      <c r="F1456" s="229"/>
      <c r="G1456" s="229"/>
      <c r="H1456" s="156">
        <v>1</v>
      </c>
      <c r="I1456" s="232">
        <v>14</v>
      </c>
      <c r="J1456" s="233">
        <v>10</v>
      </c>
    </row>
    <row r="1457" spans="1:10" x14ac:dyDescent="0.2">
      <c r="A1457" t="s">
        <v>21</v>
      </c>
      <c r="B1457" s="89">
        <v>1674</v>
      </c>
      <c r="C1457" s="229">
        <v>1</v>
      </c>
      <c r="D1457" s="230">
        <v>44111</v>
      </c>
      <c r="E1457" s="231">
        <v>2020</v>
      </c>
      <c r="F1457" s="229"/>
      <c r="G1457" s="229"/>
      <c r="H1457" s="156">
        <v>2</v>
      </c>
      <c r="I1457" s="232">
        <v>14</v>
      </c>
      <c r="J1457" s="233">
        <v>10</v>
      </c>
    </row>
    <row r="1458" spans="1:10" x14ac:dyDescent="0.2">
      <c r="A1458" t="s">
        <v>21</v>
      </c>
      <c r="B1458" s="89">
        <v>1674</v>
      </c>
      <c r="C1458" s="229">
        <v>1</v>
      </c>
      <c r="D1458" s="230">
        <v>44111</v>
      </c>
      <c r="E1458" s="231">
        <v>2020</v>
      </c>
      <c r="F1458" s="229"/>
      <c r="G1458" s="229"/>
      <c r="H1458" s="156">
        <v>3</v>
      </c>
      <c r="I1458" s="232">
        <v>14</v>
      </c>
      <c r="J1458" s="233">
        <v>10</v>
      </c>
    </row>
    <row r="1459" spans="1:10" x14ac:dyDescent="0.2">
      <c r="A1459" t="s">
        <v>21</v>
      </c>
      <c r="B1459" s="89">
        <v>1674</v>
      </c>
      <c r="C1459" s="229">
        <v>1</v>
      </c>
      <c r="D1459" s="230">
        <v>44111</v>
      </c>
      <c r="E1459" s="231">
        <v>2020</v>
      </c>
      <c r="F1459" s="229"/>
      <c r="G1459" s="229"/>
      <c r="H1459" s="156">
        <v>4</v>
      </c>
      <c r="I1459" s="232">
        <v>14</v>
      </c>
      <c r="J1459" s="233">
        <v>10</v>
      </c>
    </row>
    <row r="1460" spans="1:10" x14ac:dyDescent="0.2">
      <c r="A1460" t="s">
        <v>21</v>
      </c>
      <c r="B1460" s="89">
        <v>1674</v>
      </c>
      <c r="C1460" s="229">
        <v>1</v>
      </c>
      <c r="D1460" s="230">
        <v>44111</v>
      </c>
      <c r="E1460" s="231">
        <v>2020</v>
      </c>
      <c r="F1460" s="229"/>
      <c r="G1460" s="229"/>
      <c r="H1460" s="156">
        <v>5</v>
      </c>
      <c r="I1460" s="232">
        <v>13.9</v>
      </c>
      <c r="J1460" s="233">
        <v>10</v>
      </c>
    </row>
    <row r="1461" spans="1:10" x14ac:dyDescent="0.2">
      <c r="A1461" t="s">
        <v>21</v>
      </c>
      <c r="B1461" s="89">
        <v>1674</v>
      </c>
      <c r="C1461" s="229">
        <v>1</v>
      </c>
      <c r="D1461" s="230">
        <v>44111</v>
      </c>
      <c r="E1461" s="231">
        <v>2020</v>
      </c>
      <c r="F1461" s="229"/>
      <c r="G1461" s="229"/>
      <c r="H1461" s="156">
        <v>6</v>
      </c>
      <c r="I1461" s="232">
        <v>13.9</v>
      </c>
      <c r="J1461" s="233">
        <v>10</v>
      </c>
    </row>
    <row r="1462" spans="1:10" x14ac:dyDescent="0.2">
      <c r="A1462" t="s">
        <v>21</v>
      </c>
      <c r="B1462" s="89">
        <v>1674</v>
      </c>
      <c r="C1462" s="229">
        <v>1</v>
      </c>
      <c r="D1462" s="230">
        <v>44111</v>
      </c>
      <c r="E1462" s="231">
        <v>2020</v>
      </c>
      <c r="F1462" s="229"/>
      <c r="G1462" s="229"/>
      <c r="H1462" s="156">
        <v>7</v>
      </c>
      <c r="I1462" s="232">
        <v>13.9</v>
      </c>
      <c r="J1462" s="233">
        <v>10</v>
      </c>
    </row>
    <row r="1463" spans="1:10" x14ac:dyDescent="0.2">
      <c r="A1463" t="s">
        <v>21</v>
      </c>
      <c r="B1463" s="89">
        <v>1674</v>
      </c>
      <c r="C1463" s="229">
        <v>1</v>
      </c>
      <c r="D1463" s="230">
        <v>44111</v>
      </c>
      <c r="E1463" s="231">
        <v>2020</v>
      </c>
      <c r="F1463" s="229"/>
      <c r="G1463" s="229"/>
      <c r="H1463" s="156">
        <v>8</v>
      </c>
      <c r="I1463" s="232">
        <v>13.9</v>
      </c>
      <c r="J1463" s="233">
        <v>10</v>
      </c>
    </row>
    <row r="1464" spans="1:10" x14ac:dyDescent="0.2">
      <c r="A1464" t="s">
        <v>21</v>
      </c>
      <c r="B1464" s="89">
        <v>1674</v>
      </c>
      <c r="C1464" s="229">
        <v>1</v>
      </c>
      <c r="D1464" s="230">
        <v>44111</v>
      </c>
      <c r="E1464" s="231">
        <v>2020</v>
      </c>
      <c r="F1464" s="229"/>
      <c r="G1464" s="229"/>
      <c r="H1464" s="156">
        <v>9</v>
      </c>
      <c r="I1464" s="232">
        <v>13.9</v>
      </c>
      <c r="J1464" s="233">
        <v>10</v>
      </c>
    </row>
    <row r="1465" spans="1:10" x14ac:dyDescent="0.2">
      <c r="A1465" t="s">
        <v>21</v>
      </c>
      <c r="B1465" s="89">
        <v>1674</v>
      </c>
      <c r="C1465" s="229">
        <v>1</v>
      </c>
      <c r="D1465" s="230">
        <v>44111</v>
      </c>
      <c r="E1465" s="231">
        <v>2020</v>
      </c>
      <c r="F1465" s="229"/>
      <c r="G1465" s="229"/>
      <c r="H1465" s="156">
        <v>10</v>
      </c>
      <c r="I1465" s="232">
        <v>13.9</v>
      </c>
      <c r="J1465" s="233">
        <v>10</v>
      </c>
    </row>
    <row r="1466" spans="1:10" x14ac:dyDescent="0.2">
      <c r="A1466" t="s">
        <v>21</v>
      </c>
      <c r="B1466" s="89">
        <v>1674</v>
      </c>
      <c r="C1466" s="229">
        <v>1</v>
      </c>
      <c r="D1466" s="230">
        <v>44111</v>
      </c>
      <c r="E1466" s="231">
        <v>2020</v>
      </c>
      <c r="F1466" s="229"/>
      <c r="G1466" s="229"/>
      <c r="H1466" s="156">
        <v>11</v>
      </c>
      <c r="I1466" s="232">
        <v>13.9</v>
      </c>
      <c r="J1466" s="233">
        <v>9.99</v>
      </c>
    </row>
    <row r="1467" spans="1:10" x14ac:dyDescent="0.2">
      <c r="A1467" t="s">
        <v>21</v>
      </c>
      <c r="B1467" s="89">
        <v>1674</v>
      </c>
      <c r="C1467" s="229">
        <v>1</v>
      </c>
      <c r="D1467" s="230">
        <v>44111</v>
      </c>
      <c r="E1467" s="231">
        <v>2020</v>
      </c>
      <c r="F1467" s="229"/>
      <c r="G1467" s="229"/>
      <c r="H1467" s="156">
        <v>12</v>
      </c>
      <c r="I1467" s="232">
        <v>13.9</v>
      </c>
      <c r="J1467" s="233">
        <v>9.9</v>
      </c>
    </row>
    <row r="1468" spans="1:10" x14ac:dyDescent="0.2">
      <c r="A1468" t="s">
        <v>21</v>
      </c>
      <c r="B1468" s="89">
        <v>1674</v>
      </c>
      <c r="C1468" s="229">
        <v>1</v>
      </c>
      <c r="D1468" s="230">
        <v>44111</v>
      </c>
      <c r="E1468" s="231">
        <v>2020</v>
      </c>
      <c r="F1468" s="229"/>
      <c r="G1468" s="229"/>
      <c r="H1468" s="156">
        <v>13</v>
      </c>
      <c r="I1468" s="232">
        <v>14</v>
      </c>
      <c r="J1468" s="234">
        <v>0.8</v>
      </c>
    </row>
    <row r="1469" spans="1:10" x14ac:dyDescent="0.2">
      <c r="A1469" t="s">
        <v>21</v>
      </c>
      <c r="B1469" s="89">
        <v>1674</v>
      </c>
      <c r="C1469" s="229">
        <v>1</v>
      </c>
      <c r="D1469" s="230">
        <v>44122</v>
      </c>
      <c r="E1469" s="231">
        <v>2020</v>
      </c>
      <c r="F1469" s="229"/>
      <c r="G1469" s="229"/>
      <c r="H1469" s="156">
        <v>0</v>
      </c>
      <c r="I1469" s="232">
        <v>10.3</v>
      </c>
      <c r="J1469" s="233">
        <v>10.7</v>
      </c>
    </row>
    <row r="1470" spans="1:10" x14ac:dyDescent="0.2">
      <c r="A1470" s="177" t="s">
        <v>21</v>
      </c>
      <c r="B1470" s="89">
        <v>1674</v>
      </c>
      <c r="C1470" s="229">
        <v>1</v>
      </c>
      <c r="D1470" s="230">
        <v>44122</v>
      </c>
      <c r="E1470" s="231">
        <v>2020</v>
      </c>
      <c r="F1470" s="229"/>
      <c r="G1470" s="229"/>
      <c r="H1470" s="156">
        <v>1</v>
      </c>
      <c r="I1470" s="232">
        <v>10.199999999999999</v>
      </c>
      <c r="J1470" s="233">
        <v>10.7</v>
      </c>
    </row>
    <row r="1471" spans="1:10" x14ac:dyDescent="0.2">
      <c r="A1471" s="177" t="s">
        <v>21</v>
      </c>
      <c r="B1471" s="89">
        <v>1674</v>
      </c>
      <c r="C1471" s="229">
        <v>1</v>
      </c>
      <c r="D1471" s="230">
        <v>44122</v>
      </c>
      <c r="E1471" s="231">
        <v>2020</v>
      </c>
      <c r="F1471" s="229"/>
      <c r="G1471" s="229"/>
      <c r="H1471" s="156">
        <v>2</v>
      </c>
      <c r="I1471" s="232">
        <v>10.199999999999999</v>
      </c>
      <c r="J1471" s="233">
        <v>10.6</v>
      </c>
    </row>
    <row r="1472" spans="1:10" x14ac:dyDescent="0.2">
      <c r="A1472" s="177" t="s">
        <v>21</v>
      </c>
      <c r="B1472" s="89">
        <v>1674</v>
      </c>
      <c r="C1472" s="229">
        <v>1</v>
      </c>
      <c r="D1472" s="230">
        <v>44122</v>
      </c>
      <c r="E1472" s="231">
        <v>2020</v>
      </c>
      <c r="F1472" s="229"/>
      <c r="G1472" s="229"/>
      <c r="H1472" s="156">
        <v>3</v>
      </c>
      <c r="I1472" s="232">
        <v>10.199999999999999</v>
      </c>
      <c r="J1472" s="233">
        <v>10.6</v>
      </c>
    </row>
    <row r="1473" spans="1:10" x14ac:dyDescent="0.2">
      <c r="A1473" s="177" t="s">
        <v>21</v>
      </c>
      <c r="B1473" s="89">
        <v>1674</v>
      </c>
      <c r="C1473" s="229">
        <v>1</v>
      </c>
      <c r="D1473" s="230">
        <v>44122</v>
      </c>
      <c r="E1473" s="231">
        <v>2020</v>
      </c>
      <c r="F1473" s="229"/>
      <c r="G1473" s="229"/>
      <c r="H1473" s="156">
        <v>4</v>
      </c>
      <c r="I1473" s="232">
        <v>10.199999999999999</v>
      </c>
      <c r="J1473" s="233">
        <v>10.6</v>
      </c>
    </row>
    <row r="1474" spans="1:10" x14ac:dyDescent="0.2">
      <c r="A1474" s="177" t="s">
        <v>21</v>
      </c>
      <c r="B1474" s="89">
        <v>1674</v>
      </c>
      <c r="C1474" s="229">
        <v>1</v>
      </c>
      <c r="D1474" s="230">
        <v>44122</v>
      </c>
      <c r="E1474" s="231">
        <v>2020</v>
      </c>
      <c r="F1474" s="229"/>
      <c r="G1474" s="229"/>
      <c r="H1474" s="156">
        <v>5</v>
      </c>
      <c r="I1474" s="232">
        <v>10.199999999999999</v>
      </c>
      <c r="J1474" s="233">
        <v>10.6</v>
      </c>
    </row>
    <row r="1475" spans="1:10" x14ac:dyDescent="0.2">
      <c r="A1475" s="177" t="s">
        <v>21</v>
      </c>
      <c r="B1475" s="89">
        <v>1674</v>
      </c>
      <c r="C1475" s="229">
        <v>1</v>
      </c>
      <c r="D1475" s="230">
        <v>44122</v>
      </c>
      <c r="E1475" s="231">
        <v>2020</v>
      </c>
      <c r="F1475" s="229"/>
      <c r="G1475" s="229"/>
      <c r="H1475" s="156">
        <v>6</v>
      </c>
      <c r="I1475" s="232">
        <v>10.199999999999999</v>
      </c>
      <c r="J1475" s="233">
        <v>10.6</v>
      </c>
    </row>
    <row r="1476" spans="1:10" x14ac:dyDescent="0.2">
      <c r="A1476" s="177" t="s">
        <v>21</v>
      </c>
      <c r="B1476" s="89">
        <v>1674</v>
      </c>
      <c r="C1476" s="229">
        <v>1</v>
      </c>
      <c r="D1476" s="230">
        <v>44122</v>
      </c>
      <c r="E1476" s="231">
        <v>2020</v>
      </c>
      <c r="F1476" s="229"/>
      <c r="G1476" s="229"/>
      <c r="H1476" s="156">
        <v>7</v>
      </c>
      <c r="I1476" s="232">
        <v>10.199999999999999</v>
      </c>
      <c r="J1476" s="233">
        <v>10.6</v>
      </c>
    </row>
    <row r="1477" spans="1:10" x14ac:dyDescent="0.2">
      <c r="A1477" s="177" t="s">
        <v>21</v>
      </c>
      <c r="B1477" s="89">
        <v>1674</v>
      </c>
      <c r="C1477" s="229">
        <v>1</v>
      </c>
      <c r="D1477" s="230">
        <v>44122</v>
      </c>
      <c r="E1477" s="231">
        <v>2020</v>
      </c>
      <c r="F1477" s="229"/>
      <c r="G1477" s="229"/>
      <c r="H1477" s="156">
        <v>8</v>
      </c>
      <c r="I1477" s="232">
        <v>10.199999999999999</v>
      </c>
      <c r="J1477" s="233">
        <v>10.6</v>
      </c>
    </row>
    <row r="1478" spans="1:10" x14ac:dyDescent="0.2">
      <c r="A1478" s="177" t="s">
        <v>21</v>
      </c>
      <c r="B1478" s="89">
        <v>1674</v>
      </c>
      <c r="C1478" s="229">
        <v>1</v>
      </c>
      <c r="D1478" s="230">
        <v>44122</v>
      </c>
      <c r="E1478" s="231">
        <v>2020</v>
      </c>
      <c r="F1478" s="229"/>
      <c r="G1478" s="229"/>
      <c r="H1478" s="156">
        <v>9</v>
      </c>
      <c r="I1478" s="232">
        <v>10.1</v>
      </c>
      <c r="J1478" s="233">
        <v>10.5</v>
      </c>
    </row>
    <row r="1479" spans="1:10" x14ac:dyDescent="0.2">
      <c r="A1479" s="177" t="s">
        <v>21</v>
      </c>
      <c r="B1479" s="89">
        <v>1674</v>
      </c>
      <c r="C1479" s="229">
        <v>1</v>
      </c>
      <c r="D1479" s="230">
        <v>44122</v>
      </c>
      <c r="E1479" s="231">
        <v>2020</v>
      </c>
      <c r="F1479" s="229"/>
      <c r="G1479" s="229"/>
      <c r="H1479" s="156">
        <v>10</v>
      </c>
      <c r="I1479" s="232">
        <v>10.1</v>
      </c>
      <c r="J1479" s="233">
        <v>10.5</v>
      </c>
    </row>
    <row r="1480" spans="1:10" x14ac:dyDescent="0.2">
      <c r="A1480" s="177" t="s">
        <v>21</v>
      </c>
      <c r="B1480" s="89">
        <v>1674</v>
      </c>
      <c r="C1480" s="229">
        <v>1</v>
      </c>
      <c r="D1480" s="230">
        <v>44122</v>
      </c>
      <c r="E1480" s="231">
        <v>2020</v>
      </c>
      <c r="F1480" s="229"/>
      <c r="G1480" s="229"/>
      <c r="H1480" s="156">
        <v>11</v>
      </c>
      <c r="I1480" s="232">
        <v>10</v>
      </c>
      <c r="J1480" s="233">
        <v>10.4</v>
      </c>
    </row>
    <row r="1481" spans="1:10" x14ac:dyDescent="0.2">
      <c r="A1481" s="177" t="s">
        <v>21</v>
      </c>
      <c r="B1481" s="89">
        <v>1674</v>
      </c>
      <c r="C1481" s="229">
        <v>1</v>
      </c>
      <c r="D1481" s="230">
        <v>44122</v>
      </c>
      <c r="E1481" s="231">
        <v>2020</v>
      </c>
      <c r="F1481" s="229"/>
      <c r="G1481" s="229"/>
      <c r="H1481" s="156">
        <v>12</v>
      </c>
      <c r="I1481" s="232">
        <v>10</v>
      </c>
      <c r="J1481" s="233">
        <v>10.5</v>
      </c>
    </row>
    <row r="1482" spans="1:10" x14ac:dyDescent="0.2">
      <c r="A1482" s="177" t="s">
        <v>21</v>
      </c>
      <c r="B1482" s="89">
        <v>1674</v>
      </c>
      <c r="C1482" s="229">
        <v>1</v>
      </c>
      <c r="D1482" s="230">
        <v>44122</v>
      </c>
      <c r="E1482" s="231">
        <v>2020</v>
      </c>
      <c r="F1482" s="229"/>
      <c r="G1482" s="229"/>
      <c r="H1482" s="156">
        <v>13</v>
      </c>
      <c r="I1482" s="232">
        <v>9.8000000000000007</v>
      </c>
      <c r="J1482" s="233">
        <v>10.1</v>
      </c>
    </row>
    <row r="1483" spans="1:10" x14ac:dyDescent="0.2">
      <c r="A1483" s="177" t="s">
        <v>21</v>
      </c>
      <c r="B1483" s="89">
        <v>1674</v>
      </c>
      <c r="C1483" s="229">
        <v>1</v>
      </c>
      <c r="D1483" s="230">
        <v>44122</v>
      </c>
      <c r="E1483" s="231">
        <v>2020</v>
      </c>
      <c r="F1483" s="229"/>
      <c r="G1483" s="229"/>
      <c r="H1483" s="156" t="s">
        <v>301</v>
      </c>
      <c r="I1483" s="232">
        <v>9.8000000000000007</v>
      </c>
      <c r="J1483" s="234">
        <v>0.7</v>
      </c>
    </row>
    <row r="1484" spans="1:10" x14ac:dyDescent="0.2">
      <c r="A1484" s="177" t="s">
        <v>21</v>
      </c>
      <c r="B1484" s="89">
        <v>1674</v>
      </c>
      <c r="C1484" s="229">
        <v>1</v>
      </c>
      <c r="D1484" s="230">
        <v>44139</v>
      </c>
      <c r="E1484" s="229">
        <v>2020</v>
      </c>
      <c r="F1484" s="229"/>
      <c r="G1484" s="229"/>
      <c r="H1484" s="156">
        <v>0</v>
      </c>
      <c r="I1484" s="233">
        <v>4.4000000000000004</v>
      </c>
      <c r="J1484" s="233">
        <v>12.1</v>
      </c>
    </row>
    <row r="1485" spans="1:10" x14ac:dyDescent="0.2">
      <c r="A1485" s="177" t="s">
        <v>21</v>
      </c>
      <c r="B1485" s="89">
        <v>1674</v>
      </c>
      <c r="C1485" s="229">
        <v>1</v>
      </c>
      <c r="D1485" s="230">
        <v>44139</v>
      </c>
      <c r="E1485" s="229">
        <v>2020</v>
      </c>
      <c r="F1485" s="229"/>
      <c r="G1485" s="229"/>
      <c r="H1485" s="156">
        <v>1</v>
      </c>
      <c r="I1485" s="233">
        <v>4.4000000000000004</v>
      </c>
      <c r="J1485" s="233">
        <v>12</v>
      </c>
    </row>
    <row r="1486" spans="1:10" x14ac:dyDescent="0.2">
      <c r="A1486" s="177" t="s">
        <v>21</v>
      </c>
      <c r="B1486" s="89">
        <v>1674</v>
      </c>
      <c r="C1486" s="229">
        <v>1</v>
      </c>
      <c r="D1486" s="230">
        <v>44139</v>
      </c>
      <c r="E1486" s="229">
        <v>2020</v>
      </c>
      <c r="F1486" s="229"/>
      <c r="G1486" s="229"/>
      <c r="H1486" s="156">
        <v>2</v>
      </c>
      <c r="I1486" s="233">
        <v>4.4000000000000004</v>
      </c>
      <c r="J1486" s="233">
        <v>12</v>
      </c>
    </row>
    <row r="1487" spans="1:10" x14ac:dyDescent="0.2">
      <c r="A1487" s="177" t="s">
        <v>21</v>
      </c>
      <c r="B1487" s="89">
        <v>1674</v>
      </c>
      <c r="C1487" s="229">
        <v>1</v>
      </c>
      <c r="D1487" s="230">
        <v>44139</v>
      </c>
      <c r="E1487" s="229">
        <v>2020</v>
      </c>
      <c r="F1487" s="229"/>
      <c r="G1487" s="229"/>
      <c r="H1487" s="156">
        <v>3</v>
      </c>
      <c r="I1487" s="233">
        <v>4.4000000000000004</v>
      </c>
      <c r="J1487" s="233">
        <v>12</v>
      </c>
    </row>
    <row r="1488" spans="1:10" x14ac:dyDescent="0.2">
      <c r="A1488" s="177" t="s">
        <v>21</v>
      </c>
      <c r="B1488" s="89">
        <v>1674</v>
      </c>
      <c r="C1488" s="229">
        <v>1</v>
      </c>
      <c r="D1488" s="230">
        <v>44139</v>
      </c>
      <c r="E1488" s="229">
        <v>2020</v>
      </c>
      <c r="F1488" s="229"/>
      <c r="G1488" s="229"/>
      <c r="H1488" s="156">
        <v>4</v>
      </c>
      <c r="I1488" s="233">
        <v>4.4000000000000004</v>
      </c>
      <c r="J1488" s="233">
        <v>12</v>
      </c>
    </row>
    <row r="1489" spans="1:10" x14ac:dyDescent="0.2">
      <c r="A1489" s="177" t="s">
        <v>21</v>
      </c>
      <c r="B1489" s="89">
        <v>1674</v>
      </c>
      <c r="C1489" s="229">
        <v>1</v>
      </c>
      <c r="D1489" s="230">
        <v>44139</v>
      </c>
      <c r="E1489" s="229">
        <v>2020</v>
      </c>
      <c r="F1489" s="229"/>
      <c r="G1489" s="229"/>
      <c r="H1489" s="156">
        <v>5</v>
      </c>
      <c r="I1489" s="233">
        <v>4.4000000000000004</v>
      </c>
      <c r="J1489" s="233">
        <v>11.9</v>
      </c>
    </row>
    <row r="1490" spans="1:10" x14ac:dyDescent="0.2">
      <c r="A1490" s="177" t="s">
        <v>21</v>
      </c>
      <c r="B1490" s="89">
        <v>1674</v>
      </c>
      <c r="C1490" s="229">
        <v>1</v>
      </c>
      <c r="D1490" s="230">
        <v>44139</v>
      </c>
      <c r="E1490" s="229">
        <v>2020</v>
      </c>
      <c r="F1490" s="229"/>
      <c r="G1490" s="229"/>
      <c r="H1490" s="156">
        <v>6</v>
      </c>
      <c r="I1490" s="233">
        <v>43</v>
      </c>
      <c r="J1490" s="233">
        <v>11.9</v>
      </c>
    </row>
    <row r="1491" spans="1:10" x14ac:dyDescent="0.2">
      <c r="A1491" s="177" t="s">
        <v>21</v>
      </c>
      <c r="B1491" s="89">
        <v>1674</v>
      </c>
      <c r="C1491" s="229">
        <v>1</v>
      </c>
      <c r="D1491" s="230">
        <v>44139</v>
      </c>
      <c r="E1491" s="229">
        <v>2020</v>
      </c>
      <c r="F1491" s="229"/>
      <c r="G1491" s="229"/>
      <c r="H1491" s="156">
        <v>7</v>
      </c>
      <c r="I1491" s="233">
        <v>4.4000000000000004</v>
      </c>
      <c r="J1491" s="233">
        <v>11.9</v>
      </c>
    </row>
    <row r="1492" spans="1:10" x14ac:dyDescent="0.2">
      <c r="A1492" s="177" t="s">
        <v>21</v>
      </c>
      <c r="B1492" s="89">
        <v>1674</v>
      </c>
      <c r="C1492" s="229">
        <v>1</v>
      </c>
      <c r="D1492" s="230">
        <v>44139</v>
      </c>
      <c r="E1492" s="229">
        <v>2020</v>
      </c>
      <c r="F1492" s="229"/>
      <c r="G1492" s="229"/>
      <c r="H1492" s="156">
        <v>8</v>
      </c>
      <c r="I1492" s="233">
        <v>4.4000000000000004</v>
      </c>
      <c r="J1492" s="233">
        <v>11.9</v>
      </c>
    </row>
    <row r="1493" spans="1:10" x14ac:dyDescent="0.2">
      <c r="A1493" s="177" t="s">
        <v>21</v>
      </c>
      <c r="B1493" s="89">
        <v>1674</v>
      </c>
      <c r="C1493" s="229">
        <v>1</v>
      </c>
      <c r="D1493" s="230">
        <v>44139</v>
      </c>
      <c r="E1493" s="229">
        <v>2020</v>
      </c>
      <c r="F1493" s="229"/>
      <c r="G1493" s="229"/>
      <c r="H1493" s="156">
        <v>9</v>
      </c>
      <c r="I1493" s="233">
        <v>4.4000000000000004</v>
      </c>
      <c r="J1493" s="233">
        <v>11.9</v>
      </c>
    </row>
    <row r="1494" spans="1:10" x14ac:dyDescent="0.2">
      <c r="A1494" s="177" t="s">
        <v>21</v>
      </c>
      <c r="B1494" s="89">
        <v>1674</v>
      </c>
      <c r="C1494" s="229">
        <v>1</v>
      </c>
      <c r="D1494" s="230">
        <v>44139</v>
      </c>
      <c r="E1494" s="229">
        <v>2020</v>
      </c>
      <c r="F1494" s="229"/>
      <c r="G1494" s="229"/>
      <c r="H1494" s="156">
        <v>10</v>
      </c>
      <c r="I1494" s="233">
        <v>4.4000000000000004</v>
      </c>
      <c r="J1494" s="233">
        <v>11.9</v>
      </c>
    </row>
    <row r="1495" spans="1:10" x14ac:dyDescent="0.2">
      <c r="A1495" s="177" t="s">
        <v>21</v>
      </c>
      <c r="B1495" s="89">
        <v>1674</v>
      </c>
      <c r="C1495" s="229">
        <v>1</v>
      </c>
      <c r="D1495" s="230">
        <v>44139</v>
      </c>
      <c r="E1495" s="229">
        <v>2020</v>
      </c>
      <c r="F1495" s="229"/>
      <c r="G1495" s="229"/>
      <c r="H1495" s="156">
        <v>11</v>
      </c>
      <c r="I1495" s="233">
        <v>4.4000000000000004</v>
      </c>
      <c r="J1495" s="233">
        <v>11.9</v>
      </c>
    </row>
    <row r="1496" spans="1:10" x14ac:dyDescent="0.2">
      <c r="A1496" s="177" t="s">
        <v>21</v>
      </c>
      <c r="B1496" s="89">
        <v>1674</v>
      </c>
      <c r="C1496" s="229">
        <v>1</v>
      </c>
      <c r="D1496" s="230">
        <v>44139</v>
      </c>
      <c r="E1496" s="229">
        <v>2020</v>
      </c>
      <c r="F1496" s="229"/>
      <c r="G1496" s="229"/>
      <c r="H1496" s="156">
        <v>12</v>
      </c>
      <c r="I1496" s="233">
        <v>4.4000000000000004</v>
      </c>
      <c r="J1496" s="233">
        <v>11.9</v>
      </c>
    </row>
    <row r="1497" spans="1:10" x14ac:dyDescent="0.2">
      <c r="A1497" s="177" t="s">
        <v>21</v>
      </c>
      <c r="B1497" s="89">
        <v>1674</v>
      </c>
      <c r="C1497" s="229">
        <v>1</v>
      </c>
      <c r="D1497" s="230">
        <v>44139</v>
      </c>
      <c r="E1497" s="229">
        <v>2020</v>
      </c>
      <c r="F1497" s="229"/>
      <c r="G1497" s="229"/>
      <c r="H1497" s="156">
        <v>13</v>
      </c>
      <c r="I1497" s="233">
        <v>4.4000000000000004</v>
      </c>
      <c r="J1497" s="233">
        <v>11.9</v>
      </c>
    </row>
    <row r="1498" spans="1:10" x14ac:dyDescent="0.2">
      <c r="A1498" s="177" t="s">
        <v>21</v>
      </c>
      <c r="B1498" s="89">
        <v>1674</v>
      </c>
      <c r="C1498" s="229">
        <v>1</v>
      </c>
      <c r="D1498" s="230">
        <v>44139</v>
      </c>
      <c r="E1498" s="229">
        <v>2020</v>
      </c>
      <c r="F1498" s="229"/>
      <c r="G1498" s="229"/>
      <c r="H1498" s="156" t="s">
        <v>301</v>
      </c>
      <c r="I1498" s="233">
        <v>4.4000000000000004</v>
      </c>
      <c r="J1498" s="234">
        <v>0.9</v>
      </c>
    </row>
  </sheetData>
  <sortState xmlns:xlrd2="http://schemas.microsoft.com/office/spreadsheetml/2017/richdata2" ref="A4:K1293">
    <sortCondition ref="C4"/>
  </sortState>
  <mergeCells count="23">
    <mergeCell ref="O11:Y12"/>
    <mergeCell ref="BB6:BB7"/>
    <mergeCell ref="BA6:BA7"/>
    <mergeCell ref="AZ6:AZ7"/>
    <mergeCell ref="AY6:AY7"/>
    <mergeCell ref="AX6:AX7"/>
    <mergeCell ref="AU6:AW7"/>
    <mergeCell ref="AQ6:AR7"/>
    <mergeCell ref="AP6:AP7"/>
    <mergeCell ref="O1:O2"/>
    <mergeCell ref="O6:W7"/>
    <mergeCell ref="X6:AB7"/>
    <mergeCell ref="AC6:AF7"/>
    <mergeCell ref="Q1:W2"/>
    <mergeCell ref="X1:AJ2"/>
    <mergeCell ref="AK1:AV2"/>
    <mergeCell ref="AW1:BF2"/>
    <mergeCell ref="AG6:AL7"/>
    <mergeCell ref="AM6:AN7"/>
    <mergeCell ref="P1:P2"/>
    <mergeCell ref="AO6:AO7"/>
    <mergeCell ref="AT6:AT7"/>
    <mergeCell ref="AS6:AS7"/>
  </mergeCells>
  <conditionalFormatting sqref="J1:J1412 J1427:J1048576">
    <cfRule type="cellIs" dxfId="3" priority="3" operator="lessThan">
      <formula>1</formula>
    </cfRule>
    <cfRule type="cellIs" dxfId="2" priority="4" operator="lessThan">
      <formula>5</formula>
    </cfRule>
  </conditionalFormatting>
  <conditionalFormatting sqref="J1413:J1426">
    <cfRule type="cellIs" dxfId="1" priority="1" operator="lessThan">
      <formula>1</formula>
    </cfRule>
    <cfRule type="cellIs" dxfId="0" priority="2" operator="lessThan">
      <formula>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E26B-DAB3-4BE8-AF44-7AF54E900082}">
  <dimension ref="A1:CJ727"/>
  <sheetViews>
    <sheetView topLeftCell="A516" zoomScaleNormal="100" workbookViewId="0">
      <selection activeCell="R533" sqref="R533"/>
    </sheetView>
  </sheetViews>
  <sheetFormatPr baseColWidth="10" defaultColWidth="8.83203125" defaultRowHeight="15" x14ac:dyDescent="0.2"/>
  <cols>
    <col min="1" max="1" width="8.1640625" style="76" bestFit="1" customWidth="1"/>
    <col min="2" max="2" width="6.5" style="76" bestFit="1" customWidth="1"/>
    <col min="3" max="3" width="3.5" style="76" customWidth="1"/>
    <col min="4" max="4" width="11" style="76" customWidth="1"/>
    <col min="5" max="5" width="7.83203125" style="76" bestFit="1" customWidth="1"/>
    <col min="6" max="6" width="3.6640625" style="76" customWidth="1"/>
    <col min="7" max="7" width="4.83203125" style="257" customWidth="1"/>
    <col min="8" max="8" width="3.5" style="76" customWidth="1"/>
    <col min="9" max="9" width="7.6640625" style="76" bestFit="1" customWidth="1"/>
    <col min="10" max="10" width="4.1640625" style="76" customWidth="1"/>
    <col min="11" max="11" width="7.83203125" style="76" bestFit="1" customWidth="1"/>
    <col min="12" max="12" width="8.5" style="76" bestFit="1" customWidth="1"/>
    <col min="13" max="13" width="5.5" style="76" customWidth="1"/>
    <col min="14" max="14" width="4" customWidth="1"/>
    <col min="15" max="15" width="6.33203125" customWidth="1"/>
    <col min="16" max="16" width="4" hidden="1" customWidth="1"/>
    <col min="17" max="17" width="8.33203125" customWidth="1"/>
    <col min="18" max="18" width="11.6640625" customWidth="1"/>
    <col min="19" max="19" width="7.33203125" customWidth="1"/>
    <col min="20" max="20" width="2.5" hidden="1" customWidth="1"/>
    <col min="21" max="21" width="8.1640625" hidden="1" customWidth="1"/>
    <col min="22" max="22" width="7" customWidth="1"/>
    <col min="23" max="23" width="5" bestFit="1" customWidth="1"/>
    <col min="26" max="26" width="3.6640625" hidden="1" customWidth="1"/>
    <col min="27" max="27" width="7.83203125" hidden="1" customWidth="1"/>
    <col min="28" max="28" width="7.1640625" hidden="1" customWidth="1"/>
    <col min="29" max="29" width="5.5" hidden="1" customWidth="1"/>
    <col min="30" max="30" width="3.1640625" customWidth="1"/>
    <col min="31" max="31" width="20.6640625" bestFit="1" customWidth="1"/>
    <col min="32" max="34" width="13.83203125" customWidth="1"/>
    <col min="35" max="35" width="4.1640625" style="95" customWidth="1"/>
    <col min="36" max="36" width="3.5" style="95" customWidth="1"/>
    <col min="37" max="37" width="7.5" style="146" customWidth="1"/>
    <col min="38" max="38" width="4.1640625" style="146" hidden="1" customWidth="1"/>
    <col min="39" max="39" width="4.33203125" style="146" customWidth="1"/>
    <col min="40" max="41" width="10" style="146" customWidth="1"/>
    <col min="42" max="42" width="3.5" style="146" hidden="1" customWidth="1"/>
    <col min="43" max="43" width="8.1640625" style="146" hidden="1" customWidth="1"/>
    <col min="44" max="44" width="6.5" style="146" bestFit="1" customWidth="1"/>
    <col min="45" max="45" width="5" style="146" bestFit="1" customWidth="1"/>
    <col min="46" max="46" width="10.1640625" style="146" customWidth="1"/>
    <col min="47" max="47" width="6.83203125" style="146" customWidth="1"/>
    <col min="48" max="48" width="2" style="146" customWidth="1"/>
    <col min="49" max="49" width="2.83203125" style="146" customWidth="1"/>
    <col min="50" max="50" width="3.1640625" style="146" customWidth="1"/>
    <col min="51" max="51" width="7.5" style="146" customWidth="1"/>
    <col min="52" max="52" width="3.6640625" style="146" customWidth="1"/>
    <col min="53" max="53" width="8.1640625" bestFit="1" customWidth="1"/>
    <col min="54" max="54" width="5.1640625" hidden="1" customWidth="1"/>
    <col min="55" max="55" width="8.1640625" bestFit="1" customWidth="1"/>
    <col min="56" max="56" width="11.1640625" customWidth="1"/>
    <col min="57" max="57" width="6.83203125" customWidth="1"/>
    <col min="58" max="59" width="2.5" hidden="1" customWidth="1"/>
    <col min="60" max="60" width="6.5" bestFit="1" customWidth="1"/>
    <col min="61" max="61" width="2.83203125" hidden="1" customWidth="1"/>
    <col min="62" max="63" width="7.83203125" customWidth="1"/>
    <col min="64" max="64" width="2.5" hidden="1" customWidth="1"/>
    <col min="65" max="65" width="3.1640625" hidden="1" customWidth="1"/>
    <col min="66" max="66" width="2.83203125" hidden="1" customWidth="1"/>
    <col min="67" max="67" width="5.83203125" customWidth="1"/>
    <col min="68" max="68" width="4" customWidth="1"/>
    <col min="69" max="69" width="8" customWidth="1"/>
    <col min="70" max="70" width="4.6640625" hidden="1" customWidth="1"/>
    <col min="71" max="71" width="4" customWidth="1"/>
    <col min="72" max="72" width="11.6640625" customWidth="1"/>
    <col min="73" max="73" width="7" customWidth="1"/>
    <col min="74" max="75" width="2.83203125" hidden="1" customWidth="1"/>
    <col min="76" max="76" width="7" customWidth="1"/>
    <col min="77" max="77" width="2.83203125" hidden="1" customWidth="1"/>
    <col min="80" max="81" width="4.33203125" hidden="1" customWidth="1"/>
    <col min="82" max="82" width="7.1640625" hidden="1" customWidth="1"/>
    <col min="83" max="83" width="5.6640625" bestFit="1" customWidth="1"/>
    <col min="85" max="85" width="11.83203125" customWidth="1"/>
  </cols>
  <sheetData>
    <row r="1" spans="1:88" x14ac:dyDescent="0.2">
      <c r="A1" s="298" t="s">
        <v>266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O1" s="297" t="s">
        <v>276</v>
      </c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80"/>
      <c r="AE1" s="297" t="s">
        <v>269</v>
      </c>
      <c r="AF1" s="297"/>
      <c r="AG1" s="297"/>
      <c r="AH1" s="297"/>
      <c r="AI1" s="91"/>
      <c r="AJ1" s="91"/>
      <c r="AK1" s="297" t="s">
        <v>274</v>
      </c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7"/>
      <c r="AW1" s="297"/>
      <c r="AX1" s="297"/>
      <c r="AY1" s="297"/>
      <c r="AZ1" s="140"/>
      <c r="BA1" s="297" t="s">
        <v>267</v>
      </c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  <c r="BM1" s="297"/>
      <c r="BN1" s="297"/>
      <c r="BO1" s="297"/>
      <c r="BQ1" s="297" t="s">
        <v>268</v>
      </c>
      <c r="BR1" s="297"/>
      <c r="BS1" s="297"/>
      <c r="BT1" s="297"/>
      <c r="BU1" s="297"/>
      <c r="BV1" s="297"/>
      <c r="BW1" s="297"/>
      <c r="BX1" s="297"/>
      <c r="BY1" s="297"/>
      <c r="BZ1" s="297"/>
      <c r="CA1" s="297"/>
      <c r="CB1" s="297"/>
      <c r="CC1" s="297"/>
      <c r="CD1" s="297"/>
      <c r="CE1" s="297"/>
    </row>
    <row r="2" spans="1:88" x14ac:dyDescent="0.2">
      <c r="A2" s="76" t="s">
        <v>0</v>
      </c>
      <c r="B2" s="76" t="s">
        <v>1</v>
      </c>
      <c r="C2" s="76" t="s">
        <v>2</v>
      </c>
      <c r="D2" s="76" t="s">
        <v>3</v>
      </c>
      <c r="E2" s="76" t="s">
        <v>4</v>
      </c>
      <c r="F2" s="76" t="s">
        <v>5</v>
      </c>
      <c r="G2" s="257" t="s">
        <v>189</v>
      </c>
      <c r="H2" s="76" t="s">
        <v>194</v>
      </c>
      <c r="I2" s="76" t="s">
        <v>228</v>
      </c>
      <c r="J2" s="76" t="s">
        <v>17</v>
      </c>
      <c r="K2" s="76" t="s">
        <v>229</v>
      </c>
      <c r="L2" s="76" t="s">
        <v>230</v>
      </c>
      <c r="M2" s="76" t="s">
        <v>231</v>
      </c>
      <c r="O2" t="s">
        <v>0</v>
      </c>
      <c r="P2" t="s">
        <v>1</v>
      </c>
      <c r="Q2" t="s">
        <v>2</v>
      </c>
      <c r="R2" t="s">
        <v>3</v>
      </c>
      <c r="S2" t="s">
        <v>238</v>
      </c>
      <c r="T2" t="s">
        <v>4</v>
      </c>
      <c r="U2" t="s">
        <v>5</v>
      </c>
      <c r="V2" t="s">
        <v>189</v>
      </c>
      <c r="W2" t="s">
        <v>194</v>
      </c>
      <c r="X2" t="s">
        <v>228</v>
      </c>
      <c r="Y2" t="s">
        <v>265</v>
      </c>
      <c r="Z2" t="s">
        <v>17</v>
      </c>
      <c r="AA2" t="s">
        <v>229</v>
      </c>
      <c r="AB2" t="s">
        <v>230</v>
      </c>
      <c r="AC2" t="s">
        <v>231</v>
      </c>
      <c r="AE2" s="80"/>
      <c r="AF2" s="80" t="s">
        <v>277</v>
      </c>
      <c r="AG2" s="80" t="s">
        <v>278</v>
      </c>
      <c r="AH2" s="80" t="s">
        <v>279</v>
      </c>
      <c r="AI2" s="92"/>
      <c r="AJ2" s="92"/>
      <c r="AK2" s="7" t="s">
        <v>0</v>
      </c>
      <c r="AL2" s="7" t="s">
        <v>1</v>
      </c>
      <c r="AM2" s="7" t="s">
        <v>2</v>
      </c>
      <c r="AN2" s="7" t="s">
        <v>3</v>
      </c>
      <c r="AO2" s="7" t="s">
        <v>238</v>
      </c>
      <c r="AP2" s="7" t="s">
        <v>4</v>
      </c>
      <c r="AQ2" s="7" t="s">
        <v>5</v>
      </c>
      <c r="AR2" s="7" t="s">
        <v>189</v>
      </c>
      <c r="AS2" s="7" t="s">
        <v>194</v>
      </c>
      <c r="AT2" s="7" t="s">
        <v>228</v>
      </c>
      <c r="AU2" s="7" t="s">
        <v>265</v>
      </c>
      <c r="AV2" s="7" t="s">
        <v>17</v>
      </c>
      <c r="AW2" s="7" t="s">
        <v>229</v>
      </c>
      <c r="AX2" s="7" t="s">
        <v>230</v>
      </c>
      <c r="AY2" s="7" t="s">
        <v>231</v>
      </c>
      <c r="AZ2" s="143"/>
      <c r="BA2" t="s">
        <v>0</v>
      </c>
      <c r="BB2" t="s">
        <v>1</v>
      </c>
      <c r="BC2" t="s">
        <v>2</v>
      </c>
      <c r="BD2" t="s">
        <v>3</v>
      </c>
      <c r="BE2" t="s">
        <v>238</v>
      </c>
      <c r="BF2" t="s">
        <v>4</v>
      </c>
      <c r="BG2" t="s">
        <v>5</v>
      </c>
      <c r="BH2" t="s">
        <v>189</v>
      </c>
      <c r="BI2" t="s">
        <v>194</v>
      </c>
      <c r="BJ2" t="s">
        <v>228</v>
      </c>
      <c r="BK2" t="s">
        <v>265</v>
      </c>
      <c r="BL2" t="s">
        <v>17</v>
      </c>
      <c r="BM2" t="s">
        <v>229</v>
      </c>
      <c r="BN2" t="s">
        <v>230</v>
      </c>
      <c r="BO2" t="s">
        <v>231</v>
      </c>
      <c r="BQ2" t="s">
        <v>0</v>
      </c>
      <c r="BR2" t="s">
        <v>1</v>
      </c>
      <c r="BS2" t="s">
        <v>2</v>
      </c>
      <c r="BT2" t="s">
        <v>3</v>
      </c>
      <c r="BU2" t="s">
        <v>238</v>
      </c>
      <c r="BV2" t="s">
        <v>4</v>
      </c>
      <c r="BW2" t="s">
        <v>5</v>
      </c>
      <c r="BX2" t="s">
        <v>189</v>
      </c>
      <c r="BY2" t="s">
        <v>194</v>
      </c>
      <c r="BZ2" t="s">
        <v>228</v>
      </c>
      <c r="CA2" t="s">
        <v>265</v>
      </c>
      <c r="CB2" t="s">
        <v>17</v>
      </c>
      <c r="CC2" t="s">
        <v>229</v>
      </c>
      <c r="CD2" t="s">
        <v>230</v>
      </c>
      <c r="CE2" t="s">
        <v>231</v>
      </c>
      <c r="CG2" s="2">
        <v>30209</v>
      </c>
    </row>
    <row r="3" spans="1:88" x14ac:dyDescent="0.2">
      <c r="A3" s="76" t="s">
        <v>21</v>
      </c>
      <c r="B3" s="76">
        <v>1674</v>
      </c>
      <c r="C3" s="76">
        <v>1</v>
      </c>
      <c r="D3" s="77">
        <v>30572</v>
      </c>
      <c r="G3" s="257">
        <v>7.3</v>
      </c>
      <c r="H3" s="76" t="s">
        <v>211</v>
      </c>
      <c r="I3" s="76">
        <v>3.1E-2</v>
      </c>
      <c r="J3" s="76">
        <v>1</v>
      </c>
      <c r="K3" s="76" t="s">
        <v>232</v>
      </c>
      <c r="L3" s="76">
        <v>1</v>
      </c>
      <c r="M3" s="76" t="s">
        <v>234</v>
      </c>
      <c r="O3" t="s">
        <v>21</v>
      </c>
      <c r="P3">
        <v>1674</v>
      </c>
      <c r="Q3">
        <v>1</v>
      </c>
      <c r="R3" s="2">
        <v>29817</v>
      </c>
      <c r="S3" s="33">
        <f>YEAR(R3)</f>
        <v>1981</v>
      </c>
      <c r="V3">
        <v>10</v>
      </c>
      <c r="W3" t="s">
        <v>32</v>
      </c>
      <c r="X3">
        <v>1.9E-2</v>
      </c>
      <c r="Y3">
        <f>X3*1000</f>
        <v>19</v>
      </c>
      <c r="Z3">
        <v>1</v>
      </c>
      <c r="AA3" t="s">
        <v>232</v>
      </c>
      <c r="AB3">
        <v>1</v>
      </c>
      <c r="AC3" t="s">
        <v>233</v>
      </c>
      <c r="AE3" s="155">
        <v>1981</v>
      </c>
      <c r="AF3" s="97">
        <f>AVERAGE(Y3)</f>
        <v>19</v>
      </c>
      <c r="AG3" s="97"/>
      <c r="AH3" s="97"/>
      <c r="AI3" s="92"/>
      <c r="AJ3" s="92"/>
      <c r="AK3" s="141" t="s">
        <v>21</v>
      </c>
      <c r="AL3" s="141">
        <v>1674</v>
      </c>
      <c r="AM3" s="141">
        <v>1</v>
      </c>
      <c r="AN3" s="142">
        <v>43297</v>
      </c>
      <c r="AO3" s="150">
        <f>YEAR(AN3)</f>
        <v>2018</v>
      </c>
      <c r="AP3" s="141" t="s">
        <v>22</v>
      </c>
      <c r="AQ3" s="141">
        <v>3</v>
      </c>
      <c r="AR3" s="141">
        <v>0</v>
      </c>
      <c r="AS3" s="141" t="s">
        <v>211</v>
      </c>
      <c r="AT3" s="141">
        <v>1.2E-2</v>
      </c>
      <c r="AU3" s="141">
        <f>AT3*1000</f>
        <v>12</v>
      </c>
      <c r="AV3" s="141">
        <v>1</v>
      </c>
      <c r="AW3" s="141" t="s">
        <v>227</v>
      </c>
      <c r="AX3" s="141">
        <v>1</v>
      </c>
      <c r="AY3" s="141" t="s">
        <v>236</v>
      </c>
      <c r="AZ3" s="143"/>
      <c r="BA3" t="s">
        <v>21</v>
      </c>
      <c r="BB3">
        <v>1674</v>
      </c>
      <c r="BC3">
        <v>1</v>
      </c>
      <c r="BD3" s="2">
        <v>30572</v>
      </c>
      <c r="BE3" s="33">
        <f>YEAR(BD3)</f>
        <v>1983</v>
      </c>
      <c r="BH3">
        <v>7.3</v>
      </c>
      <c r="BI3" t="s">
        <v>211</v>
      </c>
      <c r="BJ3">
        <v>3.1E-2</v>
      </c>
      <c r="BK3">
        <f>BJ3*1000</f>
        <v>31</v>
      </c>
      <c r="BL3">
        <v>1</v>
      </c>
      <c r="BM3" t="s">
        <v>232</v>
      </c>
      <c r="BN3">
        <v>1</v>
      </c>
      <c r="BO3" t="s">
        <v>234</v>
      </c>
      <c r="BQ3" t="s">
        <v>21</v>
      </c>
      <c r="BR3">
        <v>1674</v>
      </c>
      <c r="BS3">
        <v>1</v>
      </c>
      <c r="BT3" s="2">
        <v>30209</v>
      </c>
      <c r="BU3" s="33">
        <f>YEAR(BT3)</f>
        <v>1982</v>
      </c>
      <c r="BX3">
        <v>0</v>
      </c>
      <c r="BY3" t="s">
        <v>211</v>
      </c>
      <c r="BZ3">
        <v>0.02</v>
      </c>
      <c r="CA3">
        <f>BZ3*1000</f>
        <v>20</v>
      </c>
      <c r="CB3">
        <v>1</v>
      </c>
      <c r="CC3" t="s">
        <v>232</v>
      </c>
      <c r="CD3">
        <v>10</v>
      </c>
      <c r="CE3" t="s">
        <v>235</v>
      </c>
      <c r="CG3" s="213">
        <v>31497</v>
      </c>
      <c r="CI3" s="75">
        <f>COUNTA(CG2:CG58)</f>
        <v>57</v>
      </c>
      <c r="CJ3" s="75" t="s">
        <v>280</v>
      </c>
    </row>
    <row r="4" spans="1:88" x14ac:dyDescent="0.2">
      <c r="A4" s="76" t="s">
        <v>21</v>
      </c>
      <c r="B4" s="76">
        <v>1674</v>
      </c>
      <c r="C4" s="76">
        <v>1</v>
      </c>
      <c r="D4" s="77">
        <v>34573</v>
      </c>
      <c r="E4" s="76" t="s">
        <v>22</v>
      </c>
      <c r="F4" s="76">
        <v>2</v>
      </c>
      <c r="G4" s="257">
        <v>12</v>
      </c>
      <c r="H4" s="76" t="s">
        <v>211</v>
      </c>
      <c r="I4" s="76">
        <v>3.3000000000000002E-2</v>
      </c>
      <c r="J4" s="76">
        <v>1</v>
      </c>
      <c r="K4" s="76" t="s">
        <v>226</v>
      </c>
      <c r="L4" s="76">
        <v>1</v>
      </c>
      <c r="M4" s="76" t="s">
        <v>234</v>
      </c>
      <c r="O4" t="s">
        <v>21</v>
      </c>
      <c r="P4">
        <v>1674</v>
      </c>
      <c r="Q4">
        <v>1</v>
      </c>
      <c r="R4" s="2">
        <v>30209</v>
      </c>
      <c r="S4" s="33">
        <f t="shared" ref="S4:S36" si="0">YEAR(R4)</f>
        <v>1982</v>
      </c>
      <c r="V4">
        <v>10</v>
      </c>
      <c r="W4" t="s">
        <v>32</v>
      </c>
      <c r="X4">
        <v>2.3E-2</v>
      </c>
      <c r="Y4">
        <f t="shared" ref="Y4:Y36" si="1">X4*1000</f>
        <v>23</v>
      </c>
      <c r="Z4">
        <v>1</v>
      </c>
      <c r="AA4" t="s">
        <v>232</v>
      </c>
      <c r="AB4">
        <v>1</v>
      </c>
      <c r="AC4" t="s">
        <v>233</v>
      </c>
      <c r="AE4" s="155">
        <v>1982</v>
      </c>
      <c r="AF4" s="97">
        <f>AVERAGE(Y4)</f>
        <v>23</v>
      </c>
      <c r="AG4" s="97"/>
      <c r="AH4" s="97"/>
      <c r="AI4" s="92"/>
      <c r="AJ4" s="92"/>
      <c r="AK4" s="141" t="s">
        <v>21</v>
      </c>
      <c r="AL4" s="141">
        <v>1674</v>
      </c>
      <c r="AM4" s="141">
        <v>1</v>
      </c>
      <c r="AN4" s="142">
        <v>43325</v>
      </c>
      <c r="AO4" s="150">
        <f>YEAR(AN4)</f>
        <v>2018</v>
      </c>
      <c r="AP4" s="141" t="s">
        <v>22</v>
      </c>
      <c r="AQ4" s="141">
        <v>3</v>
      </c>
      <c r="AR4" s="141">
        <v>0</v>
      </c>
      <c r="AS4" s="141" t="s">
        <v>211</v>
      </c>
      <c r="AT4" s="141">
        <v>8.9999999999999993E-3</v>
      </c>
      <c r="AU4" s="141">
        <f>AT4*1000</f>
        <v>9</v>
      </c>
      <c r="AV4" s="141">
        <v>1</v>
      </c>
      <c r="AW4" s="141" t="s">
        <v>227</v>
      </c>
      <c r="AX4" s="141">
        <v>1</v>
      </c>
      <c r="AY4" s="141" t="s">
        <v>236</v>
      </c>
      <c r="AZ4" s="143"/>
      <c r="BA4" t="s">
        <v>21</v>
      </c>
      <c r="BB4">
        <v>1674</v>
      </c>
      <c r="BC4">
        <v>1</v>
      </c>
      <c r="BD4" s="2">
        <v>34573</v>
      </c>
      <c r="BE4" s="33">
        <f t="shared" ref="BE4:BE9" si="2">YEAR(BD4)</f>
        <v>1994</v>
      </c>
      <c r="BF4" t="s">
        <v>22</v>
      </c>
      <c r="BG4">
        <v>2</v>
      </c>
      <c r="BH4">
        <v>12</v>
      </c>
      <c r="BI4" t="s">
        <v>211</v>
      </c>
      <c r="BJ4">
        <v>3.3000000000000002E-2</v>
      </c>
      <c r="BK4">
        <f t="shared" ref="BK4:BK9" si="3">BJ4*1000</f>
        <v>33</v>
      </c>
      <c r="BL4">
        <v>1</v>
      </c>
      <c r="BM4" t="s">
        <v>226</v>
      </c>
      <c r="BN4">
        <v>1</v>
      </c>
      <c r="BO4" t="s">
        <v>234</v>
      </c>
      <c r="BQ4" t="s">
        <v>21</v>
      </c>
      <c r="BR4">
        <v>1674</v>
      </c>
      <c r="BS4">
        <v>1</v>
      </c>
      <c r="BT4" s="2">
        <v>30209</v>
      </c>
      <c r="BU4" s="33">
        <f t="shared" ref="BU4:BU67" si="4">YEAR(BT4)</f>
        <v>1982</v>
      </c>
      <c r="BX4">
        <v>1.5</v>
      </c>
      <c r="BY4" t="s">
        <v>211</v>
      </c>
      <c r="BZ4">
        <v>2.8000000000000001E-2</v>
      </c>
      <c r="CA4">
        <f t="shared" ref="CA4:CA67" si="5">BZ4*1000</f>
        <v>28</v>
      </c>
      <c r="CB4">
        <v>1</v>
      </c>
      <c r="CC4" t="s">
        <v>232</v>
      </c>
      <c r="CD4">
        <v>10</v>
      </c>
      <c r="CE4" t="s">
        <v>235</v>
      </c>
      <c r="CG4" s="2">
        <v>31541</v>
      </c>
    </row>
    <row r="5" spans="1:88" x14ac:dyDescent="0.2">
      <c r="A5" s="76" t="s">
        <v>21</v>
      </c>
      <c r="B5" s="76">
        <v>1674</v>
      </c>
      <c r="C5" s="76">
        <v>1</v>
      </c>
      <c r="D5" s="77">
        <v>36752</v>
      </c>
      <c r="E5" s="76" t="s">
        <v>22</v>
      </c>
      <c r="F5" s="76">
        <v>2</v>
      </c>
      <c r="G5" s="257">
        <v>12</v>
      </c>
      <c r="H5" s="76" t="s">
        <v>211</v>
      </c>
      <c r="I5" s="76">
        <v>4.7E-2</v>
      </c>
      <c r="J5" s="76">
        <v>1</v>
      </c>
      <c r="K5" s="76" t="s">
        <v>237</v>
      </c>
      <c r="L5" s="76">
        <v>1</v>
      </c>
      <c r="M5" s="76" t="s">
        <v>234</v>
      </c>
      <c r="O5" t="s">
        <v>21</v>
      </c>
      <c r="P5">
        <v>1674</v>
      </c>
      <c r="Q5">
        <v>1</v>
      </c>
      <c r="R5" s="2">
        <v>30405</v>
      </c>
      <c r="S5" s="33">
        <f t="shared" si="0"/>
        <v>1983</v>
      </c>
      <c r="V5">
        <v>10</v>
      </c>
      <c r="W5" t="s">
        <v>32</v>
      </c>
      <c r="X5">
        <v>1.2999999999999999E-2</v>
      </c>
      <c r="Y5">
        <f t="shared" si="1"/>
        <v>13</v>
      </c>
      <c r="Z5">
        <v>1</v>
      </c>
      <c r="AA5" t="s">
        <v>232</v>
      </c>
      <c r="AB5">
        <v>1</v>
      </c>
      <c r="AC5" t="s">
        <v>233</v>
      </c>
      <c r="AE5" s="155">
        <v>1983</v>
      </c>
      <c r="AF5" s="97">
        <f>AVERAGE(Y5)</f>
        <v>13</v>
      </c>
      <c r="AG5" s="97"/>
      <c r="AH5" s="97"/>
      <c r="AI5" s="92"/>
      <c r="AJ5" s="92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t="s">
        <v>21</v>
      </c>
      <c r="BB5">
        <v>1674</v>
      </c>
      <c r="BC5">
        <v>1</v>
      </c>
      <c r="BD5" s="2">
        <v>36752</v>
      </c>
      <c r="BE5" s="33">
        <f t="shared" si="2"/>
        <v>2000</v>
      </c>
      <c r="BF5" t="s">
        <v>22</v>
      </c>
      <c r="BG5">
        <v>2</v>
      </c>
      <c r="BH5">
        <v>12</v>
      </c>
      <c r="BI5" t="s">
        <v>211</v>
      </c>
      <c r="BJ5">
        <v>4.7E-2</v>
      </c>
      <c r="BK5">
        <f t="shared" si="3"/>
        <v>47</v>
      </c>
      <c r="BL5">
        <v>1</v>
      </c>
      <c r="BM5" t="s">
        <v>237</v>
      </c>
      <c r="BN5">
        <v>1</v>
      </c>
      <c r="BO5" t="s">
        <v>234</v>
      </c>
      <c r="BQ5" t="s">
        <v>21</v>
      </c>
      <c r="BR5">
        <v>1674</v>
      </c>
      <c r="BS5">
        <v>1</v>
      </c>
      <c r="BT5" s="2">
        <v>30209</v>
      </c>
      <c r="BU5" s="33">
        <f t="shared" si="4"/>
        <v>1982</v>
      </c>
      <c r="BX5">
        <v>2.4</v>
      </c>
      <c r="BY5" t="s">
        <v>211</v>
      </c>
      <c r="BZ5">
        <v>1.7999999999999999E-2</v>
      </c>
      <c r="CA5">
        <f t="shared" si="5"/>
        <v>18</v>
      </c>
      <c r="CB5">
        <v>1</v>
      </c>
      <c r="CC5" t="s">
        <v>232</v>
      </c>
      <c r="CD5">
        <v>10</v>
      </c>
      <c r="CE5" t="s">
        <v>235</v>
      </c>
      <c r="CG5" s="2">
        <v>31559</v>
      </c>
    </row>
    <row r="6" spans="1:88" x14ac:dyDescent="0.2">
      <c r="A6" s="76" t="s">
        <v>21</v>
      </c>
      <c r="B6" s="76">
        <v>1674</v>
      </c>
      <c r="C6" s="76">
        <v>1</v>
      </c>
      <c r="D6" s="77">
        <v>37857</v>
      </c>
      <c r="E6" s="76" t="s">
        <v>22</v>
      </c>
      <c r="F6" s="76">
        <v>2</v>
      </c>
      <c r="G6" s="257">
        <v>11</v>
      </c>
      <c r="H6" s="76" t="s">
        <v>211</v>
      </c>
      <c r="I6" s="76">
        <v>1.6E-2</v>
      </c>
      <c r="J6" s="76">
        <v>1</v>
      </c>
      <c r="K6" s="76" t="s">
        <v>237</v>
      </c>
      <c r="L6" s="76">
        <v>1</v>
      </c>
      <c r="M6" s="76" t="s">
        <v>234</v>
      </c>
      <c r="O6" t="s">
        <v>21</v>
      </c>
      <c r="P6">
        <v>1674</v>
      </c>
      <c r="Q6">
        <v>1</v>
      </c>
      <c r="R6" s="2">
        <v>31559</v>
      </c>
      <c r="S6" s="33">
        <f t="shared" si="0"/>
        <v>1986</v>
      </c>
      <c r="V6">
        <v>10</v>
      </c>
      <c r="W6" t="s">
        <v>32</v>
      </c>
      <c r="X6">
        <v>1.7999999999999999E-2</v>
      </c>
      <c r="Y6">
        <f t="shared" si="1"/>
        <v>18</v>
      </c>
      <c r="Z6">
        <v>1</v>
      </c>
      <c r="AA6" t="s">
        <v>232</v>
      </c>
      <c r="AB6">
        <v>1</v>
      </c>
      <c r="AC6" t="s">
        <v>233</v>
      </c>
      <c r="AE6" s="155">
        <v>1986</v>
      </c>
      <c r="AF6" s="97">
        <f>AVERAGE(Y6:Y11)</f>
        <v>22</v>
      </c>
      <c r="AG6" s="97"/>
      <c r="AH6" s="97"/>
      <c r="AI6" s="92"/>
      <c r="AJ6" s="92"/>
      <c r="AK6" s="143"/>
      <c r="AL6" s="143"/>
      <c r="AM6" s="143"/>
      <c r="AN6" s="143"/>
      <c r="AO6" s="143"/>
      <c r="AP6" s="143"/>
      <c r="AQ6" s="143"/>
      <c r="AR6" s="143"/>
      <c r="AS6" s="143"/>
      <c r="AT6" s="149" t="s">
        <v>297</v>
      </c>
      <c r="AU6" s="145">
        <f>AVERAGE(AU3:AU4)</f>
        <v>10.5</v>
      </c>
      <c r="AV6" s="143"/>
      <c r="AW6" s="143"/>
      <c r="AX6" s="143"/>
      <c r="AY6" s="143"/>
      <c r="AZ6" s="143"/>
      <c r="BA6" t="s">
        <v>21</v>
      </c>
      <c r="BB6">
        <v>1674</v>
      </c>
      <c r="BC6">
        <v>1</v>
      </c>
      <c r="BD6" s="2">
        <v>37857</v>
      </c>
      <c r="BE6" s="33">
        <f t="shared" si="2"/>
        <v>2003</v>
      </c>
      <c r="BF6" t="s">
        <v>22</v>
      </c>
      <c r="BG6">
        <v>2</v>
      </c>
      <c r="BH6">
        <v>11</v>
      </c>
      <c r="BI6" t="s">
        <v>211</v>
      </c>
      <c r="BJ6">
        <v>1.6E-2</v>
      </c>
      <c r="BK6">
        <f t="shared" si="3"/>
        <v>16</v>
      </c>
      <c r="BL6">
        <v>1</v>
      </c>
      <c r="BM6" t="s">
        <v>237</v>
      </c>
      <c r="BN6">
        <v>1</v>
      </c>
      <c r="BO6" t="s">
        <v>234</v>
      </c>
      <c r="BQ6" t="s">
        <v>21</v>
      </c>
      <c r="BR6">
        <v>1674</v>
      </c>
      <c r="BS6">
        <v>1</v>
      </c>
      <c r="BT6" s="2">
        <v>30209</v>
      </c>
      <c r="BU6" s="33">
        <f t="shared" si="4"/>
        <v>1982</v>
      </c>
      <c r="BX6">
        <v>3.4</v>
      </c>
      <c r="BY6" t="s">
        <v>211</v>
      </c>
      <c r="BZ6">
        <v>4.9000000000000002E-2</v>
      </c>
      <c r="CA6">
        <f t="shared" si="5"/>
        <v>49</v>
      </c>
      <c r="CB6">
        <v>1</v>
      </c>
      <c r="CC6" t="s">
        <v>232</v>
      </c>
      <c r="CD6">
        <v>10</v>
      </c>
      <c r="CE6" t="s">
        <v>235</v>
      </c>
      <c r="CG6" s="2">
        <v>31574</v>
      </c>
    </row>
    <row r="7" spans="1:88" x14ac:dyDescent="0.2">
      <c r="A7" s="76" t="s">
        <v>21</v>
      </c>
      <c r="B7" s="76">
        <v>1674</v>
      </c>
      <c r="C7" s="76">
        <v>1</v>
      </c>
      <c r="D7" s="77">
        <v>38583</v>
      </c>
      <c r="E7" s="76" t="s">
        <v>22</v>
      </c>
      <c r="F7" s="76">
        <v>2</v>
      </c>
      <c r="G7" s="257">
        <v>12</v>
      </c>
      <c r="H7" s="76" t="s">
        <v>211</v>
      </c>
      <c r="I7" s="76">
        <v>2.5999999999999999E-2</v>
      </c>
      <c r="J7" s="76">
        <v>1</v>
      </c>
      <c r="K7" s="76" t="s">
        <v>213</v>
      </c>
      <c r="L7" s="76">
        <v>1</v>
      </c>
      <c r="M7" s="76" t="s">
        <v>234</v>
      </c>
      <c r="O7" t="s">
        <v>21</v>
      </c>
      <c r="P7">
        <v>1674</v>
      </c>
      <c r="Q7">
        <v>1</v>
      </c>
      <c r="R7" s="2">
        <v>31593</v>
      </c>
      <c r="S7" s="33">
        <f t="shared" si="0"/>
        <v>1986</v>
      </c>
      <c r="V7">
        <v>10</v>
      </c>
      <c r="W7" t="s">
        <v>32</v>
      </c>
      <c r="X7">
        <v>0.02</v>
      </c>
      <c r="Y7">
        <f t="shared" si="1"/>
        <v>20</v>
      </c>
      <c r="Z7">
        <v>1</v>
      </c>
      <c r="AA7" t="s">
        <v>232</v>
      </c>
      <c r="AB7">
        <v>1</v>
      </c>
      <c r="AC7" t="s">
        <v>233</v>
      </c>
      <c r="AE7" s="155">
        <v>1987</v>
      </c>
      <c r="AF7" s="97">
        <f>AVERAGE(Y12:Y14)</f>
        <v>14</v>
      </c>
      <c r="AG7" s="97">
        <f>AVERAGE(Y34:Y35)</f>
        <v>13.5</v>
      </c>
      <c r="AH7" s="97"/>
      <c r="AI7" s="92"/>
      <c r="AJ7" s="92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t="s">
        <v>21</v>
      </c>
      <c r="BB7">
        <v>1674</v>
      </c>
      <c r="BC7">
        <v>1</v>
      </c>
      <c r="BD7" s="2">
        <v>38583</v>
      </c>
      <c r="BE7" s="33">
        <f t="shared" si="2"/>
        <v>2005</v>
      </c>
      <c r="BF7" t="s">
        <v>22</v>
      </c>
      <c r="BG7">
        <v>2</v>
      </c>
      <c r="BH7">
        <v>12</v>
      </c>
      <c r="BI7" t="s">
        <v>211</v>
      </c>
      <c r="BJ7">
        <v>2.5999999999999999E-2</v>
      </c>
      <c r="BK7">
        <f t="shared" si="3"/>
        <v>26</v>
      </c>
      <c r="BL7">
        <v>1</v>
      </c>
      <c r="BM7" t="s">
        <v>213</v>
      </c>
      <c r="BN7">
        <v>1</v>
      </c>
      <c r="BO7" t="s">
        <v>234</v>
      </c>
      <c r="BQ7" t="s">
        <v>21</v>
      </c>
      <c r="BR7">
        <v>1674</v>
      </c>
      <c r="BS7">
        <v>1</v>
      </c>
      <c r="BT7" s="2">
        <v>30209</v>
      </c>
      <c r="BU7" s="33">
        <f t="shared" si="4"/>
        <v>1982</v>
      </c>
      <c r="BX7">
        <v>4.3</v>
      </c>
      <c r="BY7" t="s">
        <v>211</v>
      </c>
      <c r="BZ7">
        <v>1.7999999999999999E-2</v>
      </c>
      <c r="CA7">
        <f t="shared" si="5"/>
        <v>18</v>
      </c>
      <c r="CB7">
        <v>1</v>
      </c>
      <c r="CC7" t="s">
        <v>232</v>
      </c>
      <c r="CD7">
        <v>10</v>
      </c>
      <c r="CE7" t="s">
        <v>235</v>
      </c>
      <c r="CG7" s="2">
        <v>31593</v>
      </c>
    </row>
    <row r="8" spans="1:88" x14ac:dyDescent="0.2">
      <c r="A8" s="76" t="s">
        <v>21</v>
      </c>
      <c r="B8" s="76">
        <v>1674</v>
      </c>
      <c r="C8" s="76">
        <v>1</v>
      </c>
      <c r="D8" s="77">
        <v>40045</v>
      </c>
      <c r="E8" s="76" t="s">
        <v>22</v>
      </c>
      <c r="F8" s="76">
        <v>2</v>
      </c>
      <c r="G8" s="257">
        <v>12</v>
      </c>
      <c r="H8" s="76" t="s">
        <v>211</v>
      </c>
      <c r="I8" s="76">
        <v>2.5000000000000001E-2</v>
      </c>
      <c r="J8" s="76">
        <v>1</v>
      </c>
      <c r="K8" s="76" t="s">
        <v>213</v>
      </c>
      <c r="L8" s="76">
        <v>1</v>
      </c>
      <c r="M8" s="76" t="s">
        <v>234</v>
      </c>
      <c r="O8" t="s">
        <v>21</v>
      </c>
      <c r="P8">
        <v>1674</v>
      </c>
      <c r="Q8">
        <v>1</v>
      </c>
      <c r="R8" s="2">
        <v>31624</v>
      </c>
      <c r="S8" s="33">
        <f t="shared" si="0"/>
        <v>1986</v>
      </c>
      <c r="V8">
        <v>5</v>
      </c>
      <c r="W8" t="s">
        <v>32</v>
      </c>
      <c r="X8">
        <v>0.02</v>
      </c>
      <c r="Y8">
        <f t="shared" si="1"/>
        <v>20</v>
      </c>
      <c r="Z8">
        <v>1</v>
      </c>
      <c r="AA8" t="s">
        <v>232</v>
      </c>
      <c r="AB8">
        <v>1</v>
      </c>
      <c r="AC8" t="s">
        <v>233</v>
      </c>
      <c r="AE8" s="155">
        <v>1991</v>
      </c>
      <c r="AF8" s="97">
        <f>AVERAGE(Y15:Y16)</f>
        <v>16.5</v>
      </c>
      <c r="AG8" s="97"/>
      <c r="AH8" s="97"/>
      <c r="AI8" s="92"/>
      <c r="AJ8" s="92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t="s">
        <v>21</v>
      </c>
      <c r="BB8">
        <v>1674</v>
      </c>
      <c r="BC8">
        <v>1</v>
      </c>
      <c r="BD8" s="2">
        <v>40045</v>
      </c>
      <c r="BE8" s="33">
        <f t="shared" si="2"/>
        <v>2009</v>
      </c>
      <c r="BF8" t="s">
        <v>22</v>
      </c>
      <c r="BG8">
        <v>2</v>
      </c>
      <c r="BH8">
        <v>12</v>
      </c>
      <c r="BI8" t="s">
        <v>211</v>
      </c>
      <c r="BJ8">
        <v>2.5000000000000001E-2</v>
      </c>
      <c r="BK8">
        <f t="shared" si="3"/>
        <v>25</v>
      </c>
      <c r="BL8">
        <v>1</v>
      </c>
      <c r="BM8" t="s">
        <v>213</v>
      </c>
      <c r="BN8">
        <v>1</v>
      </c>
      <c r="BO8" t="s">
        <v>234</v>
      </c>
      <c r="BQ8" t="s">
        <v>21</v>
      </c>
      <c r="BR8">
        <v>1674</v>
      </c>
      <c r="BS8">
        <v>1</v>
      </c>
      <c r="BT8" s="2">
        <v>30209</v>
      </c>
      <c r="BU8" s="33">
        <f t="shared" si="4"/>
        <v>1982</v>
      </c>
      <c r="BX8">
        <v>5.2</v>
      </c>
      <c r="BY8" t="s">
        <v>211</v>
      </c>
      <c r="BZ8">
        <v>2.3E-2</v>
      </c>
      <c r="CA8">
        <f t="shared" si="5"/>
        <v>23</v>
      </c>
      <c r="CB8">
        <v>1</v>
      </c>
      <c r="CC8" t="s">
        <v>232</v>
      </c>
      <c r="CD8">
        <v>10</v>
      </c>
      <c r="CE8" t="s">
        <v>235</v>
      </c>
      <c r="CG8" s="2">
        <v>31609</v>
      </c>
    </row>
    <row r="9" spans="1:88" x14ac:dyDescent="0.2">
      <c r="A9" s="78" t="s">
        <v>21</v>
      </c>
      <c r="B9" s="78">
        <v>1674</v>
      </c>
      <c r="C9" s="78">
        <v>1</v>
      </c>
      <c r="D9" s="79">
        <v>43334</v>
      </c>
      <c r="E9" s="78" t="s">
        <v>22</v>
      </c>
      <c r="F9" s="78">
        <v>2</v>
      </c>
      <c r="G9" s="258">
        <v>12</v>
      </c>
      <c r="H9" s="78" t="s">
        <v>211</v>
      </c>
      <c r="I9" s="78">
        <v>1.7999999999999999E-2</v>
      </c>
      <c r="J9" s="78">
        <v>1</v>
      </c>
      <c r="K9" s="78" t="s">
        <v>227</v>
      </c>
      <c r="L9" s="78">
        <v>1</v>
      </c>
      <c r="M9" s="78" t="s">
        <v>234</v>
      </c>
      <c r="O9" t="s">
        <v>21</v>
      </c>
      <c r="P9">
        <v>1674</v>
      </c>
      <c r="Q9">
        <v>1</v>
      </c>
      <c r="R9" s="2">
        <v>31663</v>
      </c>
      <c r="S9" s="33">
        <f t="shared" si="0"/>
        <v>1986</v>
      </c>
      <c r="V9">
        <v>10</v>
      </c>
      <c r="W9" t="s">
        <v>32</v>
      </c>
      <c r="X9">
        <v>0.03</v>
      </c>
      <c r="Y9">
        <f t="shared" si="1"/>
        <v>30</v>
      </c>
      <c r="Z9">
        <v>1</v>
      </c>
      <c r="AA9" t="s">
        <v>232</v>
      </c>
      <c r="AB9">
        <v>1</v>
      </c>
      <c r="AC9" t="s">
        <v>233</v>
      </c>
      <c r="AE9" s="155">
        <v>1992</v>
      </c>
      <c r="AF9" s="97">
        <f>AVERAGE(Y17)</f>
        <v>15</v>
      </c>
      <c r="AG9" s="97"/>
      <c r="AH9" s="97"/>
      <c r="AI9" s="92"/>
      <c r="AJ9" s="92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32" t="s">
        <v>21</v>
      </c>
      <c r="BB9" s="32">
        <v>1674</v>
      </c>
      <c r="BC9" s="32">
        <v>1</v>
      </c>
      <c r="BD9" s="73">
        <v>43334</v>
      </c>
      <c r="BE9" s="33">
        <f t="shared" si="2"/>
        <v>2018</v>
      </c>
      <c r="BF9" s="32" t="s">
        <v>22</v>
      </c>
      <c r="BG9" s="32">
        <v>2</v>
      </c>
      <c r="BH9" s="32">
        <v>12</v>
      </c>
      <c r="BI9" s="32" t="s">
        <v>211</v>
      </c>
      <c r="BJ9" s="32">
        <v>1.7999999999999999E-2</v>
      </c>
      <c r="BK9">
        <f t="shared" si="3"/>
        <v>18</v>
      </c>
      <c r="BL9" s="32">
        <v>1</v>
      </c>
      <c r="BM9" s="32" t="s">
        <v>227</v>
      </c>
      <c r="BN9" s="32">
        <v>1</v>
      </c>
      <c r="BO9" s="32" t="s">
        <v>234</v>
      </c>
      <c r="BQ9" t="s">
        <v>21</v>
      </c>
      <c r="BR9">
        <v>1674</v>
      </c>
      <c r="BS9">
        <v>1</v>
      </c>
      <c r="BT9" s="2">
        <v>30209</v>
      </c>
      <c r="BU9" s="33">
        <f t="shared" si="4"/>
        <v>1982</v>
      </c>
      <c r="BX9">
        <v>6.1</v>
      </c>
      <c r="BY9" t="s">
        <v>211</v>
      </c>
      <c r="BZ9">
        <v>1.7999999999999999E-2</v>
      </c>
      <c r="CA9">
        <f t="shared" si="5"/>
        <v>18</v>
      </c>
      <c r="CB9">
        <v>1</v>
      </c>
      <c r="CC9" t="s">
        <v>232</v>
      </c>
      <c r="CD9">
        <v>10</v>
      </c>
      <c r="CE9" t="s">
        <v>235</v>
      </c>
      <c r="CG9" s="2">
        <v>31624</v>
      </c>
    </row>
    <row r="10" spans="1:88" x14ac:dyDescent="0.2">
      <c r="A10" s="76" t="s">
        <v>21</v>
      </c>
      <c r="B10" s="76">
        <v>1674</v>
      </c>
      <c r="C10" s="76">
        <v>1</v>
      </c>
      <c r="D10" s="77">
        <v>29817</v>
      </c>
      <c r="G10" s="257">
        <v>10</v>
      </c>
      <c r="H10" s="76" t="s">
        <v>32</v>
      </c>
      <c r="I10" s="76">
        <v>1.9E-2</v>
      </c>
      <c r="J10" s="76">
        <v>1</v>
      </c>
      <c r="K10" s="76" t="s">
        <v>232</v>
      </c>
      <c r="L10" s="76">
        <v>1</v>
      </c>
      <c r="M10" s="76" t="s">
        <v>233</v>
      </c>
      <c r="O10" t="s">
        <v>21</v>
      </c>
      <c r="P10">
        <v>1674</v>
      </c>
      <c r="Q10">
        <v>1</v>
      </c>
      <c r="R10" s="2">
        <v>31684</v>
      </c>
      <c r="S10" s="33">
        <f t="shared" si="0"/>
        <v>1986</v>
      </c>
      <c r="V10">
        <v>10</v>
      </c>
      <c r="W10" t="s">
        <v>32</v>
      </c>
      <c r="X10">
        <v>2.3E-2</v>
      </c>
      <c r="Y10">
        <f t="shared" si="1"/>
        <v>23</v>
      </c>
      <c r="Z10">
        <v>1</v>
      </c>
      <c r="AA10" t="s">
        <v>232</v>
      </c>
      <c r="AB10">
        <v>1</v>
      </c>
      <c r="AC10" t="s">
        <v>233</v>
      </c>
      <c r="AE10" s="155">
        <v>1994</v>
      </c>
      <c r="AF10" s="97">
        <f>AVERAGE(Y18:Y19)</f>
        <v>10</v>
      </c>
      <c r="AG10" s="97"/>
      <c r="AH10" s="97"/>
      <c r="AI10" s="92"/>
      <c r="AJ10" s="92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Q10" t="s">
        <v>21</v>
      </c>
      <c r="BR10">
        <v>1674</v>
      </c>
      <c r="BS10">
        <v>1</v>
      </c>
      <c r="BT10" s="2">
        <v>30209</v>
      </c>
      <c r="BU10" s="33">
        <f t="shared" si="4"/>
        <v>1982</v>
      </c>
      <c r="BX10">
        <v>7</v>
      </c>
      <c r="BY10" t="s">
        <v>211</v>
      </c>
      <c r="BZ10">
        <v>2.3E-2</v>
      </c>
      <c r="CA10">
        <f t="shared" si="5"/>
        <v>23</v>
      </c>
      <c r="CB10">
        <v>1</v>
      </c>
      <c r="CC10" t="s">
        <v>232</v>
      </c>
      <c r="CD10">
        <v>10</v>
      </c>
      <c r="CE10" t="s">
        <v>235</v>
      </c>
      <c r="CG10" s="2">
        <v>31636</v>
      </c>
    </row>
    <row r="11" spans="1:88" x14ac:dyDescent="0.2">
      <c r="A11" s="76" t="s">
        <v>21</v>
      </c>
      <c r="B11" s="76">
        <v>1674</v>
      </c>
      <c r="C11" s="76">
        <v>1</v>
      </c>
      <c r="D11" s="77">
        <v>30209</v>
      </c>
      <c r="G11" s="257">
        <v>10</v>
      </c>
      <c r="H11" s="76" t="s">
        <v>32</v>
      </c>
      <c r="I11" s="76">
        <v>2.3E-2</v>
      </c>
      <c r="J11" s="76">
        <v>1</v>
      </c>
      <c r="K11" s="76" t="s">
        <v>232</v>
      </c>
      <c r="L11" s="76">
        <v>1</v>
      </c>
      <c r="M11" s="76" t="s">
        <v>233</v>
      </c>
      <c r="O11" t="s">
        <v>21</v>
      </c>
      <c r="P11">
        <v>1674</v>
      </c>
      <c r="Q11">
        <v>1</v>
      </c>
      <c r="R11" s="2">
        <v>31714</v>
      </c>
      <c r="S11" s="33">
        <f t="shared" si="0"/>
        <v>1986</v>
      </c>
      <c r="V11">
        <v>10</v>
      </c>
      <c r="W11" t="s">
        <v>32</v>
      </c>
      <c r="X11">
        <v>2.1000000000000001E-2</v>
      </c>
      <c r="Y11">
        <f t="shared" si="1"/>
        <v>21</v>
      </c>
      <c r="Z11">
        <v>1</v>
      </c>
      <c r="AA11" t="s">
        <v>232</v>
      </c>
      <c r="AB11">
        <v>1</v>
      </c>
      <c r="AC11" t="s">
        <v>233</v>
      </c>
      <c r="AE11" s="155">
        <v>1997</v>
      </c>
      <c r="AF11" s="97">
        <f>AVERAGE(Y20)</f>
        <v>15</v>
      </c>
      <c r="AG11" s="97"/>
      <c r="AH11" s="97"/>
      <c r="AI11" s="92"/>
      <c r="AJ11" s="92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J11" s="149" t="s">
        <v>275</v>
      </c>
      <c r="BK11" s="75">
        <f>AVERAGE(BK3:BK9)</f>
        <v>28</v>
      </c>
      <c r="BQ11" t="s">
        <v>21</v>
      </c>
      <c r="BR11">
        <v>1674</v>
      </c>
      <c r="BS11">
        <v>1</v>
      </c>
      <c r="BT11" s="2">
        <v>30209</v>
      </c>
      <c r="BU11" s="33">
        <f t="shared" si="4"/>
        <v>1982</v>
      </c>
      <c r="BX11">
        <v>7.9</v>
      </c>
      <c r="BY11" t="s">
        <v>211</v>
      </c>
      <c r="BZ11">
        <v>2.1000000000000001E-2</v>
      </c>
      <c r="CA11">
        <f t="shared" si="5"/>
        <v>21</v>
      </c>
      <c r="CB11">
        <v>1</v>
      </c>
      <c r="CC11" t="s">
        <v>232</v>
      </c>
      <c r="CD11">
        <v>10</v>
      </c>
      <c r="CE11" t="s">
        <v>235</v>
      </c>
      <c r="CG11" s="2">
        <v>31651</v>
      </c>
    </row>
    <row r="12" spans="1:88" x14ac:dyDescent="0.2">
      <c r="A12" s="76" t="s">
        <v>21</v>
      </c>
      <c r="B12" s="76">
        <v>1674</v>
      </c>
      <c r="C12" s="76">
        <v>1</v>
      </c>
      <c r="D12" s="77">
        <v>30405</v>
      </c>
      <c r="G12" s="257">
        <v>10</v>
      </c>
      <c r="H12" s="76" t="s">
        <v>32</v>
      </c>
      <c r="I12" s="76">
        <v>1.2999999999999999E-2</v>
      </c>
      <c r="J12" s="76">
        <v>1</v>
      </c>
      <c r="K12" s="76" t="s">
        <v>232</v>
      </c>
      <c r="L12" s="76">
        <v>1</v>
      </c>
      <c r="M12" s="76" t="s">
        <v>233</v>
      </c>
      <c r="O12" t="s">
        <v>21</v>
      </c>
      <c r="P12">
        <v>1674</v>
      </c>
      <c r="Q12">
        <v>1</v>
      </c>
      <c r="R12" s="2">
        <v>31834</v>
      </c>
      <c r="S12" s="33">
        <f t="shared" si="0"/>
        <v>1987</v>
      </c>
      <c r="V12">
        <v>10</v>
      </c>
      <c r="W12" t="s">
        <v>32</v>
      </c>
      <c r="X12">
        <v>1.0999999999999999E-2</v>
      </c>
      <c r="Y12">
        <f t="shared" si="1"/>
        <v>11</v>
      </c>
      <c r="Z12">
        <v>1</v>
      </c>
      <c r="AA12" t="s">
        <v>232</v>
      </c>
      <c r="AB12">
        <v>1</v>
      </c>
      <c r="AC12" t="s">
        <v>233</v>
      </c>
      <c r="AE12" s="155">
        <v>2000</v>
      </c>
      <c r="AF12" s="97">
        <f>AVERAGE(Y21:Y22)</f>
        <v>22.5</v>
      </c>
      <c r="AG12" s="97"/>
      <c r="AH12" s="97"/>
      <c r="AI12" s="92"/>
      <c r="AJ12" s="92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Q12" t="s">
        <v>21</v>
      </c>
      <c r="BR12">
        <v>1674</v>
      </c>
      <c r="BS12">
        <v>1</v>
      </c>
      <c r="BT12" s="2">
        <v>30209</v>
      </c>
      <c r="BU12" s="33">
        <f t="shared" si="4"/>
        <v>1982</v>
      </c>
      <c r="BX12">
        <v>9.1</v>
      </c>
      <c r="BY12" t="s">
        <v>211</v>
      </c>
      <c r="BZ12">
        <v>7.0000000000000007E-2</v>
      </c>
      <c r="CA12" s="212">
        <f t="shared" si="5"/>
        <v>70</v>
      </c>
      <c r="CB12">
        <v>1</v>
      </c>
      <c r="CC12" t="s">
        <v>232</v>
      </c>
      <c r="CD12">
        <v>10</v>
      </c>
      <c r="CE12" t="s">
        <v>235</v>
      </c>
      <c r="CG12" s="2">
        <v>31663</v>
      </c>
    </row>
    <row r="13" spans="1:88" x14ac:dyDescent="0.2">
      <c r="A13" s="76" t="s">
        <v>21</v>
      </c>
      <c r="B13" s="76">
        <v>1674</v>
      </c>
      <c r="C13" s="76">
        <v>1</v>
      </c>
      <c r="D13" s="77">
        <v>31559</v>
      </c>
      <c r="G13" s="257">
        <v>10</v>
      </c>
      <c r="H13" s="76" t="s">
        <v>32</v>
      </c>
      <c r="I13" s="76">
        <v>1.7999999999999999E-2</v>
      </c>
      <c r="J13" s="76">
        <v>1</v>
      </c>
      <c r="K13" s="76" t="s">
        <v>232</v>
      </c>
      <c r="L13" s="76">
        <v>1</v>
      </c>
      <c r="M13" s="76" t="s">
        <v>233</v>
      </c>
      <c r="O13" t="s">
        <v>21</v>
      </c>
      <c r="P13">
        <v>1674</v>
      </c>
      <c r="Q13">
        <v>1</v>
      </c>
      <c r="R13" s="2">
        <v>31906</v>
      </c>
      <c r="S13" s="33">
        <f t="shared" si="0"/>
        <v>1987</v>
      </c>
      <c r="V13">
        <v>10</v>
      </c>
      <c r="W13" t="s">
        <v>32</v>
      </c>
      <c r="X13">
        <v>1.4999999999999999E-2</v>
      </c>
      <c r="Y13">
        <f t="shared" si="1"/>
        <v>15</v>
      </c>
      <c r="Z13">
        <v>1</v>
      </c>
      <c r="AA13" t="s">
        <v>232</v>
      </c>
      <c r="AB13">
        <v>1</v>
      </c>
      <c r="AC13" t="s">
        <v>233</v>
      </c>
      <c r="AE13" s="155">
        <v>2003</v>
      </c>
      <c r="AF13" s="97">
        <f>AVERAGE(Y23:Y24)</f>
        <v>11.5</v>
      </c>
      <c r="AG13" s="97"/>
      <c r="AH13" s="97"/>
      <c r="AI13" s="92"/>
      <c r="AJ13" s="92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Q13" t="s">
        <v>21</v>
      </c>
      <c r="BR13">
        <v>1674</v>
      </c>
      <c r="BS13">
        <v>1</v>
      </c>
      <c r="BT13" s="2">
        <v>31497</v>
      </c>
      <c r="BU13" s="33">
        <f t="shared" si="4"/>
        <v>1986</v>
      </c>
      <c r="BX13">
        <v>0</v>
      </c>
      <c r="BY13" t="s">
        <v>211</v>
      </c>
      <c r="BZ13">
        <v>1.4999999999999999E-2</v>
      </c>
      <c r="CA13">
        <f t="shared" si="5"/>
        <v>15</v>
      </c>
      <c r="CB13">
        <v>1</v>
      </c>
      <c r="CC13" t="s">
        <v>232</v>
      </c>
      <c r="CD13">
        <v>7</v>
      </c>
      <c r="CE13" t="s">
        <v>235</v>
      </c>
      <c r="CG13" s="2">
        <v>31684</v>
      </c>
    </row>
    <row r="14" spans="1:88" x14ac:dyDescent="0.2">
      <c r="A14" s="76" t="s">
        <v>21</v>
      </c>
      <c r="B14" s="76">
        <v>1674</v>
      </c>
      <c r="C14" s="76">
        <v>1</v>
      </c>
      <c r="D14" s="77">
        <v>31593</v>
      </c>
      <c r="G14" s="257">
        <v>10</v>
      </c>
      <c r="H14" s="76" t="s">
        <v>32</v>
      </c>
      <c r="I14" s="76">
        <v>0.02</v>
      </c>
      <c r="J14" s="76">
        <v>1</v>
      </c>
      <c r="K14" s="76" t="s">
        <v>232</v>
      </c>
      <c r="L14" s="76">
        <v>1</v>
      </c>
      <c r="M14" s="76" t="s">
        <v>233</v>
      </c>
      <c r="O14" t="s">
        <v>21</v>
      </c>
      <c r="P14">
        <v>1674</v>
      </c>
      <c r="Q14">
        <v>1</v>
      </c>
      <c r="R14" s="2">
        <v>31925</v>
      </c>
      <c r="S14" s="33">
        <f t="shared" si="0"/>
        <v>1987</v>
      </c>
      <c r="V14">
        <v>10</v>
      </c>
      <c r="W14" t="s">
        <v>32</v>
      </c>
      <c r="X14">
        <v>1.6E-2</v>
      </c>
      <c r="Y14">
        <f t="shared" si="1"/>
        <v>16</v>
      </c>
      <c r="Z14">
        <v>1</v>
      </c>
      <c r="AA14" t="s">
        <v>232</v>
      </c>
      <c r="AB14">
        <v>1</v>
      </c>
      <c r="AC14" t="s">
        <v>233</v>
      </c>
      <c r="AE14" s="155">
        <v>2004</v>
      </c>
      <c r="AF14" s="97">
        <f>AVERAGE(Y25:Y27)</f>
        <v>15</v>
      </c>
      <c r="AG14" s="97"/>
      <c r="AH14" s="97"/>
      <c r="AI14" s="92"/>
      <c r="AJ14" s="92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Q14" t="s">
        <v>21</v>
      </c>
      <c r="BR14">
        <v>1674</v>
      </c>
      <c r="BS14">
        <v>1</v>
      </c>
      <c r="BT14" s="2">
        <v>31497</v>
      </c>
      <c r="BU14" s="33">
        <f t="shared" si="4"/>
        <v>1986</v>
      </c>
      <c r="BX14">
        <v>1</v>
      </c>
      <c r="BY14" t="s">
        <v>211</v>
      </c>
      <c r="BZ14">
        <v>1.7000000000000001E-2</v>
      </c>
      <c r="CA14">
        <f t="shared" si="5"/>
        <v>17</v>
      </c>
      <c r="CB14">
        <v>1</v>
      </c>
      <c r="CC14" t="s">
        <v>232</v>
      </c>
      <c r="CD14">
        <v>7</v>
      </c>
      <c r="CE14" t="s">
        <v>235</v>
      </c>
      <c r="CG14" s="2">
        <v>31699</v>
      </c>
    </row>
    <row r="15" spans="1:88" x14ac:dyDescent="0.2">
      <c r="A15" s="76" t="s">
        <v>21</v>
      </c>
      <c r="B15" s="76">
        <v>1674</v>
      </c>
      <c r="C15" s="76">
        <v>1</v>
      </c>
      <c r="D15" s="77">
        <v>31624</v>
      </c>
      <c r="G15" s="257">
        <v>5</v>
      </c>
      <c r="H15" s="76" t="s">
        <v>32</v>
      </c>
      <c r="I15" s="76">
        <v>0.02</v>
      </c>
      <c r="J15" s="76">
        <v>1</v>
      </c>
      <c r="K15" s="76" t="s">
        <v>232</v>
      </c>
      <c r="L15" s="76">
        <v>1</v>
      </c>
      <c r="M15" s="76" t="s">
        <v>233</v>
      </c>
      <c r="O15" t="s">
        <v>21</v>
      </c>
      <c r="P15">
        <v>1674</v>
      </c>
      <c r="Q15">
        <v>1</v>
      </c>
      <c r="R15" s="2">
        <v>33395</v>
      </c>
      <c r="S15" s="33">
        <f t="shared" si="0"/>
        <v>1991</v>
      </c>
      <c r="T15" t="s">
        <v>22</v>
      </c>
      <c r="U15">
        <v>2</v>
      </c>
      <c r="V15">
        <v>10</v>
      </c>
      <c r="W15" t="s">
        <v>32</v>
      </c>
      <c r="X15">
        <v>1.7000000000000001E-2</v>
      </c>
      <c r="Y15">
        <f t="shared" si="1"/>
        <v>17</v>
      </c>
      <c r="Z15">
        <v>1</v>
      </c>
      <c r="AA15" t="s">
        <v>232</v>
      </c>
      <c r="AB15">
        <v>1</v>
      </c>
      <c r="AC15" t="s">
        <v>233</v>
      </c>
      <c r="AE15" s="155">
        <v>2005</v>
      </c>
      <c r="AF15" s="97">
        <f t="shared" ref="AF15:AF20" si="6">AVERAGE(Y28)</f>
        <v>13</v>
      </c>
      <c r="AG15" s="97"/>
      <c r="AH15" s="97"/>
      <c r="AI15" s="92"/>
      <c r="AJ15" s="92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Q15" t="s">
        <v>21</v>
      </c>
      <c r="BR15">
        <v>1674</v>
      </c>
      <c r="BS15">
        <v>1</v>
      </c>
      <c r="BT15" s="2">
        <v>31497</v>
      </c>
      <c r="BU15" s="33">
        <f t="shared" si="4"/>
        <v>1986</v>
      </c>
      <c r="BX15">
        <v>3</v>
      </c>
      <c r="BY15" t="s">
        <v>211</v>
      </c>
      <c r="BZ15">
        <v>1.0999999999999999E-2</v>
      </c>
      <c r="CA15">
        <f t="shared" si="5"/>
        <v>11</v>
      </c>
      <c r="CB15">
        <v>1</v>
      </c>
      <c r="CC15" t="s">
        <v>232</v>
      </c>
      <c r="CD15">
        <v>7</v>
      </c>
      <c r="CE15" t="s">
        <v>235</v>
      </c>
      <c r="CG15" s="2">
        <v>31714</v>
      </c>
    </row>
    <row r="16" spans="1:88" x14ac:dyDescent="0.2">
      <c r="A16" s="76" t="s">
        <v>21</v>
      </c>
      <c r="B16" s="76">
        <v>1674</v>
      </c>
      <c r="C16" s="76">
        <v>1</v>
      </c>
      <c r="D16" s="77">
        <v>31663</v>
      </c>
      <c r="G16" s="257">
        <v>10</v>
      </c>
      <c r="H16" s="76" t="s">
        <v>32</v>
      </c>
      <c r="I16" s="76">
        <v>0.03</v>
      </c>
      <c r="J16" s="76">
        <v>1</v>
      </c>
      <c r="K16" s="76" t="s">
        <v>232</v>
      </c>
      <c r="L16" s="76">
        <v>1</v>
      </c>
      <c r="M16" s="76" t="s">
        <v>233</v>
      </c>
      <c r="O16" t="s">
        <v>21</v>
      </c>
      <c r="P16">
        <v>1674</v>
      </c>
      <c r="Q16">
        <v>1</v>
      </c>
      <c r="R16" s="2">
        <v>33471</v>
      </c>
      <c r="S16" s="33">
        <f t="shared" si="0"/>
        <v>1991</v>
      </c>
      <c r="T16" t="s">
        <v>22</v>
      </c>
      <c r="U16">
        <v>2</v>
      </c>
      <c r="W16" t="s">
        <v>32</v>
      </c>
      <c r="X16">
        <v>1.6E-2</v>
      </c>
      <c r="Y16">
        <f t="shared" si="1"/>
        <v>16</v>
      </c>
      <c r="Z16">
        <v>1</v>
      </c>
      <c r="AA16" t="s">
        <v>232</v>
      </c>
      <c r="AB16">
        <v>1</v>
      </c>
      <c r="AC16" t="s">
        <v>233</v>
      </c>
      <c r="AE16" s="155">
        <v>2009</v>
      </c>
      <c r="AF16" s="97">
        <f t="shared" si="6"/>
        <v>15</v>
      </c>
      <c r="AG16" s="97"/>
      <c r="AH16" s="97"/>
      <c r="AI16" s="92"/>
      <c r="AJ16" s="92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Q16" t="s">
        <v>21</v>
      </c>
      <c r="BR16">
        <v>1674</v>
      </c>
      <c r="BS16">
        <v>1</v>
      </c>
      <c r="BT16" s="2">
        <v>31497</v>
      </c>
      <c r="BU16" s="33">
        <f t="shared" si="4"/>
        <v>1986</v>
      </c>
      <c r="BX16">
        <v>5</v>
      </c>
      <c r="BY16" t="s">
        <v>211</v>
      </c>
      <c r="BZ16">
        <v>1.0999999999999999E-2</v>
      </c>
      <c r="CA16">
        <f t="shared" si="5"/>
        <v>11</v>
      </c>
      <c r="CB16">
        <v>1</v>
      </c>
      <c r="CC16" t="s">
        <v>232</v>
      </c>
      <c r="CD16">
        <v>7</v>
      </c>
      <c r="CE16" t="s">
        <v>235</v>
      </c>
      <c r="CG16" s="213">
        <v>31834</v>
      </c>
    </row>
    <row r="17" spans="1:85" x14ac:dyDescent="0.2">
      <c r="A17" s="76" t="s">
        <v>21</v>
      </c>
      <c r="B17" s="76">
        <v>1674</v>
      </c>
      <c r="C17" s="76">
        <v>1</v>
      </c>
      <c r="D17" s="77">
        <v>31684</v>
      </c>
      <c r="G17" s="257">
        <v>10</v>
      </c>
      <c r="H17" s="76" t="s">
        <v>32</v>
      </c>
      <c r="I17" s="76">
        <v>2.3E-2</v>
      </c>
      <c r="J17" s="76">
        <v>1</v>
      </c>
      <c r="K17" s="76" t="s">
        <v>232</v>
      </c>
      <c r="L17" s="76">
        <v>1</v>
      </c>
      <c r="M17" s="76" t="s">
        <v>233</v>
      </c>
      <c r="O17" t="s">
        <v>21</v>
      </c>
      <c r="P17">
        <v>1674</v>
      </c>
      <c r="Q17">
        <v>1</v>
      </c>
      <c r="R17" s="2">
        <v>33752</v>
      </c>
      <c r="S17" s="33">
        <f t="shared" si="0"/>
        <v>1992</v>
      </c>
      <c r="T17" t="s">
        <v>22</v>
      </c>
      <c r="U17">
        <v>2</v>
      </c>
      <c r="V17">
        <v>10</v>
      </c>
      <c r="W17" t="s">
        <v>32</v>
      </c>
      <c r="X17">
        <v>1.4999999999999999E-2</v>
      </c>
      <c r="Y17">
        <f t="shared" si="1"/>
        <v>15</v>
      </c>
      <c r="Z17">
        <v>1</v>
      </c>
      <c r="AB17">
        <v>1</v>
      </c>
      <c r="AC17" t="s">
        <v>233</v>
      </c>
      <c r="AE17" s="155">
        <v>2016</v>
      </c>
      <c r="AF17" s="97">
        <f t="shared" si="6"/>
        <v>20</v>
      </c>
      <c r="AG17" s="97"/>
      <c r="AH17" s="97"/>
      <c r="AI17" s="92"/>
      <c r="AJ17" s="92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Q17" t="s">
        <v>21</v>
      </c>
      <c r="BR17">
        <v>1674</v>
      </c>
      <c r="BS17">
        <v>1</v>
      </c>
      <c r="BT17" s="2">
        <v>31497</v>
      </c>
      <c r="BU17" s="33">
        <f t="shared" si="4"/>
        <v>1986</v>
      </c>
      <c r="BX17">
        <v>7</v>
      </c>
      <c r="BY17" t="s">
        <v>211</v>
      </c>
      <c r="BZ17">
        <v>1.0999999999999999E-2</v>
      </c>
      <c r="CA17">
        <f t="shared" si="5"/>
        <v>11</v>
      </c>
      <c r="CB17">
        <v>1</v>
      </c>
      <c r="CC17" t="s">
        <v>232</v>
      </c>
      <c r="CD17">
        <v>7</v>
      </c>
      <c r="CE17" t="s">
        <v>235</v>
      </c>
      <c r="CG17" s="2">
        <v>31906</v>
      </c>
    </row>
    <row r="18" spans="1:85" x14ac:dyDescent="0.2">
      <c r="A18" s="76" t="s">
        <v>21</v>
      </c>
      <c r="B18" s="76">
        <v>1674</v>
      </c>
      <c r="C18" s="76">
        <v>1</v>
      </c>
      <c r="D18" s="77">
        <v>31714</v>
      </c>
      <c r="G18" s="257">
        <v>10</v>
      </c>
      <c r="H18" s="76" t="s">
        <v>32</v>
      </c>
      <c r="I18" s="76">
        <v>2.1000000000000001E-2</v>
      </c>
      <c r="J18" s="76">
        <v>1</v>
      </c>
      <c r="K18" s="76" t="s">
        <v>232</v>
      </c>
      <c r="L18" s="76">
        <v>1</v>
      </c>
      <c r="M18" s="76" t="s">
        <v>233</v>
      </c>
      <c r="O18" t="s">
        <v>21</v>
      </c>
      <c r="P18">
        <v>1674</v>
      </c>
      <c r="Q18">
        <v>1</v>
      </c>
      <c r="R18" s="2">
        <v>34511</v>
      </c>
      <c r="S18" s="33">
        <f t="shared" si="0"/>
        <v>1994</v>
      </c>
      <c r="T18" t="s">
        <v>22</v>
      </c>
      <c r="U18">
        <v>2</v>
      </c>
      <c r="V18">
        <v>10</v>
      </c>
      <c r="W18" t="s">
        <v>32</v>
      </c>
      <c r="X18">
        <v>6.0000000000000001E-3</v>
      </c>
      <c r="Y18">
        <f t="shared" si="1"/>
        <v>6</v>
      </c>
      <c r="Z18">
        <v>1</v>
      </c>
      <c r="AA18" t="s">
        <v>226</v>
      </c>
      <c r="AB18">
        <v>1</v>
      </c>
      <c r="AC18" t="s">
        <v>233</v>
      </c>
      <c r="AE18" s="156">
        <v>2017</v>
      </c>
      <c r="AF18" s="157">
        <f t="shared" si="6"/>
        <v>15</v>
      </c>
      <c r="AG18" s="157"/>
      <c r="AH18" s="157"/>
      <c r="AI18" s="92"/>
      <c r="AJ18" s="92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Q18" t="s">
        <v>21</v>
      </c>
      <c r="BR18">
        <v>1674</v>
      </c>
      <c r="BS18">
        <v>1</v>
      </c>
      <c r="BT18" s="2">
        <v>31497</v>
      </c>
      <c r="BU18" s="33">
        <f t="shared" si="4"/>
        <v>1986</v>
      </c>
      <c r="BX18">
        <v>9</v>
      </c>
      <c r="BY18" t="s">
        <v>211</v>
      </c>
      <c r="BZ18">
        <v>1.4E-2</v>
      </c>
      <c r="CA18">
        <f t="shared" si="5"/>
        <v>14</v>
      </c>
      <c r="CB18">
        <v>1</v>
      </c>
      <c r="CC18" t="s">
        <v>232</v>
      </c>
      <c r="CD18">
        <v>7</v>
      </c>
      <c r="CE18" t="s">
        <v>235</v>
      </c>
      <c r="CG18" s="2">
        <v>31925</v>
      </c>
    </row>
    <row r="19" spans="1:85" x14ac:dyDescent="0.2">
      <c r="A19" s="76" t="s">
        <v>21</v>
      </c>
      <c r="B19" s="76">
        <v>1674</v>
      </c>
      <c r="C19" s="76">
        <v>1</v>
      </c>
      <c r="D19" s="77">
        <v>31834</v>
      </c>
      <c r="G19" s="257">
        <v>10</v>
      </c>
      <c r="H19" s="76" t="s">
        <v>32</v>
      </c>
      <c r="I19" s="76">
        <v>1.0999999999999999E-2</v>
      </c>
      <c r="J19" s="76">
        <v>1</v>
      </c>
      <c r="K19" s="76" t="s">
        <v>232</v>
      </c>
      <c r="L19" s="76">
        <v>1</v>
      </c>
      <c r="M19" s="76" t="s">
        <v>233</v>
      </c>
      <c r="O19" t="s">
        <v>21</v>
      </c>
      <c r="P19">
        <v>1674</v>
      </c>
      <c r="Q19">
        <v>1</v>
      </c>
      <c r="R19" s="2">
        <v>34573</v>
      </c>
      <c r="S19" s="33">
        <f t="shared" si="0"/>
        <v>1994</v>
      </c>
      <c r="T19" t="s">
        <v>22</v>
      </c>
      <c r="U19">
        <v>2</v>
      </c>
      <c r="V19">
        <v>10</v>
      </c>
      <c r="W19" t="s">
        <v>32</v>
      </c>
      <c r="X19">
        <v>1.4E-2</v>
      </c>
      <c r="Y19">
        <f t="shared" si="1"/>
        <v>14</v>
      </c>
      <c r="Z19">
        <v>1</v>
      </c>
      <c r="AA19" t="s">
        <v>226</v>
      </c>
      <c r="AB19">
        <v>1</v>
      </c>
      <c r="AC19" t="s">
        <v>233</v>
      </c>
      <c r="AE19" s="156">
        <v>2018</v>
      </c>
      <c r="AF19" s="157">
        <f t="shared" si="6"/>
        <v>18</v>
      </c>
      <c r="AG19" s="157"/>
      <c r="AH19" s="157"/>
      <c r="AI19" s="92"/>
      <c r="AJ19" s="92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Q19" t="s">
        <v>21</v>
      </c>
      <c r="BR19">
        <v>1674</v>
      </c>
      <c r="BS19">
        <v>1</v>
      </c>
      <c r="BT19" s="2">
        <v>31497</v>
      </c>
      <c r="BU19" s="33">
        <f t="shared" si="4"/>
        <v>1986</v>
      </c>
      <c r="BX19">
        <v>10</v>
      </c>
      <c r="BY19" t="s">
        <v>211</v>
      </c>
      <c r="BZ19">
        <v>2.4E-2</v>
      </c>
      <c r="CA19" s="212">
        <f t="shared" si="5"/>
        <v>24</v>
      </c>
      <c r="CB19">
        <v>1</v>
      </c>
      <c r="CC19" t="s">
        <v>232</v>
      </c>
      <c r="CD19">
        <v>7</v>
      </c>
      <c r="CE19" t="s">
        <v>235</v>
      </c>
      <c r="CG19" s="2">
        <v>31937</v>
      </c>
    </row>
    <row r="20" spans="1:85" x14ac:dyDescent="0.2">
      <c r="A20" s="76" t="s">
        <v>21</v>
      </c>
      <c r="B20" s="76">
        <v>1674</v>
      </c>
      <c r="C20" s="76">
        <v>1</v>
      </c>
      <c r="D20" s="77">
        <v>31906</v>
      </c>
      <c r="G20" s="257">
        <v>10</v>
      </c>
      <c r="H20" s="76" t="s">
        <v>32</v>
      </c>
      <c r="I20" s="76">
        <v>1.4999999999999999E-2</v>
      </c>
      <c r="J20" s="76">
        <v>1</v>
      </c>
      <c r="K20" s="76" t="s">
        <v>232</v>
      </c>
      <c r="L20" s="76">
        <v>1</v>
      </c>
      <c r="M20" s="76" t="s">
        <v>233</v>
      </c>
      <c r="O20" t="s">
        <v>21</v>
      </c>
      <c r="P20">
        <v>1674</v>
      </c>
      <c r="Q20">
        <v>1</v>
      </c>
      <c r="R20" s="2">
        <v>35654</v>
      </c>
      <c r="S20" s="33">
        <f t="shared" si="0"/>
        <v>1997</v>
      </c>
      <c r="T20" t="s">
        <v>22</v>
      </c>
      <c r="U20">
        <v>2</v>
      </c>
      <c r="V20">
        <v>9</v>
      </c>
      <c r="W20" t="s">
        <v>32</v>
      </c>
      <c r="X20">
        <v>1.4999999999999999E-2</v>
      </c>
      <c r="Y20">
        <f t="shared" si="1"/>
        <v>15</v>
      </c>
      <c r="Z20">
        <v>1</v>
      </c>
      <c r="AA20" t="s">
        <v>237</v>
      </c>
      <c r="AB20">
        <v>1</v>
      </c>
      <c r="AC20" t="s">
        <v>233</v>
      </c>
      <c r="AE20" s="158">
        <v>2019</v>
      </c>
      <c r="AF20" s="102">
        <f t="shared" si="6"/>
        <v>14</v>
      </c>
      <c r="AG20" s="102"/>
      <c r="AH20" s="102">
        <f>AVERAGE(Y36)</f>
        <v>23</v>
      </c>
      <c r="AI20" s="93"/>
      <c r="AJ20" s="9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4"/>
      <c r="BQ20" t="s">
        <v>21</v>
      </c>
      <c r="BR20">
        <v>1674</v>
      </c>
      <c r="BS20">
        <v>1</v>
      </c>
      <c r="BT20" s="2">
        <v>31541</v>
      </c>
      <c r="BU20" s="33">
        <f t="shared" si="4"/>
        <v>1986</v>
      </c>
      <c r="BX20">
        <v>0</v>
      </c>
      <c r="BY20" t="s">
        <v>211</v>
      </c>
      <c r="BZ20">
        <v>1.6E-2</v>
      </c>
      <c r="CA20">
        <f t="shared" si="5"/>
        <v>16</v>
      </c>
      <c r="CB20">
        <v>1</v>
      </c>
      <c r="CC20" t="s">
        <v>232</v>
      </c>
      <c r="CD20">
        <v>8</v>
      </c>
      <c r="CE20" t="s">
        <v>235</v>
      </c>
      <c r="CG20" s="2">
        <v>31951</v>
      </c>
    </row>
    <row r="21" spans="1:85" x14ac:dyDescent="0.2">
      <c r="A21" s="76" t="s">
        <v>21</v>
      </c>
      <c r="B21" s="76">
        <v>1674</v>
      </c>
      <c r="C21" s="76">
        <v>1</v>
      </c>
      <c r="D21" s="77">
        <v>31925</v>
      </c>
      <c r="G21" s="257">
        <v>10</v>
      </c>
      <c r="H21" s="76" t="s">
        <v>32</v>
      </c>
      <c r="I21" s="76">
        <v>1.6E-2</v>
      </c>
      <c r="J21" s="76">
        <v>1</v>
      </c>
      <c r="K21" s="76" t="s">
        <v>232</v>
      </c>
      <c r="L21" s="76">
        <v>1</v>
      </c>
      <c r="M21" s="76" t="s">
        <v>233</v>
      </c>
      <c r="O21" t="s">
        <v>21</v>
      </c>
      <c r="P21">
        <v>1674</v>
      </c>
      <c r="Q21">
        <v>1</v>
      </c>
      <c r="R21" s="2">
        <v>36689</v>
      </c>
      <c r="S21" s="33">
        <f t="shared" si="0"/>
        <v>2000</v>
      </c>
      <c r="T21" t="s">
        <v>22</v>
      </c>
      <c r="U21">
        <v>2</v>
      </c>
      <c r="V21">
        <v>10</v>
      </c>
      <c r="W21" t="s">
        <v>32</v>
      </c>
      <c r="X21">
        <v>2.4E-2</v>
      </c>
      <c r="Y21">
        <f t="shared" si="1"/>
        <v>24</v>
      </c>
      <c r="Z21">
        <v>1</v>
      </c>
      <c r="AA21" t="s">
        <v>237</v>
      </c>
      <c r="AB21">
        <v>1</v>
      </c>
      <c r="AC21" t="s">
        <v>233</v>
      </c>
      <c r="AE21" s="81" t="s">
        <v>295</v>
      </c>
      <c r="AF21" s="159">
        <f>AVERAGE(AF3:AF20)</f>
        <v>16.194444444444443</v>
      </c>
      <c r="AG21" s="159">
        <f t="shared" ref="AG21" si="7">AVERAGE(AG3:AG20)</f>
        <v>13.5</v>
      </c>
      <c r="AH21" s="159">
        <f>AVERAGE(AH3:AH20)</f>
        <v>23</v>
      </c>
      <c r="AI21" s="94"/>
      <c r="AJ21" s="9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5"/>
      <c r="BQ21" t="s">
        <v>21</v>
      </c>
      <c r="BR21">
        <v>1674</v>
      </c>
      <c r="BS21">
        <v>1</v>
      </c>
      <c r="BT21" s="2">
        <v>31541</v>
      </c>
      <c r="BU21" s="33">
        <f t="shared" si="4"/>
        <v>1986</v>
      </c>
      <c r="BX21">
        <v>1</v>
      </c>
      <c r="BY21" t="s">
        <v>211</v>
      </c>
      <c r="BZ21">
        <v>1.7999999999999999E-2</v>
      </c>
      <c r="CA21">
        <f t="shared" si="5"/>
        <v>18</v>
      </c>
      <c r="CB21">
        <v>1</v>
      </c>
      <c r="CC21" t="s">
        <v>232</v>
      </c>
      <c r="CD21">
        <v>8</v>
      </c>
      <c r="CE21" t="s">
        <v>235</v>
      </c>
      <c r="CG21" s="2">
        <v>31972</v>
      </c>
    </row>
    <row r="22" spans="1:85" x14ac:dyDescent="0.2">
      <c r="A22" s="76" t="s">
        <v>21</v>
      </c>
      <c r="B22" s="76">
        <v>1674</v>
      </c>
      <c r="C22" s="76">
        <v>1</v>
      </c>
      <c r="D22" s="77">
        <v>33395</v>
      </c>
      <c r="E22" s="76" t="s">
        <v>22</v>
      </c>
      <c r="F22" s="76">
        <v>2</v>
      </c>
      <c r="G22" s="257">
        <v>10</v>
      </c>
      <c r="H22" s="76" t="s">
        <v>32</v>
      </c>
      <c r="I22" s="76">
        <v>1.7000000000000001E-2</v>
      </c>
      <c r="J22" s="76">
        <v>1</v>
      </c>
      <c r="K22" s="76" t="s">
        <v>232</v>
      </c>
      <c r="L22" s="76">
        <v>1</v>
      </c>
      <c r="M22" s="76" t="s">
        <v>233</v>
      </c>
      <c r="O22" t="s">
        <v>21</v>
      </c>
      <c r="P22">
        <v>1674</v>
      </c>
      <c r="Q22">
        <v>1</v>
      </c>
      <c r="R22" s="2">
        <v>36752</v>
      </c>
      <c r="S22" s="33">
        <f t="shared" si="0"/>
        <v>2000</v>
      </c>
      <c r="T22" t="s">
        <v>22</v>
      </c>
      <c r="U22">
        <v>2</v>
      </c>
      <c r="V22">
        <v>10</v>
      </c>
      <c r="W22" t="s">
        <v>32</v>
      </c>
      <c r="X22">
        <v>2.1000000000000001E-2</v>
      </c>
      <c r="Y22">
        <f t="shared" si="1"/>
        <v>21</v>
      </c>
      <c r="Z22">
        <v>1</v>
      </c>
      <c r="AA22" t="s">
        <v>237</v>
      </c>
      <c r="AB22">
        <v>1</v>
      </c>
      <c r="AC22" t="s">
        <v>233</v>
      </c>
      <c r="AE22" s="75" t="s">
        <v>296</v>
      </c>
      <c r="AF22" s="160">
        <f>AVERAGE(AF17:AF20)</f>
        <v>16.75</v>
      </c>
      <c r="AG22" s="160"/>
      <c r="AH22" s="160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BQ22" t="s">
        <v>21</v>
      </c>
      <c r="BR22">
        <v>1674</v>
      </c>
      <c r="BS22">
        <v>1</v>
      </c>
      <c r="BT22" s="2">
        <v>31541</v>
      </c>
      <c r="BU22" s="33">
        <f t="shared" si="4"/>
        <v>1986</v>
      </c>
      <c r="BX22">
        <v>3</v>
      </c>
      <c r="BY22" t="s">
        <v>211</v>
      </c>
      <c r="BZ22">
        <v>1.7000000000000001E-2</v>
      </c>
      <c r="CA22">
        <f t="shared" si="5"/>
        <v>17</v>
      </c>
      <c r="CB22">
        <v>1</v>
      </c>
      <c r="CC22" t="s">
        <v>232</v>
      </c>
      <c r="CD22">
        <v>8</v>
      </c>
      <c r="CE22" t="s">
        <v>235</v>
      </c>
      <c r="CG22" s="2">
        <v>31987</v>
      </c>
    </row>
    <row r="23" spans="1:85" x14ac:dyDescent="0.2">
      <c r="A23" s="76" t="s">
        <v>21</v>
      </c>
      <c r="B23" s="76">
        <v>1674</v>
      </c>
      <c r="C23" s="76">
        <v>1</v>
      </c>
      <c r="D23" s="77">
        <v>33471</v>
      </c>
      <c r="E23" s="76" t="s">
        <v>22</v>
      </c>
      <c r="F23" s="76">
        <v>2</v>
      </c>
      <c r="H23" s="76" t="s">
        <v>32</v>
      </c>
      <c r="I23" s="76">
        <v>1.6E-2</v>
      </c>
      <c r="J23" s="76">
        <v>1</v>
      </c>
      <c r="K23" s="76" t="s">
        <v>232</v>
      </c>
      <c r="L23" s="76">
        <v>1</v>
      </c>
      <c r="M23" s="76" t="s">
        <v>233</v>
      </c>
      <c r="O23" t="s">
        <v>21</v>
      </c>
      <c r="P23">
        <v>1674</v>
      </c>
      <c r="Q23">
        <v>1</v>
      </c>
      <c r="R23" s="2">
        <v>37769</v>
      </c>
      <c r="S23" s="33">
        <f t="shared" si="0"/>
        <v>2003</v>
      </c>
      <c r="T23" t="s">
        <v>22</v>
      </c>
      <c r="U23">
        <v>2</v>
      </c>
      <c r="V23">
        <v>3</v>
      </c>
      <c r="W23" t="s">
        <v>32</v>
      </c>
      <c r="X23">
        <v>1.0999999999999999E-2</v>
      </c>
      <c r="Y23">
        <f t="shared" si="1"/>
        <v>11</v>
      </c>
      <c r="Z23">
        <v>1</v>
      </c>
      <c r="AA23" t="s">
        <v>237</v>
      </c>
      <c r="AB23">
        <v>1</v>
      </c>
      <c r="AC23" t="s">
        <v>233</v>
      </c>
      <c r="AF23" s="19"/>
      <c r="AG23" s="155"/>
      <c r="AH23" s="155"/>
      <c r="BQ23" t="s">
        <v>21</v>
      </c>
      <c r="BR23">
        <v>1674</v>
      </c>
      <c r="BS23">
        <v>1</v>
      </c>
      <c r="BT23" s="2">
        <v>31541</v>
      </c>
      <c r="BU23" s="33">
        <f t="shared" si="4"/>
        <v>1986</v>
      </c>
      <c r="BX23">
        <v>5</v>
      </c>
      <c r="BY23" t="s">
        <v>211</v>
      </c>
      <c r="BZ23">
        <v>1.4999999999999999E-2</v>
      </c>
      <c r="CA23">
        <f t="shared" si="5"/>
        <v>15</v>
      </c>
      <c r="CB23">
        <v>1</v>
      </c>
      <c r="CC23" t="s">
        <v>232</v>
      </c>
      <c r="CD23">
        <v>8</v>
      </c>
      <c r="CE23" t="s">
        <v>235</v>
      </c>
      <c r="CG23" s="2">
        <v>32002</v>
      </c>
    </row>
    <row r="24" spans="1:85" x14ac:dyDescent="0.2">
      <c r="A24" s="76" t="s">
        <v>21</v>
      </c>
      <c r="B24" s="76">
        <v>1674</v>
      </c>
      <c r="C24" s="76">
        <v>1</v>
      </c>
      <c r="D24" s="77">
        <v>33752</v>
      </c>
      <c r="E24" s="76" t="s">
        <v>22</v>
      </c>
      <c r="F24" s="76">
        <v>2</v>
      </c>
      <c r="G24" s="257">
        <v>10</v>
      </c>
      <c r="H24" s="76" t="s">
        <v>32</v>
      </c>
      <c r="I24" s="76">
        <v>1.4999999999999999E-2</v>
      </c>
      <c r="J24" s="76">
        <v>1</v>
      </c>
      <c r="L24" s="76">
        <v>1</v>
      </c>
      <c r="M24" s="76" t="s">
        <v>233</v>
      </c>
      <c r="O24" t="s">
        <v>21</v>
      </c>
      <c r="P24">
        <v>1674</v>
      </c>
      <c r="Q24">
        <v>1</v>
      </c>
      <c r="R24" s="2">
        <v>37857</v>
      </c>
      <c r="S24" s="33">
        <f t="shared" si="0"/>
        <v>2003</v>
      </c>
      <c r="T24" t="s">
        <v>22</v>
      </c>
      <c r="U24">
        <v>2</v>
      </c>
      <c r="V24">
        <v>9</v>
      </c>
      <c r="W24" t="s">
        <v>32</v>
      </c>
      <c r="X24">
        <v>1.2E-2</v>
      </c>
      <c r="Y24">
        <f t="shared" si="1"/>
        <v>12</v>
      </c>
      <c r="Z24">
        <v>1</v>
      </c>
      <c r="AA24" t="s">
        <v>237</v>
      </c>
      <c r="AB24">
        <v>1</v>
      </c>
      <c r="AC24" t="s">
        <v>233</v>
      </c>
      <c r="BQ24" t="s">
        <v>21</v>
      </c>
      <c r="BR24">
        <v>1674</v>
      </c>
      <c r="BS24">
        <v>1</v>
      </c>
      <c r="BT24" s="2">
        <v>31541</v>
      </c>
      <c r="BU24" s="33">
        <f t="shared" si="4"/>
        <v>1986</v>
      </c>
      <c r="BX24">
        <v>7</v>
      </c>
      <c r="BY24" t="s">
        <v>211</v>
      </c>
      <c r="BZ24">
        <v>1.6E-2</v>
      </c>
      <c r="CA24">
        <f t="shared" si="5"/>
        <v>16</v>
      </c>
      <c r="CB24">
        <v>1</v>
      </c>
      <c r="CC24" t="s">
        <v>232</v>
      </c>
      <c r="CD24">
        <v>8</v>
      </c>
      <c r="CE24" t="s">
        <v>235</v>
      </c>
      <c r="CG24" s="2">
        <v>32014</v>
      </c>
    </row>
    <row r="25" spans="1:85" x14ac:dyDescent="0.2">
      <c r="A25" s="76" t="s">
        <v>21</v>
      </c>
      <c r="B25" s="76">
        <v>1674</v>
      </c>
      <c r="C25" s="76">
        <v>1</v>
      </c>
      <c r="D25" s="77">
        <v>34511</v>
      </c>
      <c r="E25" s="76" t="s">
        <v>22</v>
      </c>
      <c r="F25" s="76">
        <v>2</v>
      </c>
      <c r="G25" s="257">
        <v>10</v>
      </c>
      <c r="H25" s="76" t="s">
        <v>32</v>
      </c>
      <c r="I25" s="76">
        <v>6.0000000000000001E-3</v>
      </c>
      <c r="J25" s="76">
        <v>1</v>
      </c>
      <c r="K25" s="76" t="s">
        <v>226</v>
      </c>
      <c r="L25" s="76">
        <v>1</v>
      </c>
      <c r="M25" s="76" t="s">
        <v>233</v>
      </c>
      <c r="O25" t="s">
        <v>21</v>
      </c>
      <c r="P25">
        <v>1674</v>
      </c>
      <c r="Q25">
        <v>1</v>
      </c>
      <c r="R25" s="2">
        <v>38141</v>
      </c>
      <c r="S25" s="33">
        <f t="shared" si="0"/>
        <v>2004</v>
      </c>
      <c r="T25" t="s">
        <v>22</v>
      </c>
      <c r="U25">
        <v>2</v>
      </c>
      <c r="V25">
        <v>10</v>
      </c>
      <c r="W25" t="s">
        <v>32</v>
      </c>
      <c r="X25">
        <v>2.1000000000000001E-2</v>
      </c>
      <c r="Y25">
        <f t="shared" si="1"/>
        <v>21</v>
      </c>
      <c r="Z25">
        <v>1</v>
      </c>
      <c r="AA25" t="s">
        <v>226</v>
      </c>
      <c r="AB25">
        <v>1</v>
      </c>
      <c r="AC25" t="s">
        <v>233</v>
      </c>
      <c r="BQ25" t="s">
        <v>21</v>
      </c>
      <c r="BR25">
        <v>1674</v>
      </c>
      <c r="BS25">
        <v>1</v>
      </c>
      <c r="BT25" s="2">
        <v>31541</v>
      </c>
      <c r="BU25" s="33">
        <f t="shared" si="4"/>
        <v>1986</v>
      </c>
      <c r="BX25">
        <v>9</v>
      </c>
      <c r="BY25" t="s">
        <v>211</v>
      </c>
      <c r="BZ25">
        <v>1.4E-2</v>
      </c>
      <c r="CA25">
        <f t="shared" si="5"/>
        <v>14</v>
      </c>
      <c r="CB25">
        <v>1</v>
      </c>
      <c r="CC25" t="s">
        <v>232</v>
      </c>
      <c r="CD25">
        <v>8</v>
      </c>
      <c r="CE25" t="s">
        <v>235</v>
      </c>
      <c r="CG25" s="2">
        <v>32035</v>
      </c>
    </row>
    <row r="26" spans="1:85" x14ac:dyDescent="0.2">
      <c r="A26" s="76" t="s">
        <v>21</v>
      </c>
      <c r="B26" s="76">
        <v>1674</v>
      </c>
      <c r="C26" s="76">
        <v>1</v>
      </c>
      <c r="D26" s="77">
        <v>34573</v>
      </c>
      <c r="E26" s="76" t="s">
        <v>22</v>
      </c>
      <c r="F26" s="76">
        <v>2</v>
      </c>
      <c r="G26" s="257">
        <v>10</v>
      </c>
      <c r="H26" s="76" t="s">
        <v>32</v>
      </c>
      <c r="I26" s="76">
        <v>1.4E-2</v>
      </c>
      <c r="J26" s="76">
        <v>1</v>
      </c>
      <c r="K26" s="76" t="s">
        <v>226</v>
      </c>
      <c r="L26" s="76">
        <v>1</v>
      </c>
      <c r="M26" s="76" t="s">
        <v>233</v>
      </c>
      <c r="O26" t="s">
        <v>21</v>
      </c>
      <c r="P26">
        <v>1674</v>
      </c>
      <c r="Q26">
        <v>1</v>
      </c>
      <c r="R26" s="2">
        <v>38169</v>
      </c>
      <c r="S26" s="33">
        <f t="shared" si="0"/>
        <v>2004</v>
      </c>
      <c r="T26" t="s">
        <v>22</v>
      </c>
      <c r="U26">
        <v>2</v>
      </c>
      <c r="V26">
        <v>3</v>
      </c>
      <c r="W26" t="s">
        <v>32</v>
      </c>
      <c r="X26">
        <v>1.7000000000000001E-2</v>
      </c>
      <c r="Y26">
        <f t="shared" si="1"/>
        <v>17</v>
      </c>
      <c r="Z26">
        <v>1</v>
      </c>
      <c r="AA26" t="s">
        <v>237</v>
      </c>
      <c r="AB26">
        <v>1</v>
      </c>
      <c r="AC26" t="s">
        <v>233</v>
      </c>
      <c r="BQ26" t="s">
        <v>21</v>
      </c>
      <c r="BR26">
        <v>1674</v>
      </c>
      <c r="BS26">
        <v>1</v>
      </c>
      <c r="BT26" s="2">
        <v>31541</v>
      </c>
      <c r="BU26" s="33">
        <f t="shared" si="4"/>
        <v>1986</v>
      </c>
      <c r="BX26">
        <v>11</v>
      </c>
      <c r="BY26" t="s">
        <v>211</v>
      </c>
      <c r="BZ26">
        <v>1.2E-2</v>
      </c>
      <c r="CA26">
        <f t="shared" si="5"/>
        <v>12</v>
      </c>
      <c r="CB26">
        <v>1</v>
      </c>
      <c r="CC26" t="s">
        <v>232</v>
      </c>
      <c r="CD26">
        <v>8</v>
      </c>
      <c r="CE26" t="s">
        <v>235</v>
      </c>
      <c r="CG26" s="2">
        <v>32048</v>
      </c>
    </row>
    <row r="27" spans="1:85" x14ac:dyDescent="0.2">
      <c r="A27" s="76" t="s">
        <v>21</v>
      </c>
      <c r="B27" s="76">
        <v>1674</v>
      </c>
      <c r="C27" s="76">
        <v>1</v>
      </c>
      <c r="D27" s="77">
        <v>35654</v>
      </c>
      <c r="E27" s="76" t="s">
        <v>22</v>
      </c>
      <c r="F27" s="76">
        <v>2</v>
      </c>
      <c r="G27" s="257">
        <v>9</v>
      </c>
      <c r="H27" s="76" t="s">
        <v>32</v>
      </c>
      <c r="I27" s="76">
        <v>1.4999999999999999E-2</v>
      </c>
      <c r="J27" s="76">
        <v>1</v>
      </c>
      <c r="K27" s="76" t="s">
        <v>237</v>
      </c>
      <c r="L27" s="76">
        <v>1</v>
      </c>
      <c r="M27" s="76" t="s">
        <v>233</v>
      </c>
      <c r="O27" t="s">
        <v>21</v>
      </c>
      <c r="P27">
        <v>1674</v>
      </c>
      <c r="Q27">
        <v>1</v>
      </c>
      <c r="R27" s="2">
        <v>38203</v>
      </c>
      <c r="S27" s="33">
        <f t="shared" si="0"/>
        <v>2004</v>
      </c>
      <c r="T27" t="s">
        <v>22</v>
      </c>
      <c r="U27">
        <v>2</v>
      </c>
      <c r="V27">
        <v>9</v>
      </c>
      <c r="W27" t="s">
        <v>32</v>
      </c>
      <c r="X27">
        <v>7.0000000000000001E-3</v>
      </c>
      <c r="Y27">
        <f t="shared" si="1"/>
        <v>7</v>
      </c>
      <c r="Z27">
        <v>1</v>
      </c>
      <c r="AA27" t="s">
        <v>237</v>
      </c>
      <c r="AB27">
        <v>1</v>
      </c>
      <c r="AC27" t="s">
        <v>233</v>
      </c>
      <c r="BQ27" t="s">
        <v>21</v>
      </c>
      <c r="BR27">
        <v>1674</v>
      </c>
      <c r="BS27">
        <v>1</v>
      </c>
      <c r="BT27" s="2">
        <v>31541</v>
      </c>
      <c r="BU27" s="33">
        <f t="shared" si="4"/>
        <v>1986</v>
      </c>
      <c r="BX27">
        <v>12</v>
      </c>
      <c r="BY27" t="s">
        <v>211</v>
      </c>
      <c r="BZ27">
        <v>1.2999999999999999E-2</v>
      </c>
      <c r="CA27">
        <f t="shared" si="5"/>
        <v>13</v>
      </c>
      <c r="CB27">
        <v>1</v>
      </c>
      <c r="CC27" t="s">
        <v>232</v>
      </c>
      <c r="CD27">
        <v>8</v>
      </c>
      <c r="CE27" t="s">
        <v>235</v>
      </c>
      <c r="CG27" s="2">
        <v>32065</v>
      </c>
    </row>
    <row r="28" spans="1:85" x14ac:dyDescent="0.2">
      <c r="A28" s="76" t="s">
        <v>21</v>
      </c>
      <c r="B28" s="76">
        <v>1674</v>
      </c>
      <c r="C28" s="76">
        <v>1</v>
      </c>
      <c r="D28" s="77">
        <v>36689</v>
      </c>
      <c r="E28" s="76" t="s">
        <v>22</v>
      </c>
      <c r="F28" s="76">
        <v>2</v>
      </c>
      <c r="G28" s="257">
        <v>10</v>
      </c>
      <c r="H28" s="76" t="s">
        <v>32</v>
      </c>
      <c r="I28" s="76">
        <v>2.4E-2</v>
      </c>
      <c r="J28" s="76">
        <v>1</v>
      </c>
      <c r="K28" s="76" t="s">
        <v>237</v>
      </c>
      <c r="L28" s="76">
        <v>1</v>
      </c>
      <c r="M28" s="76" t="s">
        <v>233</v>
      </c>
      <c r="O28" t="s">
        <v>21</v>
      </c>
      <c r="P28">
        <v>1674</v>
      </c>
      <c r="Q28">
        <v>1</v>
      </c>
      <c r="R28" s="2">
        <v>38583</v>
      </c>
      <c r="S28" s="33">
        <f t="shared" si="0"/>
        <v>2005</v>
      </c>
      <c r="T28" t="s">
        <v>22</v>
      </c>
      <c r="U28">
        <v>2</v>
      </c>
      <c r="V28">
        <v>9</v>
      </c>
      <c r="W28" t="s">
        <v>32</v>
      </c>
      <c r="X28">
        <v>1.2999999999999999E-2</v>
      </c>
      <c r="Y28">
        <f t="shared" si="1"/>
        <v>13</v>
      </c>
      <c r="Z28">
        <v>1</v>
      </c>
      <c r="AA28" t="s">
        <v>213</v>
      </c>
      <c r="AB28">
        <v>1</v>
      </c>
      <c r="AC28" t="s">
        <v>233</v>
      </c>
      <c r="BQ28" t="s">
        <v>21</v>
      </c>
      <c r="BR28">
        <v>1674</v>
      </c>
      <c r="BS28">
        <v>1</v>
      </c>
      <c r="BT28" s="2">
        <v>31559</v>
      </c>
      <c r="BU28" s="33">
        <f t="shared" si="4"/>
        <v>1986</v>
      </c>
      <c r="BX28">
        <v>0</v>
      </c>
      <c r="BY28" t="s">
        <v>211</v>
      </c>
      <c r="BZ28">
        <v>1.2E-2</v>
      </c>
      <c r="CA28">
        <f t="shared" si="5"/>
        <v>12</v>
      </c>
      <c r="CB28">
        <v>1</v>
      </c>
      <c r="CC28" t="s">
        <v>232</v>
      </c>
      <c r="CD28">
        <v>7</v>
      </c>
      <c r="CE28" t="s">
        <v>235</v>
      </c>
      <c r="CG28" s="213">
        <v>32237</v>
      </c>
    </row>
    <row r="29" spans="1:85" x14ac:dyDescent="0.2">
      <c r="A29" s="76" t="s">
        <v>21</v>
      </c>
      <c r="B29" s="76">
        <v>1674</v>
      </c>
      <c r="C29" s="76">
        <v>1</v>
      </c>
      <c r="D29" s="77">
        <v>36752</v>
      </c>
      <c r="E29" s="76" t="s">
        <v>22</v>
      </c>
      <c r="F29" s="76">
        <v>2</v>
      </c>
      <c r="G29" s="257">
        <v>10</v>
      </c>
      <c r="H29" s="76" t="s">
        <v>32</v>
      </c>
      <c r="I29" s="76">
        <v>2.1000000000000001E-2</v>
      </c>
      <c r="J29" s="76">
        <v>1</v>
      </c>
      <c r="K29" s="76" t="s">
        <v>237</v>
      </c>
      <c r="L29" s="76">
        <v>1</v>
      </c>
      <c r="M29" s="76" t="s">
        <v>233</v>
      </c>
      <c r="O29" t="s">
        <v>21</v>
      </c>
      <c r="P29">
        <v>1674</v>
      </c>
      <c r="Q29">
        <v>1</v>
      </c>
      <c r="R29" s="2">
        <v>40045</v>
      </c>
      <c r="S29" s="33">
        <f t="shared" si="0"/>
        <v>2009</v>
      </c>
      <c r="T29" t="s">
        <v>22</v>
      </c>
      <c r="U29">
        <v>2</v>
      </c>
      <c r="V29">
        <v>6</v>
      </c>
      <c r="W29" t="s">
        <v>32</v>
      </c>
      <c r="X29">
        <v>1.4999999999999999E-2</v>
      </c>
      <c r="Y29">
        <f t="shared" si="1"/>
        <v>15</v>
      </c>
      <c r="Z29">
        <v>1</v>
      </c>
      <c r="AA29" t="s">
        <v>213</v>
      </c>
      <c r="AB29">
        <v>1</v>
      </c>
      <c r="AC29" t="s">
        <v>233</v>
      </c>
      <c r="BQ29" t="s">
        <v>21</v>
      </c>
      <c r="BR29">
        <v>1674</v>
      </c>
      <c r="BS29">
        <v>1</v>
      </c>
      <c r="BT29" s="2">
        <v>31559</v>
      </c>
      <c r="BU29" s="33">
        <f t="shared" si="4"/>
        <v>1986</v>
      </c>
      <c r="BX29">
        <v>2</v>
      </c>
      <c r="BY29" t="s">
        <v>211</v>
      </c>
      <c r="BZ29">
        <v>1.2E-2</v>
      </c>
      <c r="CA29">
        <f t="shared" si="5"/>
        <v>12</v>
      </c>
      <c r="CB29">
        <v>1</v>
      </c>
      <c r="CC29" t="s">
        <v>232</v>
      </c>
      <c r="CD29">
        <v>7</v>
      </c>
      <c r="CE29" t="s">
        <v>235</v>
      </c>
      <c r="CG29" s="2">
        <v>32277</v>
      </c>
    </row>
    <row r="30" spans="1:85" x14ac:dyDescent="0.2">
      <c r="A30" s="76" t="s">
        <v>21</v>
      </c>
      <c r="B30" s="76">
        <v>1674</v>
      </c>
      <c r="C30" s="76">
        <v>1</v>
      </c>
      <c r="D30" s="77">
        <v>37769</v>
      </c>
      <c r="E30" s="76" t="s">
        <v>22</v>
      </c>
      <c r="F30" s="76">
        <v>2</v>
      </c>
      <c r="G30" s="257">
        <v>3</v>
      </c>
      <c r="H30" s="76" t="s">
        <v>32</v>
      </c>
      <c r="I30" s="76">
        <v>1.0999999999999999E-2</v>
      </c>
      <c r="J30" s="76">
        <v>1</v>
      </c>
      <c r="K30" s="76" t="s">
        <v>237</v>
      </c>
      <c r="L30" s="76">
        <v>1</v>
      </c>
      <c r="M30" s="76" t="s">
        <v>233</v>
      </c>
      <c r="O30" t="s">
        <v>21</v>
      </c>
      <c r="P30">
        <v>1674</v>
      </c>
      <c r="Q30">
        <v>1</v>
      </c>
      <c r="R30" s="2">
        <v>42604</v>
      </c>
      <c r="S30" s="33">
        <f t="shared" si="0"/>
        <v>2016</v>
      </c>
      <c r="T30" t="s">
        <v>22</v>
      </c>
      <c r="U30">
        <v>2</v>
      </c>
      <c r="V30">
        <v>9</v>
      </c>
      <c r="W30" t="s">
        <v>32</v>
      </c>
      <c r="X30">
        <v>0.02</v>
      </c>
      <c r="Y30">
        <f t="shared" si="1"/>
        <v>20</v>
      </c>
      <c r="Z30">
        <v>1</v>
      </c>
      <c r="AA30" t="s">
        <v>227</v>
      </c>
      <c r="AB30">
        <v>1</v>
      </c>
      <c r="AC30" t="s">
        <v>233</v>
      </c>
      <c r="BQ30" t="s">
        <v>21</v>
      </c>
      <c r="BR30">
        <v>1674</v>
      </c>
      <c r="BS30">
        <v>1</v>
      </c>
      <c r="BT30" s="2">
        <v>31559</v>
      </c>
      <c r="BU30" s="33">
        <f t="shared" si="4"/>
        <v>1986</v>
      </c>
      <c r="BX30">
        <v>4</v>
      </c>
      <c r="BY30" t="s">
        <v>211</v>
      </c>
      <c r="BZ30">
        <v>1.2E-2</v>
      </c>
      <c r="CA30">
        <f t="shared" si="5"/>
        <v>12</v>
      </c>
      <c r="CB30">
        <v>1</v>
      </c>
      <c r="CC30" t="s">
        <v>232</v>
      </c>
      <c r="CD30">
        <v>7</v>
      </c>
      <c r="CE30" t="s">
        <v>235</v>
      </c>
      <c r="CG30" s="2">
        <v>32296</v>
      </c>
    </row>
    <row r="31" spans="1:85" x14ac:dyDescent="0.2">
      <c r="A31" s="76" t="s">
        <v>21</v>
      </c>
      <c r="B31" s="76">
        <v>1674</v>
      </c>
      <c r="C31" s="76">
        <v>1</v>
      </c>
      <c r="D31" s="77">
        <v>37857</v>
      </c>
      <c r="E31" s="76" t="s">
        <v>22</v>
      </c>
      <c r="F31" s="76">
        <v>2</v>
      </c>
      <c r="G31" s="257">
        <v>9</v>
      </c>
      <c r="H31" s="76" t="s">
        <v>32</v>
      </c>
      <c r="I31" s="76">
        <v>1.2E-2</v>
      </c>
      <c r="J31" s="76">
        <v>1</v>
      </c>
      <c r="K31" s="76" t="s">
        <v>237</v>
      </c>
      <c r="L31" s="76">
        <v>1</v>
      </c>
      <c r="M31" s="76" t="s">
        <v>233</v>
      </c>
      <c r="O31" s="152" t="s">
        <v>21</v>
      </c>
      <c r="P31" s="152">
        <v>1674</v>
      </c>
      <c r="Q31" s="152">
        <v>1</v>
      </c>
      <c r="R31" s="153">
        <v>42996</v>
      </c>
      <c r="S31" s="154">
        <f t="shared" si="0"/>
        <v>2017</v>
      </c>
      <c r="T31" s="152" t="s">
        <v>22</v>
      </c>
      <c r="U31" s="152">
        <v>2</v>
      </c>
      <c r="V31" s="152">
        <v>6</v>
      </c>
      <c r="W31" s="152" t="s">
        <v>32</v>
      </c>
      <c r="X31" s="152">
        <v>1.4999999999999999E-2</v>
      </c>
      <c r="Y31" s="152">
        <f t="shared" si="1"/>
        <v>15</v>
      </c>
      <c r="Z31" s="152">
        <v>1</v>
      </c>
      <c r="AA31" s="152" t="s">
        <v>227</v>
      </c>
      <c r="AB31" s="152">
        <v>1</v>
      </c>
      <c r="AC31" s="152" t="s">
        <v>233</v>
      </c>
      <c r="BQ31" t="s">
        <v>21</v>
      </c>
      <c r="BR31">
        <v>1674</v>
      </c>
      <c r="BS31">
        <v>1</v>
      </c>
      <c r="BT31" s="2">
        <v>31559</v>
      </c>
      <c r="BU31" s="33">
        <f t="shared" si="4"/>
        <v>1986</v>
      </c>
      <c r="BX31">
        <v>6</v>
      </c>
      <c r="BY31" t="s">
        <v>211</v>
      </c>
      <c r="BZ31">
        <v>1.4E-2</v>
      </c>
      <c r="CA31">
        <f t="shared" si="5"/>
        <v>14</v>
      </c>
      <c r="CB31">
        <v>1</v>
      </c>
      <c r="CC31" t="s">
        <v>232</v>
      </c>
      <c r="CD31">
        <v>7</v>
      </c>
      <c r="CE31" t="s">
        <v>235</v>
      </c>
      <c r="CG31" s="2">
        <v>32310</v>
      </c>
    </row>
    <row r="32" spans="1:85" x14ac:dyDescent="0.2">
      <c r="A32" s="76" t="s">
        <v>21</v>
      </c>
      <c r="B32" s="76">
        <v>1674</v>
      </c>
      <c r="C32" s="76">
        <v>1</v>
      </c>
      <c r="D32" s="77">
        <v>38141</v>
      </c>
      <c r="E32" s="76" t="s">
        <v>22</v>
      </c>
      <c r="F32" s="76">
        <v>2</v>
      </c>
      <c r="G32" s="257">
        <v>10</v>
      </c>
      <c r="H32" s="76" t="s">
        <v>32</v>
      </c>
      <c r="I32" s="76">
        <v>2.1000000000000001E-2</v>
      </c>
      <c r="J32" s="76">
        <v>1</v>
      </c>
      <c r="K32" s="76" t="s">
        <v>226</v>
      </c>
      <c r="L32" s="76">
        <v>1</v>
      </c>
      <c r="M32" s="76" t="s">
        <v>233</v>
      </c>
      <c r="O32" s="152" t="s">
        <v>21</v>
      </c>
      <c r="P32" s="152">
        <v>1674</v>
      </c>
      <c r="Q32" s="152">
        <v>1</v>
      </c>
      <c r="R32" s="153">
        <v>43334</v>
      </c>
      <c r="S32" s="154">
        <f t="shared" si="0"/>
        <v>2018</v>
      </c>
      <c r="T32" s="152" t="s">
        <v>22</v>
      </c>
      <c r="U32" s="152">
        <v>2</v>
      </c>
      <c r="V32" s="152">
        <v>9</v>
      </c>
      <c r="W32" s="152" t="s">
        <v>32</v>
      </c>
      <c r="X32" s="152">
        <v>1.7999999999999999E-2</v>
      </c>
      <c r="Y32" s="152">
        <f t="shared" si="1"/>
        <v>18</v>
      </c>
      <c r="Z32" s="152">
        <v>1</v>
      </c>
      <c r="AA32" s="152" t="s">
        <v>227</v>
      </c>
      <c r="AB32" s="152">
        <v>1</v>
      </c>
      <c r="AC32" s="152" t="s">
        <v>233</v>
      </c>
      <c r="BQ32" t="s">
        <v>21</v>
      </c>
      <c r="BR32">
        <v>1674</v>
      </c>
      <c r="BS32">
        <v>1</v>
      </c>
      <c r="BT32" s="2">
        <v>31559</v>
      </c>
      <c r="BU32" s="33">
        <f t="shared" si="4"/>
        <v>1986</v>
      </c>
      <c r="BX32">
        <v>8</v>
      </c>
      <c r="BY32" t="s">
        <v>211</v>
      </c>
      <c r="BZ32">
        <v>1.6E-2</v>
      </c>
      <c r="CA32">
        <f t="shared" si="5"/>
        <v>16</v>
      </c>
      <c r="CB32">
        <v>1</v>
      </c>
      <c r="CC32" t="s">
        <v>232</v>
      </c>
      <c r="CD32">
        <v>7</v>
      </c>
      <c r="CE32" t="s">
        <v>235</v>
      </c>
      <c r="CG32" s="2">
        <v>32322</v>
      </c>
    </row>
    <row r="33" spans="1:85" x14ac:dyDescent="0.2">
      <c r="A33" s="76" t="s">
        <v>21</v>
      </c>
      <c r="B33" s="76">
        <v>1674</v>
      </c>
      <c r="C33" s="76">
        <v>1</v>
      </c>
      <c r="D33" s="77">
        <v>38169</v>
      </c>
      <c r="E33" s="76" t="s">
        <v>22</v>
      </c>
      <c r="F33" s="76">
        <v>2</v>
      </c>
      <c r="G33" s="257">
        <v>3</v>
      </c>
      <c r="H33" s="76" t="s">
        <v>32</v>
      </c>
      <c r="I33" s="76">
        <v>1.7000000000000001E-2</v>
      </c>
      <c r="J33" s="76">
        <v>1</v>
      </c>
      <c r="K33" s="76" t="s">
        <v>237</v>
      </c>
      <c r="L33" s="76">
        <v>1</v>
      </c>
      <c r="M33" s="76" t="s">
        <v>233</v>
      </c>
      <c r="O33" s="152" t="s">
        <v>21</v>
      </c>
      <c r="P33" s="152">
        <v>1674</v>
      </c>
      <c r="Q33" s="152">
        <v>1</v>
      </c>
      <c r="R33" s="153">
        <v>43705</v>
      </c>
      <c r="S33" s="154">
        <f t="shared" si="0"/>
        <v>2019</v>
      </c>
      <c r="T33" s="152"/>
      <c r="U33" s="152"/>
      <c r="V33" s="152">
        <v>9</v>
      </c>
      <c r="W33" s="152" t="s">
        <v>32</v>
      </c>
      <c r="X33" s="152">
        <v>1.4E-2</v>
      </c>
      <c r="Y33" s="152">
        <f t="shared" si="1"/>
        <v>14</v>
      </c>
      <c r="Z33" s="152"/>
      <c r="AA33" s="152"/>
      <c r="AB33" s="152"/>
      <c r="AC33" s="152" t="s">
        <v>233</v>
      </c>
      <c r="BQ33" t="s">
        <v>21</v>
      </c>
      <c r="BR33">
        <v>1674</v>
      </c>
      <c r="BS33">
        <v>1</v>
      </c>
      <c r="BT33" s="2">
        <v>31559</v>
      </c>
      <c r="BU33" s="33">
        <f t="shared" si="4"/>
        <v>1986</v>
      </c>
      <c r="BX33">
        <v>10</v>
      </c>
      <c r="BY33" t="s">
        <v>211</v>
      </c>
      <c r="BZ33">
        <v>2.7E-2</v>
      </c>
      <c r="CA33">
        <f t="shared" si="5"/>
        <v>27</v>
      </c>
      <c r="CB33">
        <v>1</v>
      </c>
      <c r="CC33" t="s">
        <v>232</v>
      </c>
      <c r="CD33">
        <v>7</v>
      </c>
      <c r="CE33" t="s">
        <v>235</v>
      </c>
      <c r="CG33" s="2">
        <v>32344</v>
      </c>
    </row>
    <row r="34" spans="1:85" x14ac:dyDescent="0.2">
      <c r="A34" s="76" t="s">
        <v>21</v>
      </c>
      <c r="B34" s="76">
        <v>1674</v>
      </c>
      <c r="C34" s="76">
        <v>1</v>
      </c>
      <c r="D34" s="77">
        <v>38203</v>
      </c>
      <c r="E34" s="76" t="s">
        <v>22</v>
      </c>
      <c r="F34" s="76">
        <v>2</v>
      </c>
      <c r="G34" s="257">
        <v>9</v>
      </c>
      <c r="H34" s="76" t="s">
        <v>32</v>
      </c>
      <c r="I34" s="76">
        <v>7.0000000000000001E-3</v>
      </c>
      <c r="J34" s="76">
        <v>1</v>
      </c>
      <c r="K34" s="76" t="s">
        <v>237</v>
      </c>
      <c r="L34" s="76">
        <v>1</v>
      </c>
      <c r="M34" s="76" t="s">
        <v>233</v>
      </c>
      <c r="O34" s="152" t="s">
        <v>21</v>
      </c>
      <c r="P34" s="152">
        <v>1674</v>
      </c>
      <c r="Q34" s="141">
        <v>2</v>
      </c>
      <c r="R34" s="142">
        <v>31834</v>
      </c>
      <c r="S34" s="154">
        <f t="shared" si="0"/>
        <v>1987</v>
      </c>
      <c r="T34" s="141"/>
      <c r="U34" s="141"/>
      <c r="V34" s="141">
        <v>8</v>
      </c>
      <c r="W34" s="141" t="s">
        <v>32</v>
      </c>
      <c r="X34" s="141">
        <v>0.01</v>
      </c>
      <c r="Y34" s="152">
        <f t="shared" si="1"/>
        <v>10</v>
      </c>
      <c r="Z34" s="141">
        <v>1</v>
      </c>
      <c r="AA34" s="141" t="s">
        <v>232</v>
      </c>
      <c r="AB34" s="141">
        <v>1</v>
      </c>
      <c r="AC34" s="141" t="s">
        <v>233</v>
      </c>
      <c r="AI34"/>
      <c r="AK34" s="95"/>
      <c r="BA34" s="146"/>
      <c r="BQ34" t="s">
        <v>21</v>
      </c>
      <c r="BR34">
        <v>1674</v>
      </c>
      <c r="BS34">
        <v>1</v>
      </c>
      <c r="BT34" s="2">
        <v>31559</v>
      </c>
      <c r="BU34" s="33">
        <f t="shared" si="4"/>
        <v>1986</v>
      </c>
      <c r="BX34">
        <v>12</v>
      </c>
      <c r="BY34" t="s">
        <v>211</v>
      </c>
      <c r="BZ34">
        <v>3.2000000000000001E-2</v>
      </c>
      <c r="CA34" s="212">
        <f t="shared" si="5"/>
        <v>32</v>
      </c>
      <c r="CB34">
        <v>1</v>
      </c>
      <c r="CC34" t="s">
        <v>232</v>
      </c>
      <c r="CD34">
        <v>7</v>
      </c>
      <c r="CE34" t="s">
        <v>235</v>
      </c>
      <c r="CG34" s="2">
        <v>32357</v>
      </c>
    </row>
    <row r="35" spans="1:85" x14ac:dyDescent="0.2">
      <c r="A35" s="76" t="s">
        <v>21</v>
      </c>
      <c r="B35" s="76">
        <v>1674</v>
      </c>
      <c r="C35" s="76">
        <v>1</v>
      </c>
      <c r="D35" s="77">
        <v>38583</v>
      </c>
      <c r="E35" s="76" t="s">
        <v>22</v>
      </c>
      <c r="F35" s="76">
        <v>2</v>
      </c>
      <c r="G35" s="257">
        <v>9</v>
      </c>
      <c r="H35" s="76" t="s">
        <v>32</v>
      </c>
      <c r="I35" s="76">
        <v>1.2999999999999999E-2</v>
      </c>
      <c r="J35" s="76">
        <v>1</v>
      </c>
      <c r="K35" s="76" t="s">
        <v>213</v>
      </c>
      <c r="L35" s="76">
        <v>1</v>
      </c>
      <c r="M35" s="76" t="s">
        <v>233</v>
      </c>
      <c r="O35" s="152" t="s">
        <v>21</v>
      </c>
      <c r="P35" s="152">
        <v>1674</v>
      </c>
      <c r="Q35" s="141">
        <v>2</v>
      </c>
      <c r="R35" s="142">
        <v>31906</v>
      </c>
      <c r="S35" s="154">
        <f t="shared" si="0"/>
        <v>1987</v>
      </c>
      <c r="T35" s="141"/>
      <c r="U35" s="141"/>
      <c r="V35" s="141">
        <v>10</v>
      </c>
      <c r="W35" s="141" t="s">
        <v>32</v>
      </c>
      <c r="X35" s="141">
        <v>1.7000000000000001E-2</v>
      </c>
      <c r="Y35" s="152">
        <f t="shared" si="1"/>
        <v>17</v>
      </c>
      <c r="Z35" s="141">
        <v>1</v>
      </c>
      <c r="AA35" s="141" t="s">
        <v>232</v>
      </c>
      <c r="AB35" s="141">
        <v>1</v>
      </c>
      <c r="AC35" s="141" t="s">
        <v>233</v>
      </c>
      <c r="AI35"/>
      <c r="AK35" s="95"/>
      <c r="BA35" s="146"/>
      <c r="BQ35" t="s">
        <v>21</v>
      </c>
      <c r="BR35">
        <v>1674</v>
      </c>
      <c r="BS35">
        <v>1</v>
      </c>
      <c r="BT35" s="2">
        <v>31574</v>
      </c>
      <c r="BU35" s="33">
        <f t="shared" si="4"/>
        <v>1986</v>
      </c>
      <c r="BX35">
        <v>0</v>
      </c>
      <c r="BY35" t="s">
        <v>211</v>
      </c>
      <c r="BZ35">
        <v>1.7999999999999999E-2</v>
      </c>
      <c r="CA35">
        <f t="shared" si="5"/>
        <v>18</v>
      </c>
      <c r="CB35">
        <v>1</v>
      </c>
      <c r="CC35" t="s">
        <v>232</v>
      </c>
      <c r="CD35">
        <v>8</v>
      </c>
      <c r="CE35" t="s">
        <v>235</v>
      </c>
      <c r="CG35" s="2">
        <v>32422</v>
      </c>
    </row>
    <row r="36" spans="1:85" x14ac:dyDescent="0.2">
      <c r="A36" s="76" t="s">
        <v>21</v>
      </c>
      <c r="B36" s="76">
        <v>1674</v>
      </c>
      <c r="C36" s="76">
        <v>1</v>
      </c>
      <c r="D36" s="77">
        <v>40045</v>
      </c>
      <c r="E36" s="76" t="s">
        <v>22</v>
      </c>
      <c r="F36" s="76">
        <v>2</v>
      </c>
      <c r="G36" s="257">
        <v>6</v>
      </c>
      <c r="H36" s="76" t="s">
        <v>32</v>
      </c>
      <c r="I36" s="76">
        <v>1.4999999999999999E-2</v>
      </c>
      <c r="J36" s="76">
        <v>1</v>
      </c>
      <c r="K36" s="76" t="s">
        <v>213</v>
      </c>
      <c r="L36" s="76">
        <v>1</v>
      </c>
      <c r="M36" s="76" t="s">
        <v>233</v>
      </c>
      <c r="O36" s="152" t="s">
        <v>21</v>
      </c>
      <c r="P36" s="152">
        <v>1674</v>
      </c>
      <c r="Q36" s="152">
        <v>3</v>
      </c>
      <c r="R36" s="153">
        <v>43637</v>
      </c>
      <c r="S36" s="154">
        <f t="shared" si="0"/>
        <v>2019</v>
      </c>
      <c r="T36" s="152"/>
      <c r="U36" s="152"/>
      <c r="V36" s="152"/>
      <c r="W36" s="152"/>
      <c r="X36" s="152">
        <v>2.3E-2</v>
      </c>
      <c r="Y36" s="152">
        <f t="shared" si="1"/>
        <v>23</v>
      </c>
      <c r="Z36" s="152"/>
      <c r="AA36" s="152"/>
      <c r="AB36" s="152"/>
      <c r="AC36" s="141" t="s">
        <v>233</v>
      </c>
      <c r="BQ36" t="s">
        <v>21</v>
      </c>
      <c r="BR36">
        <v>1674</v>
      </c>
      <c r="BS36">
        <v>1</v>
      </c>
      <c r="BT36" s="2">
        <v>31574</v>
      </c>
      <c r="BU36" s="33">
        <f t="shared" si="4"/>
        <v>1986</v>
      </c>
      <c r="BX36">
        <v>2</v>
      </c>
      <c r="BY36" t="s">
        <v>211</v>
      </c>
      <c r="BZ36">
        <v>0.02</v>
      </c>
      <c r="CA36">
        <f t="shared" si="5"/>
        <v>20</v>
      </c>
      <c r="CB36">
        <v>1</v>
      </c>
      <c r="CC36" t="s">
        <v>232</v>
      </c>
      <c r="CD36">
        <v>8</v>
      </c>
      <c r="CE36" t="s">
        <v>235</v>
      </c>
      <c r="CG36" s="213">
        <v>32582</v>
      </c>
    </row>
    <row r="37" spans="1:85" x14ac:dyDescent="0.2">
      <c r="A37" s="76" t="s">
        <v>21</v>
      </c>
      <c r="B37" s="76">
        <v>1674</v>
      </c>
      <c r="C37" s="76">
        <v>1</v>
      </c>
      <c r="D37" s="77">
        <v>42604</v>
      </c>
      <c r="E37" s="76" t="s">
        <v>22</v>
      </c>
      <c r="F37" s="76">
        <v>2</v>
      </c>
      <c r="G37" s="257">
        <v>9</v>
      </c>
      <c r="H37" s="76" t="s">
        <v>32</v>
      </c>
      <c r="I37" s="76">
        <v>0.02</v>
      </c>
      <c r="J37" s="76">
        <v>1</v>
      </c>
      <c r="K37" s="76" t="s">
        <v>227</v>
      </c>
      <c r="L37" s="76">
        <v>1</v>
      </c>
      <c r="M37" s="76" t="s">
        <v>233</v>
      </c>
      <c r="BQ37" t="s">
        <v>21</v>
      </c>
      <c r="BR37">
        <v>1674</v>
      </c>
      <c r="BS37">
        <v>1</v>
      </c>
      <c r="BT37" s="2">
        <v>31574</v>
      </c>
      <c r="BU37" s="33">
        <f t="shared" si="4"/>
        <v>1986</v>
      </c>
      <c r="BX37">
        <v>4</v>
      </c>
      <c r="BY37" t="s">
        <v>211</v>
      </c>
      <c r="BZ37">
        <v>1.9E-2</v>
      </c>
      <c r="CA37">
        <f t="shared" si="5"/>
        <v>19</v>
      </c>
      <c r="CB37">
        <v>1</v>
      </c>
      <c r="CC37" t="s">
        <v>232</v>
      </c>
      <c r="CD37">
        <v>8</v>
      </c>
      <c r="CE37" t="s">
        <v>235</v>
      </c>
      <c r="CG37" s="2">
        <v>32646</v>
      </c>
    </row>
    <row r="38" spans="1:85" x14ac:dyDescent="0.2">
      <c r="A38" s="76" t="s">
        <v>21</v>
      </c>
      <c r="B38" s="76">
        <v>1674</v>
      </c>
      <c r="C38" s="76">
        <v>1</v>
      </c>
      <c r="D38" s="77">
        <v>42996</v>
      </c>
      <c r="E38" s="76" t="s">
        <v>22</v>
      </c>
      <c r="F38" s="76">
        <v>2</v>
      </c>
      <c r="G38" s="257">
        <v>6</v>
      </c>
      <c r="H38" s="76" t="s">
        <v>32</v>
      </c>
      <c r="I38" s="76">
        <v>1.4999999999999999E-2</v>
      </c>
      <c r="J38" s="76">
        <v>1</v>
      </c>
      <c r="K38" s="76" t="s">
        <v>227</v>
      </c>
      <c r="L38" s="76">
        <v>1</v>
      </c>
      <c r="M38" s="76" t="s">
        <v>233</v>
      </c>
      <c r="BQ38" t="s">
        <v>21</v>
      </c>
      <c r="BR38">
        <v>1674</v>
      </c>
      <c r="BS38">
        <v>1</v>
      </c>
      <c r="BT38" s="2">
        <v>31574</v>
      </c>
      <c r="BU38" s="33">
        <f t="shared" si="4"/>
        <v>1986</v>
      </c>
      <c r="BX38">
        <v>6</v>
      </c>
      <c r="BY38" t="s">
        <v>211</v>
      </c>
      <c r="BZ38">
        <v>3.1E-2</v>
      </c>
      <c r="CA38" s="212">
        <f t="shared" si="5"/>
        <v>31</v>
      </c>
      <c r="CB38">
        <v>1</v>
      </c>
      <c r="CC38" t="s">
        <v>232</v>
      </c>
      <c r="CD38">
        <v>8</v>
      </c>
      <c r="CE38" t="s">
        <v>235</v>
      </c>
      <c r="CG38" s="2">
        <v>32662</v>
      </c>
    </row>
    <row r="39" spans="1:85" x14ac:dyDescent="0.2">
      <c r="A39" s="76" t="s">
        <v>21</v>
      </c>
      <c r="B39" s="76">
        <v>1674</v>
      </c>
      <c r="C39" s="76">
        <v>1</v>
      </c>
      <c r="D39" s="77">
        <v>43334</v>
      </c>
      <c r="E39" s="76" t="s">
        <v>22</v>
      </c>
      <c r="F39" s="76">
        <v>2</v>
      </c>
      <c r="G39" s="257">
        <v>9</v>
      </c>
      <c r="H39" s="76" t="s">
        <v>32</v>
      </c>
      <c r="I39" s="76">
        <v>1.7999999999999999E-2</v>
      </c>
      <c r="J39" s="76">
        <v>1</v>
      </c>
      <c r="K39" s="76" t="s">
        <v>227</v>
      </c>
      <c r="L39" s="76">
        <v>1</v>
      </c>
      <c r="M39" s="76" t="s">
        <v>233</v>
      </c>
      <c r="BQ39" t="s">
        <v>21</v>
      </c>
      <c r="BR39">
        <v>1674</v>
      </c>
      <c r="BS39">
        <v>1</v>
      </c>
      <c r="BT39" s="2">
        <v>31574</v>
      </c>
      <c r="BU39" s="33">
        <f t="shared" si="4"/>
        <v>1986</v>
      </c>
      <c r="BX39">
        <v>8</v>
      </c>
      <c r="BY39" t="s">
        <v>211</v>
      </c>
      <c r="BZ39">
        <v>3.4000000000000002E-2</v>
      </c>
      <c r="CA39" s="212">
        <f t="shared" si="5"/>
        <v>34</v>
      </c>
      <c r="CB39">
        <v>1</v>
      </c>
      <c r="CC39" t="s">
        <v>232</v>
      </c>
      <c r="CD39">
        <v>8</v>
      </c>
      <c r="CE39" t="s">
        <v>235</v>
      </c>
      <c r="CG39" s="2">
        <v>32681</v>
      </c>
    </row>
    <row r="40" spans="1:85" x14ac:dyDescent="0.2">
      <c r="A40" s="76" t="s">
        <v>21</v>
      </c>
      <c r="B40" s="76">
        <v>1674</v>
      </c>
      <c r="C40" s="76">
        <v>1</v>
      </c>
      <c r="D40" s="77">
        <v>30209</v>
      </c>
      <c r="G40" s="257">
        <v>0</v>
      </c>
      <c r="H40" s="76" t="s">
        <v>211</v>
      </c>
      <c r="I40" s="76">
        <v>0.02</v>
      </c>
      <c r="J40" s="76">
        <v>1</v>
      </c>
      <c r="K40" s="76" t="s">
        <v>232</v>
      </c>
      <c r="L40" s="76">
        <v>10</v>
      </c>
      <c r="M40" s="76" t="s">
        <v>235</v>
      </c>
      <c r="BQ40" t="s">
        <v>21</v>
      </c>
      <c r="BR40">
        <v>1674</v>
      </c>
      <c r="BS40">
        <v>1</v>
      </c>
      <c r="BT40" s="2">
        <v>31574</v>
      </c>
      <c r="BU40" s="33">
        <f t="shared" si="4"/>
        <v>1986</v>
      </c>
      <c r="BX40">
        <v>10</v>
      </c>
      <c r="BY40" t="s">
        <v>211</v>
      </c>
      <c r="BZ40">
        <v>1.9E-2</v>
      </c>
      <c r="CA40" s="212">
        <f t="shared" si="5"/>
        <v>19</v>
      </c>
      <c r="CB40">
        <v>1</v>
      </c>
      <c r="CC40" t="s">
        <v>232</v>
      </c>
      <c r="CD40">
        <v>8</v>
      </c>
      <c r="CE40" t="s">
        <v>235</v>
      </c>
      <c r="CG40" s="2">
        <v>32695</v>
      </c>
    </row>
    <row r="41" spans="1:85" x14ac:dyDescent="0.2">
      <c r="A41" s="76" t="s">
        <v>21</v>
      </c>
      <c r="B41" s="76">
        <v>1674</v>
      </c>
      <c r="C41" s="76">
        <v>1</v>
      </c>
      <c r="D41" s="77">
        <v>30209</v>
      </c>
      <c r="G41" s="257">
        <v>1.5</v>
      </c>
      <c r="H41" s="76" t="s">
        <v>211</v>
      </c>
      <c r="I41" s="76">
        <v>2.8000000000000001E-2</v>
      </c>
      <c r="J41" s="76">
        <v>1</v>
      </c>
      <c r="K41" s="76" t="s">
        <v>232</v>
      </c>
      <c r="L41" s="76">
        <v>10</v>
      </c>
      <c r="M41" s="76" t="s">
        <v>235</v>
      </c>
      <c r="BQ41" t="s">
        <v>21</v>
      </c>
      <c r="BR41">
        <v>1674</v>
      </c>
      <c r="BS41">
        <v>1</v>
      </c>
      <c r="BT41" s="2">
        <v>31574</v>
      </c>
      <c r="BU41" s="33">
        <f t="shared" si="4"/>
        <v>1986</v>
      </c>
      <c r="BX41">
        <v>12</v>
      </c>
      <c r="BY41" t="s">
        <v>211</v>
      </c>
      <c r="BZ41">
        <v>2.5000000000000001E-2</v>
      </c>
      <c r="CA41" s="212">
        <f t="shared" si="5"/>
        <v>25</v>
      </c>
      <c r="CB41">
        <v>1</v>
      </c>
      <c r="CC41" t="s">
        <v>232</v>
      </c>
      <c r="CD41">
        <v>8</v>
      </c>
      <c r="CE41" t="s">
        <v>235</v>
      </c>
      <c r="CG41" s="2">
        <v>32707</v>
      </c>
    </row>
    <row r="42" spans="1:85" x14ac:dyDescent="0.2">
      <c r="A42" s="76" t="s">
        <v>21</v>
      </c>
      <c r="B42" s="76">
        <v>1674</v>
      </c>
      <c r="C42" s="76">
        <v>1</v>
      </c>
      <c r="D42" s="77">
        <v>30209</v>
      </c>
      <c r="G42" s="257">
        <v>2.4</v>
      </c>
      <c r="H42" s="76" t="s">
        <v>211</v>
      </c>
      <c r="I42" s="76">
        <v>1.7999999999999999E-2</v>
      </c>
      <c r="J42" s="76">
        <v>1</v>
      </c>
      <c r="K42" s="76" t="s">
        <v>232</v>
      </c>
      <c r="L42" s="76">
        <v>10</v>
      </c>
      <c r="M42" s="76" t="s">
        <v>235</v>
      </c>
      <c r="BQ42" t="s">
        <v>21</v>
      </c>
      <c r="BR42">
        <v>1674</v>
      </c>
      <c r="BS42">
        <v>1</v>
      </c>
      <c r="BT42" s="2">
        <v>31574</v>
      </c>
      <c r="BU42" s="33">
        <f t="shared" si="4"/>
        <v>1986</v>
      </c>
      <c r="BX42">
        <v>13</v>
      </c>
      <c r="BY42" t="s">
        <v>211</v>
      </c>
      <c r="BZ42">
        <v>2.9000000000000001E-2</v>
      </c>
      <c r="CA42" s="212">
        <f t="shared" si="5"/>
        <v>29</v>
      </c>
      <c r="CB42">
        <v>1</v>
      </c>
      <c r="CC42" t="s">
        <v>232</v>
      </c>
      <c r="CD42">
        <v>8</v>
      </c>
      <c r="CE42" t="s">
        <v>235</v>
      </c>
      <c r="CG42" s="2">
        <v>32720</v>
      </c>
    </row>
    <row r="43" spans="1:85" x14ac:dyDescent="0.2">
      <c r="A43" s="76" t="s">
        <v>21</v>
      </c>
      <c r="B43" s="76">
        <v>1674</v>
      </c>
      <c r="C43" s="76">
        <v>1</v>
      </c>
      <c r="D43" s="77">
        <v>30209</v>
      </c>
      <c r="G43" s="257">
        <v>3.4</v>
      </c>
      <c r="H43" s="76" t="s">
        <v>211</v>
      </c>
      <c r="I43" s="76">
        <v>4.9000000000000002E-2</v>
      </c>
      <c r="J43" s="76">
        <v>1</v>
      </c>
      <c r="K43" s="76" t="s">
        <v>232</v>
      </c>
      <c r="L43" s="76">
        <v>10</v>
      </c>
      <c r="M43" s="76" t="s">
        <v>235</v>
      </c>
      <c r="BQ43" t="s">
        <v>21</v>
      </c>
      <c r="BR43">
        <v>1674</v>
      </c>
      <c r="BS43">
        <v>1</v>
      </c>
      <c r="BT43" s="2">
        <v>31593</v>
      </c>
      <c r="BU43" s="33">
        <f t="shared" si="4"/>
        <v>1986</v>
      </c>
      <c r="BX43">
        <v>0</v>
      </c>
      <c r="BY43" t="s">
        <v>211</v>
      </c>
      <c r="BZ43">
        <v>1.9E-2</v>
      </c>
      <c r="CA43">
        <f t="shared" si="5"/>
        <v>19</v>
      </c>
      <c r="CB43">
        <v>1</v>
      </c>
      <c r="CC43" t="s">
        <v>232</v>
      </c>
      <c r="CD43">
        <v>7</v>
      </c>
      <c r="CE43" t="s">
        <v>235</v>
      </c>
      <c r="CG43" s="2">
        <v>32734</v>
      </c>
    </row>
    <row r="44" spans="1:85" x14ac:dyDescent="0.2">
      <c r="A44" s="76" t="s">
        <v>21</v>
      </c>
      <c r="B44" s="76">
        <v>1674</v>
      </c>
      <c r="C44" s="76">
        <v>1</v>
      </c>
      <c r="D44" s="77">
        <v>30209</v>
      </c>
      <c r="G44" s="257">
        <v>4.3</v>
      </c>
      <c r="H44" s="76" t="s">
        <v>211</v>
      </c>
      <c r="I44" s="76">
        <v>1.7999999999999999E-2</v>
      </c>
      <c r="J44" s="76">
        <v>1</v>
      </c>
      <c r="K44" s="76" t="s">
        <v>232</v>
      </c>
      <c r="L44" s="76">
        <v>10</v>
      </c>
      <c r="M44" s="76" t="s">
        <v>235</v>
      </c>
      <c r="BQ44" t="s">
        <v>21</v>
      </c>
      <c r="BR44">
        <v>1674</v>
      </c>
      <c r="BS44">
        <v>1</v>
      </c>
      <c r="BT44" s="2">
        <v>31593</v>
      </c>
      <c r="BU44" s="33">
        <f t="shared" si="4"/>
        <v>1986</v>
      </c>
      <c r="BX44">
        <v>2</v>
      </c>
      <c r="BY44" t="s">
        <v>211</v>
      </c>
      <c r="BZ44">
        <v>0.02</v>
      </c>
      <c r="CA44">
        <f t="shared" si="5"/>
        <v>20</v>
      </c>
      <c r="CB44">
        <v>1</v>
      </c>
      <c r="CC44" t="s">
        <v>232</v>
      </c>
      <c r="CD44">
        <v>7</v>
      </c>
      <c r="CE44" t="s">
        <v>235</v>
      </c>
      <c r="CG44" s="2">
        <v>32751</v>
      </c>
    </row>
    <row r="45" spans="1:85" x14ac:dyDescent="0.2">
      <c r="A45" s="76" t="s">
        <v>21</v>
      </c>
      <c r="B45" s="76">
        <v>1674</v>
      </c>
      <c r="C45" s="76">
        <v>1</v>
      </c>
      <c r="D45" s="77">
        <v>30209</v>
      </c>
      <c r="G45" s="257">
        <v>5.2</v>
      </c>
      <c r="H45" s="76" t="s">
        <v>211</v>
      </c>
      <c r="I45" s="76">
        <v>2.3E-2</v>
      </c>
      <c r="J45" s="76">
        <v>1</v>
      </c>
      <c r="K45" s="76" t="s">
        <v>232</v>
      </c>
      <c r="L45" s="76">
        <v>10</v>
      </c>
      <c r="M45" s="76" t="s">
        <v>235</v>
      </c>
      <c r="BQ45" t="s">
        <v>21</v>
      </c>
      <c r="BR45">
        <v>1674</v>
      </c>
      <c r="BS45">
        <v>1</v>
      </c>
      <c r="BT45" s="2">
        <v>31593</v>
      </c>
      <c r="BU45" s="33">
        <f t="shared" si="4"/>
        <v>1986</v>
      </c>
      <c r="BX45">
        <v>4</v>
      </c>
      <c r="BY45" t="s">
        <v>211</v>
      </c>
      <c r="BZ45">
        <v>0.02</v>
      </c>
      <c r="CA45">
        <f t="shared" si="5"/>
        <v>20</v>
      </c>
      <c r="CB45">
        <v>1</v>
      </c>
      <c r="CC45" t="s">
        <v>232</v>
      </c>
      <c r="CD45">
        <v>7</v>
      </c>
      <c r="CE45" t="s">
        <v>235</v>
      </c>
      <c r="CG45" s="2">
        <v>32768</v>
      </c>
    </row>
    <row r="46" spans="1:85" x14ac:dyDescent="0.2">
      <c r="A46" s="76" t="s">
        <v>21</v>
      </c>
      <c r="B46" s="76">
        <v>1674</v>
      </c>
      <c r="C46" s="76">
        <v>1</v>
      </c>
      <c r="D46" s="77">
        <v>30209</v>
      </c>
      <c r="G46" s="257">
        <v>6.1</v>
      </c>
      <c r="H46" s="76" t="s">
        <v>211</v>
      </c>
      <c r="I46" s="76">
        <v>1.7999999999999999E-2</v>
      </c>
      <c r="J46" s="76">
        <v>1</v>
      </c>
      <c r="K46" s="76" t="s">
        <v>232</v>
      </c>
      <c r="L46" s="76">
        <v>10</v>
      </c>
      <c r="M46" s="76" t="s">
        <v>235</v>
      </c>
      <c r="BQ46" t="s">
        <v>21</v>
      </c>
      <c r="BR46">
        <v>1674</v>
      </c>
      <c r="BS46">
        <v>1</v>
      </c>
      <c r="BT46" s="2">
        <v>31593</v>
      </c>
      <c r="BU46" s="33">
        <f t="shared" si="4"/>
        <v>1986</v>
      </c>
      <c r="BX46">
        <v>6</v>
      </c>
      <c r="BY46" t="s">
        <v>211</v>
      </c>
      <c r="BZ46">
        <v>1.7000000000000001E-2</v>
      </c>
      <c r="CA46">
        <f t="shared" si="5"/>
        <v>17</v>
      </c>
      <c r="CB46">
        <v>1</v>
      </c>
      <c r="CC46" t="s">
        <v>232</v>
      </c>
      <c r="CD46">
        <v>7</v>
      </c>
      <c r="CE46" t="s">
        <v>235</v>
      </c>
      <c r="CG46" s="2">
        <v>33021</v>
      </c>
    </row>
    <row r="47" spans="1:85" x14ac:dyDescent="0.2">
      <c r="A47" s="76" t="s">
        <v>21</v>
      </c>
      <c r="B47" s="76">
        <v>1674</v>
      </c>
      <c r="C47" s="76">
        <v>1</v>
      </c>
      <c r="D47" s="77">
        <v>30209</v>
      </c>
      <c r="G47" s="257">
        <v>7</v>
      </c>
      <c r="H47" s="76" t="s">
        <v>211</v>
      </c>
      <c r="I47" s="76">
        <v>2.3E-2</v>
      </c>
      <c r="J47" s="76">
        <v>1</v>
      </c>
      <c r="K47" s="76" t="s">
        <v>232</v>
      </c>
      <c r="L47" s="76">
        <v>10</v>
      </c>
      <c r="M47" s="76" t="s">
        <v>235</v>
      </c>
      <c r="BQ47" t="s">
        <v>21</v>
      </c>
      <c r="BR47">
        <v>1674</v>
      </c>
      <c r="BS47">
        <v>1</v>
      </c>
      <c r="BT47" s="2">
        <v>31593</v>
      </c>
      <c r="BU47" s="33">
        <f t="shared" si="4"/>
        <v>1986</v>
      </c>
      <c r="BX47">
        <v>8</v>
      </c>
      <c r="BY47" t="s">
        <v>211</v>
      </c>
      <c r="BZ47">
        <v>2.8000000000000001E-2</v>
      </c>
      <c r="CA47">
        <f t="shared" si="5"/>
        <v>28</v>
      </c>
      <c r="CB47">
        <v>1</v>
      </c>
      <c r="CC47" t="s">
        <v>232</v>
      </c>
      <c r="CD47">
        <v>7</v>
      </c>
      <c r="CE47" t="s">
        <v>235</v>
      </c>
      <c r="CG47" s="2">
        <v>33051</v>
      </c>
    </row>
    <row r="48" spans="1:85" x14ac:dyDescent="0.2">
      <c r="A48" s="76" t="s">
        <v>21</v>
      </c>
      <c r="B48" s="76">
        <v>1674</v>
      </c>
      <c r="C48" s="76">
        <v>1</v>
      </c>
      <c r="D48" s="77">
        <v>30209</v>
      </c>
      <c r="G48" s="257">
        <v>7.9</v>
      </c>
      <c r="H48" s="76" t="s">
        <v>211</v>
      </c>
      <c r="I48" s="76">
        <v>2.1000000000000001E-2</v>
      </c>
      <c r="J48" s="76">
        <v>1</v>
      </c>
      <c r="K48" s="76" t="s">
        <v>232</v>
      </c>
      <c r="L48" s="76">
        <v>10</v>
      </c>
      <c r="M48" s="76" t="s">
        <v>235</v>
      </c>
      <c r="BQ48" t="s">
        <v>21</v>
      </c>
      <c r="BR48">
        <v>1674</v>
      </c>
      <c r="BS48">
        <v>1</v>
      </c>
      <c r="BT48" s="2">
        <v>31593</v>
      </c>
      <c r="BU48" s="33">
        <f t="shared" si="4"/>
        <v>1986</v>
      </c>
      <c r="BX48">
        <v>10</v>
      </c>
      <c r="BY48" t="s">
        <v>211</v>
      </c>
      <c r="BZ48">
        <v>1.2E-2</v>
      </c>
      <c r="CA48">
        <f t="shared" si="5"/>
        <v>12</v>
      </c>
      <c r="CB48">
        <v>1</v>
      </c>
      <c r="CC48" t="s">
        <v>232</v>
      </c>
      <c r="CD48">
        <v>7</v>
      </c>
      <c r="CE48" t="s">
        <v>235</v>
      </c>
      <c r="CG48" s="2">
        <v>33078</v>
      </c>
    </row>
    <row r="49" spans="1:85" x14ac:dyDescent="0.2">
      <c r="A49" s="76" t="s">
        <v>21</v>
      </c>
      <c r="B49" s="76">
        <v>1674</v>
      </c>
      <c r="C49" s="76">
        <v>1</v>
      </c>
      <c r="D49" s="77">
        <v>30209</v>
      </c>
      <c r="G49" s="257">
        <v>9.1</v>
      </c>
      <c r="H49" s="76" t="s">
        <v>211</v>
      </c>
      <c r="I49" s="76">
        <v>7.0000000000000007E-2</v>
      </c>
      <c r="J49" s="76">
        <v>1</v>
      </c>
      <c r="K49" s="76" t="s">
        <v>232</v>
      </c>
      <c r="L49" s="76">
        <v>10</v>
      </c>
      <c r="M49" s="76" t="s">
        <v>235</v>
      </c>
      <c r="BQ49" t="s">
        <v>21</v>
      </c>
      <c r="BR49">
        <v>1674</v>
      </c>
      <c r="BS49">
        <v>1</v>
      </c>
      <c r="BT49" s="2">
        <v>31593</v>
      </c>
      <c r="BU49" s="33">
        <f t="shared" si="4"/>
        <v>1986</v>
      </c>
      <c r="BX49">
        <v>12</v>
      </c>
      <c r="BY49" t="s">
        <v>211</v>
      </c>
      <c r="BZ49">
        <v>2.8000000000000001E-2</v>
      </c>
      <c r="CA49" s="212">
        <f t="shared" si="5"/>
        <v>28</v>
      </c>
      <c r="CB49">
        <v>1</v>
      </c>
      <c r="CC49" t="s">
        <v>232</v>
      </c>
      <c r="CD49">
        <v>7</v>
      </c>
      <c r="CE49" t="s">
        <v>235</v>
      </c>
      <c r="CG49" s="2">
        <v>33106</v>
      </c>
    </row>
    <row r="50" spans="1:85" x14ac:dyDescent="0.2">
      <c r="A50" s="76" t="s">
        <v>21</v>
      </c>
      <c r="B50" s="76">
        <v>1674</v>
      </c>
      <c r="C50" s="76">
        <v>1</v>
      </c>
      <c r="D50" s="77">
        <v>31497</v>
      </c>
      <c r="G50" s="257">
        <v>0</v>
      </c>
      <c r="H50" s="76" t="s">
        <v>211</v>
      </c>
      <c r="I50" s="76">
        <v>1.4999999999999999E-2</v>
      </c>
      <c r="J50" s="76">
        <v>1</v>
      </c>
      <c r="K50" s="76" t="s">
        <v>232</v>
      </c>
      <c r="L50" s="76">
        <v>7</v>
      </c>
      <c r="M50" s="76" t="s">
        <v>235</v>
      </c>
      <c r="BQ50" t="s">
        <v>21</v>
      </c>
      <c r="BR50">
        <v>1674</v>
      </c>
      <c r="BS50">
        <v>1</v>
      </c>
      <c r="BT50" s="2">
        <v>31609</v>
      </c>
      <c r="BU50" s="33">
        <f t="shared" si="4"/>
        <v>1986</v>
      </c>
      <c r="BX50">
        <v>0</v>
      </c>
      <c r="BY50" t="s">
        <v>211</v>
      </c>
      <c r="BZ50">
        <v>2.3E-2</v>
      </c>
      <c r="CA50">
        <f t="shared" si="5"/>
        <v>23</v>
      </c>
      <c r="CB50">
        <v>1</v>
      </c>
      <c r="CC50" t="s">
        <v>232</v>
      </c>
      <c r="CD50">
        <v>7</v>
      </c>
      <c r="CE50" t="s">
        <v>235</v>
      </c>
      <c r="CG50" s="2">
        <v>33448</v>
      </c>
    </row>
    <row r="51" spans="1:85" x14ac:dyDescent="0.2">
      <c r="A51" s="76" t="s">
        <v>21</v>
      </c>
      <c r="B51" s="76">
        <v>1674</v>
      </c>
      <c r="C51" s="76">
        <v>1</v>
      </c>
      <c r="D51" s="77">
        <v>31497</v>
      </c>
      <c r="G51" s="257">
        <v>1</v>
      </c>
      <c r="H51" s="76" t="s">
        <v>211</v>
      </c>
      <c r="I51" s="76">
        <v>1.7000000000000001E-2</v>
      </c>
      <c r="J51" s="76">
        <v>1</v>
      </c>
      <c r="K51" s="76" t="s">
        <v>232</v>
      </c>
      <c r="L51" s="76">
        <v>7</v>
      </c>
      <c r="M51" s="76" t="s">
        <v>235</v>
      </c>
      <c r="BQ51" t="s">
        <v>21</v>
      </c>
      <c r="BR51">
        <v>1674</v>
      </c>
      <c r="BS51">
        <v>1</v>
      </c>
      <c r="BT51" s="2">
        <v>31609</v>
      </c>
      <c r="BU51" s="33">
        <f t="shared" si="4"/>
        <v>1986</v>
      </c>
      <c r="BX51">
        <v>2</v>
      </c>
      <c r="BY51" t="s">
        <v>211</v>
      </c>
      <c r="BZ51">
        <v>2.7E-2</v>
      </c>
      <c r="CA51">
        <f t="shared" si="5"/>
        <v>27</v>
      </c>
      <c r="CB51">
        <v>1</v>
      </c>
      <c r="CC51" t="s">
        <v>232</v>
      </c>
      <c r="CD51">
        <v>7</v>
      </c>
      <c r="CE51" t="s">
        <v>235</v>
      </c>
      <c r="CG51" s="2">
        <v>33471</v>
      </c>
    </row>
    <row r="52" spans="1:85" x14ac:dyDescent="0.2">
      <c r="A52" s="76" t="s">
        <v>21</v>
      </c>
      <c r="B52" s="76">
        <v>1674</v>
      </c>
      <c r="C52" s="76">
        <v>1</v>
      </c>
      <c r="D52" s="77">
        <v>31497</v>
      </c>
      <c r="G52" s="257">
        <v>3</v>
      </c>
      <c r="H52" s="76" t="s">
        <v>211</v>
      </c>
      <c r="I52" s="76">
        <v>1.0999999999999999E-2</v>
      </c>
      <c r="J52" s="76">
        <v>1</v>
      </c>
      <c r="K52" s="76" t="s">
        <v>232</v>
      </c>
      <c r="L52" s="76">
        <v>7</v>
      </c>
      <c r="M52" s="76" t="s">
        <v>235</v>
      </c>
      <c r="BQ52" t="s">
        <v>21</v>
      </c>
      <c r="BR52">
        <v>1674</v>
      </c>
      <c r="BS52">
        <v>1</v>
      </c>
      <c r="BT52" s="2">
        <v>31609</v>
      </c>
      <c r="BU52" s="33">
        <f t="shared" si="4"/>
        <v>1986</v>
      </c>
      <c r="BX52">
        <v>4</v>
      </c>
      <c r="BY52" t="s">
        <v>211</v>
      </c>
      <c r="BZ52">
        <v>2.5999999999999999E-2</v>
      </c>
      <c r="CA52">
        <f t="shared" si="5"/>
        <v>26</v>
      </c>
      <c r="CB52">
        <v>1</v>
      </c>
      <c r="CC52" t="s">
        <v>232</v>
      </c>
      <c r="CD52">
        <v>7</v>
      </c>
      <c r="CE52" t="s">
        <v>235</v>
      </c>
      <c r="CG52" s="2">
        <v>33793</v>
      </c>
    </row>
    <row r="53" spans="1:85" x14ac:dyDescent="0.2">
      <c r="A53" s="76" t="s">
        <v>21</v>
      </c>
      <c r="B53" s="76">
        <v>1674</v>
      </c>
      <c r="C53" s="76">
        <v>1</v>
      </c>
      <c r="D53" s="77">
        <v>31497</v>
      </c>
      <c r="G53" s="257">
        <v>5</v>
      </c>
      <c r="H53" s="76" t="s">
        <v>211</v>
      </c>
      <c r="I53" s="76">
        <v>1.0999999999999999E-2</v>
      </c>
      <c r="J53" s="76">
        <v>1</v>
      </c>
      <c r="K53" s="76" t="s">
        <v>232</v>
      </c>
      <c r="L53" s="76">
        <v>7</v>
      </c>
      <c r="M53" s="76" t="s">
        <v>235</v>
      </c>
      <c r="BQ53" t="s">
        <v>21</v>
      </c>
      <c r="BR53">
        <v>1674</v>
      </c>
      <c r="BS53">
        <v>1</v>
      </c>
      <c r="BT53" s="2">
        <v>31609</v>
      </c>
      <c r="BU53" s="33">
        <f t="shared" si="4"/>
        <v>1986</v>
      </c>
      <c r="BX53">
        <v>6</v>
      </c>
      <c r="BY53" t="s">
        <v>211</v>
      </c>
      <c r="BZ53">
        <v>2.4E-2</v>
      </c>
      <c r="CA53">
        <f t="shared" si="5"/>
        <v>24</v>
      </c>
      <c r="CB53">
        <v>1</v>
      </c>
      <c r="CC53" t="s">
        <v>232</v>
      </c>
      <c r="CD53">
        <v>7</v>
      </c>
      <c r="CE53" t="s">
        <v>235</v>
      </c>
      <c r="CG53" s="2">
        <v>33815</v>
      </c>
    </row>
    <row r="54" spans="1:85" x14ac:dyDescent="0.2">
      <c r="A54" s="76" t="s">
        <v>21</v>
      </c>
      <c r="B54" s="76">
        <v>1674</v>
      </c>
      <c r="C54" s="76">
        <v>1</v>
      </c>
      <c r="D54" s="77">
        <v>31497</v>
      </c>
      <c r="G54" s="257">
        <v>7</v>
      </c>
      <c r="H54" s="76" t="s">
        <v>211</v>
      </c>
      <c r="I54" s="76">
        <v>1.0999999999999999E-2</v>
      </c>
      <c r="J54" s="76">
        <v>1</v>
      </c>
      <c r="K54" s="76" t="s">
        <v>232</v>
      </c>
      <c r="L54" s="76">
        <v>7</v>
      </c>
      <c r="M54" s="76" t="s">
        <v>235</v>
      </c>
      <c r="BQ54" t="s">
        <v>21</v>
      </c>
      <c r="BR54">
        <v>1674</v>
      </c>
      <c r="BS54">
        <v>1</v>
      </c>
      <c r="BT54" s="2">
        <v>31609</v>
      </c>
      <c r="BU54" s="33">
        <f t="shared" si="4"/>
        <v>1986</v>
      </c>
      <c r="BX54">
        <v>8</v>
      </c>
      <c r="BY54" t="s">
        <v>211</v>
      </c>
      <c r="BZ54">
        <v>2.4E-2</v>
      </c>
      <c r="CA54">
        <f t="shared" si="5"/>
        <v>24</v>
      </c>
      <c r="CB54">
        <v>1</v>
      </c>
      <c r="CC54" t="s">
        <v>232</v>
      </c>
      <c r="CD54">
        <v>7</v>
      </c>
      <c r="CE54" t="s">
        <v>235</v>
      </c>
      <c r="CG54" s="2">
        <v>33829</v>
      </c>
    </row>
    <row r="55" spans="1:85" x14ac:dyDescent="0.2">
      <c r="A55" s="76" t="s">
        <v>21</v>
      </c>
      <c r="B55" s="76">
        <v>1674</v>
      </c>
      <c r="C55" s="76">
        <v>1</v>
      </c>
      <c r="D55" s="77">
        <v>31497</v>
      </c>
      <c r="G55" s="257">
        <v>9</v>
      </c>
      <c r="H55" s="76" t="s">
        <v>211</v>
      </c>
      <c r="I55" s="76">
        <v>1.4E-2</v>
      </c>
      <c r="J55" s="76">
        <v>1</v>
      </c>
      <c r="K55" s="76" t="s">
        <v>232</v>
      </c>
      <c r="L55" s="76">
        <v>7</v>
      </c>
      <c r="M55" s="76" t="s">
        <v>235</v>
      </c>
      <c r="BQ55" t="s">
        <v>21</v>
      </c>
      <c r="BR55">
        <v>1674</v>
      </c>
      <c r="BS55">
        <v>1</v>
      </c>
      <c r="BT55" s="2">
        <v>31609</v>
      </c>
      <c r="BU55" s="33">
        <f t="shared" si="4"/>
        <v>1986</v>
      </c>
      <c r="BX55">
        <v>10</v>
      </c>
      <c r="BY55" t="s">
        <v>211</v>
      </c>
      <c r="BZ55">
        <v>2.5999999999999999E-2</v>
      </c>
      <c r="CA55">
        <f t="shared" si="5"/>
        <v>26</v>
      </c>
      <c r="CB55">
        <v>1</v>
      </c>
      <c r="CC55" t="s">
        <v>232</v>
      </c>
      <c r="CD55">
        <v>7</v>
      </c>
      <c r="CE55" t="s">
        <v>235</v>
      </c>
      <c r="CG55" s="2">
        <v>33862</v>
      </c>
    </row>
    <row r="56" spans="1:85" x14ac:dyDescent="0.2">
      <c r="A56" s="76" t="s">
        <v>21</v>
      </c>
      <c r="B56" s="76">
        <v>1674</v>
      </c>
      <c r="C56" s="76">
        <v>1</v>
      </c>
      <c r="D56" s="77">
        <v>31497</v>
      </c>
      <c r="G56" s="257">
        <v>10</v>
      </c>
      <c r="H56" s="76" t="s">
        <v>211</v>
      </c>
      <c r="I56" s="76">
        <v>2.4E-2</v>
      </c>
      <c r="J56" s="76">
        <v>1</v>
      </c>
      <c r="K56" s="76" t="s">
        <v>232</v>
      </c>
      <c r="L56" s="76">
        <v>7</v>
      </c>
      <c r="M56" s="76" t="s">
        <v>235</v>
      </c>
      <c r="BQ56" t="s">
        <v>21</v>
      </c>
      <c r="BR56">
        <v>1674</v>
      </c>
      <c r="BS56">
        <v>1</v>
      </c>
      <c r="BT56" s="2">
        <v>31609</v>
      </c>
      <c r="BU56" s="33">
        <f t="shared" si="4"/>
        <v>1986</v>
      </c>
      <c r="BX56">
        <v>12</v>
      </c>
      <c r="BY56" t="s">
        <v>211</v>
      </c>
      <c r="BZ56">
        <v>2.4E-2</v>
      </c>
      <c r="CA56">
        <f t="shared" si="5"/>
        <v>24</v>
      </c>
      <c r="CB56">
        <v>1</v>
      </c>
      <c r="CC56" t="s">
        <v>232</v>
      </c>
      <c r="CD56">
        <v>7</v>
      </c>
      <c r="CE56" t="s">
        <v>235</v>
      </c>
      <c r="CG56" s="213">
        <v>37769</v>
      </c>
    </row>
    <row r="57" spans="1:85" x14ac:dyDescent="0.2">
      <c r="A57" s="76" t="s">
        <v>21</v>
      </c>
      <c r="B57" s="76">
        <v>1674</v>
      </c>
      <c r="C57" s="76">
        <v>1</v>
      </c>
      <c r="D57" s="77">
        <v>31541</v>
      </c>
      <c r="G57" s="257">
        <v>0</v>
      </c>
      <c r="H57" s="76" t="s">
        <v>211</v>
      </c>
      <c r="I57" s="76">
        <v>1.6E-2</v>
      </c>
      <c r="J57" s="76">
        <v>1</v>
      </c>
      <c r="K57" s="76" t="s">
        <v>232</v>
      </c>
      <c r="L57" s="76">
        <v>8</v>
      </c>
      <c r="M57" s="76" t="s">
        <v>235</v>
      </c>
      <c r="BQ57" t="s">
        <v>21</v>
      </c>
      <c r="BR57">
        <v>1674</v>
      </c>
      <c r="BS57">
        <v>1</v>
      </c>
      <c r="BT57" s="2">
        <v>31624</v>
      </c>
      <c r="BU57" s="33">
        <f t="shared" si="4"/>
        <v>1986</v>
      </c>
      <c r="BX57">
        <v>0</v>
      </c>
      <c r="BY57" t="s">
        <v>211</v>
      </c>
      <c r="BZ57">
        <v>1.9E-2</v>
      </c>
      <c r="CA57">
        <f t="shared" si="5"/>
        <v>19</v>
      </c>
      <c r="CB57">
        <v>1</v>
      </c>
      <c r="CC57" t="s">
        <v>232</v>
      </c>
      <c r="CD57">
        <v>8</v>
      </c>
      <c r="CE57" t="s">
        <v>235</v>
      </c>
      <c r="CG57" s="2">
        <v>38169</v>
      </c>
    </row>
    <row r="58" spans="1:85" x14ac:dyDescent="0.2">
      <c r="A58" s="76" t="s">
        <v>21</v>
      </c>
      <c r="B58" s="76">
        <v>1674</v>
      </c>
      <c r="C58" s="76">
        <v>1</v>
      </c>
      <c r="D58" s="77">
        <v>31541</v>
      </c>
      <c r="G58" s="257">
        <v>1</v>
      </c>
      <c r="H58" s="76" t="s">
        <v>211</v>
      </c>
      <c r="I58" s="76">
        <v>1.7999999999999999E-2</v>
      </c>
      <c r="J58" s="76">
        <v>1</v>
      </c>
      <c r="K58" s="76" t="s">
        <v>232</v>
      </c>
      <c r="L58" s="76">
        <v>8</v>
      </c>
      <c r="M58" s="76" t="s">
        <v>235</v>
      </c>
      <c r="BQ58" t="s">
        <v>21</v>
      </c>
      <c r="BR58">
        <v>1674</v>
      </c>
      <c r="BS58">
        <v>1</v>
      </c>
      <c r="BT58" s="2">
        <v>31624</v>
      </c>
      <c r="BU58" s="33">
        <f t="shared" si="4"/>
        <v>1986</v>
      </c>
      <c r="BX58">
        <v>2</v>
      </c>
      <c r="BY58" t="s">
        <v>211</v>
      </c>
      <c r="BZ58">
        <v>3.2000000000000001E-2</v>
      </c>
      <c r="CA58">
        <f t="shared" si="5"/>
        <v>32</v>
      </c>
      <c r="CB58">
        <v>1</v>
      </c>
      <c r="CC58" t="s">
        <v>232</v>
      </c>
      <c r="CD58">
        <v>8</v>
      </c>
      <c r="CE58" t="s">
        <v>235</v>
      </c>
      <c r="CG58" s="2">
        <v>38203</v>
      </c>
    </row>
    <row r="59" spans="1:85" x14ac:dyDescent="0.2">
      <c r="A59" s="76" t="s">
        <v>21</v>
      </c>
      <c r="B59" s="76">
        <v>1674</v>
      </c>
      <c r="C59" s="76">
        <v>1</v>
      </c>
      <c r="D59" s="77">
        <v>31541</v>
      </c>
      <c r="G59" s="257">
        <v>3</v>
      </c>
      <c r="H59" s="76" t="s">
        <v>211</v>
      </c>
      <c r="I59" s="76">
        <v>1.7000000000000001E-2</v>
      </c>
      <c r="J59" s="76">
        <v>1</v>
      </c>
      <c r="K59" s="76" t="s">
        <v>232</v>
      </c>
      <c r="L59" s="76">
        <v>8</v>
      </c>
      <c r="M59" s="76" t="s">
        <v>235</v>
      </c>
      <c r="BQ59" t="s">
        <v>21</v>
      </c>
      <c r="BR59">
        <v>1674</v>
      </c>
      <c r="BS59">
        <v>1</v>
      </c>
      <c r="BT59" s="2">
        <v>31624</v>
      </c>
      <c r="BU59" s="33">
        <f t="shared" si="4"/>
        <v>1986</v>
      </c>
      <c r="BX59">
        <v>4</v>
      </c>
      <c r="BY59" t="s">
        <v>211</v>
      </c>
      <c r="BZ59">
        <v>2.1000000000000001E-2</v>
      </c>
      <c r="CA59">
        <f t="shared" si="5"/>
        <v>21</v>
      </c>
      <c r="CB59">
        <v>1</v>
      </c>
      <c r="CC59" t="s">
        <v>232</v>
      </c>
      <c r="CD59">
        <v>8</v>
      </c>
      <c r="CE59" t="s">
        <v>235</v>
      </c>
    </row>
    <row r="60" spans="1:85" x14ac:dyDescent="0.2">
      <c r="A60" s="76" t="s">
        <v>21</v>
      </c>
      <c r="B60" s="76">
        <v>1674</v>
      </c>
      <c r="C60" s="76">
        <v>1</v>
      </c>
      <c r="D60" s="77">
        <v>31541</v>
      </c>
      <c r="G60" s="257">
        <v>5</v>
      </c>
      <c r="H60" s="76" t="s">
        <v>211</v>
      </c>
      <c r="I60" s="76">
        <v>1.4999999999999999E-2</v>
      </c>
      <c r="J60" s="76">
        <v>1</v>
      </c>
      <c r="K60" s="76" t="s">
        <v>232</v>
      </c>
      <c r="L60" s="76">
        <v>8</v>
      </c>
      <c r="M60" s="76" t="s">
        <v>235</v>
      </c>
      <c r="BQ60" t="s">
        <v>21</v>
      </c>
      <c r="BR60">
        <v>1674</v>
      </c>
      <c r="BS60">
        <v>1</v>
      </c>
      <c r="BT60" s="2">
        <v>31624</v>
      </c>
      <c r="BU60" s="33">
        <f t="shared" si="4"/>
        <v>1986</v>
      </c>
      <c r="BX60">
        <v>6</v>
      </c>
      <c r="BY60" t="s">
        <v>211</v>
      </c>
      <c r="BZ60">
        <v>2.4E-2</v>
      </c>
      <c r="CA60">
        <f t="shared" si="5"/>
        <v>24</v>
      </c>
      <c r="CB60">
        <v>1</v>
      </c>
      <c r="CC60" t="s">
        <v>232</v>
      </c>
      <c r="CD60">
        <v>8</v>
      </c>
      <c r="CE60" t="s">
        <v>235</v>
      </c>
    </row>
    <row r="61" spans="1:85" x14ac:dyDescent="0.2">
      <c r="A61" s="76" t="s">
        <v>21</v>
      </c>
      <c r="B61" s="76">
        <v>1674</v>
      </c>
      <c r="C61" s="76">
        <v>1</v>
      </c>
      <c r="D61" s="77">
        <v>31541</v>
      </c>
      <c r="G61" s="257">
        <v>7</v>
      </c>
      <c r="H61" s="76" t="s">
        <v>211</v>
      </c>
      <c r="I61" s="76">
        <v>1.6E-2</v>
      </c>
      <c r="J61" s="76">
        <v>1</v>
      </c>
      <c r="K61" s="76" t="s">
        <v>232</v>
      </c>
      <c r="L61" s="76">
        <v>8</v>
      </c>
      <c r="M61" s="76" t="s">
        <v>235</v>
      </c>
      <c r="BQ61" t="s">
        <v>21</v>
      </c>
      <c r="BR61">
        <v>1674</v>
      </c>
      <c r="BS61">
        <v>1</v>
      </c>
      <c r="BT61" s="2">
        <v>31624</v>
      </c>
      <c r="BU61" s="33">
        <f t="shared" si="4"/>
        <v>1986</v>
      </c>
      <c r="BX61">
        <v>8</v>
      </c>
      <c r="BY61" t="s">
        <v>211</v>
      </c>
      <c r="BZ61">
        <v>1.7999999999999999E-2</v>
      </c>
      <c r="CA61">
        <f t="shared" si="5"/>
        <v>18</v>
      </c>
      <c r="CB61">
        <v>1</v>
      </c>
      <c r="CC61" t="s">
        <v>232</v>
      </c>
      <c r="CD61">
        <v>8</v>
      </c>
      <c r="CE61" t="s">
        <v>235</v>
      </c>
    </row>
    <row r="62" spans="1:85" x14ac:dyDescent="0.2">
      <c r="A62" s="76" t="s">
        <v>21</v>
      </c>
      <c r="B62" s="76">
        <v>1674</v>
      </c>
      <c r="C62" s="76">
        <v>1</v>
      </c>
      <c r="D62" s="77">
        <v>31541</v>
      </c>
      <c r="G62" s="257">
        <v>9</v>
      </c>
      <c r="H62" s="76" t="s">
        <v>211</v>
      </c>
      <c r="I62" s="76">
        <v>1.4E-2</v>
      </c>
      <c r="J62" s="76">
        <v>1</v>
      </c>
      <c r="K62" s="76" t="s">
        <v>232</v>
      </c>
      <c r="L62" s="76">
        <v>8</v>
      </c>
      <c r="M62" s="76" t="s">
        <v>235</v>
      </c>
      <c r="BQ62" t="s">
        <v>21</v>
      </c>
      <c r="BR62">
        <v>1674</v>
      </c>
      <c r="BS62">
        <v>1</v>
      </c>
      <c r="BT62" s="2">
        <v>31624</v>
      </c>
      <c r="BU62" s="33">
        <f t="shared" si="4"/>
        <v>1986</v>
      </c>
      <c r="BX62">
        <v>10</v>
      </c>
      <c r="BY62" t="s">
        <v>211</v>
      </c>
      <c r="BZ62">
        <v>2.7E-2</v>
      </c>
      <c r="CA62">
        <f t="shared" si="5"/>
        <v>27</v>
      </c>
      <c r="CB62">
        <v>1</v>
      </c>
      <c r="CC62" t="s">
        <v>232</v>
      </c>
      <c r="CD62">
        <v>8</v>
      </c>
      <c r="CE62" t="s">
        <v>235</v>
      </c>
    </row>
    <row r="63" spans="1:85" x14ac:dyDescent="0.2">
      <c r="A63" s="76" t="s">
        <v>21</v>
      </c>
      <c r="B63" s="76">
        <v>1674</v>
      </c>
      <c r="C63" s="76">
        <v>1</v>
      </c>
      <c r="D63" s="77">
        <v>31541</v>
      </c>
      <c r="G63" s="257">
        <v>11</v>
      </c>
      <c r="H63" s="76" t="s">
        <v>211</v>
      </c>
      <c r="I63" s="76">
        <v>1.2E-2</v>
      </c>
      <c r="J63" s="76">
        <v>1</v>
      </c>
      <c r="K63" s="76" t="s">
        <v>232</v>
      </c>
      <c r="L63" s="76">
        <v>8</v>
      </c>
      <c r="M63" s="76" t="s">
        <v>235</v>
      </c>
      <c r="BQ63" t="s">
        <v>21</v>
      </c>
      <c r="BR63">
        <v>1674</v>
      </c>
      <c r="BS63">
        <v>1</v>
      </c>
      <c r="BT63" s="2">
        <v>31624</v>
      </c>
      <c r="BU63" s="33">
        <f t="shared" si="4"/>
        <v>1986</v>
      </c>
      <c r="BX63">
        <v>12</v>
      </c>
      <c r="BY63" t="s">
        <v>211</v>
      </c>
      <c r="BZ63">
        <v>3.6999999999999998E-2</v>
      </c>
      <c r="CA63" s="212">
        <f t="shared" si="5"/>
        <v>37</v>
      </c>
      <c r="CB63">
        <v>1</v>
      </c>
      <c r="CC63" t="s">
        <v>232</v>
      </c>
      <c r="CD63">
        <v>8</v>
      </c>
      <c r="CE63" t="s">
        <v>235</v>
      </c>
    </row>
    <row r="64" spans="1:85" x14ac:dyDescent="0.2">
      <c r="A64" s="76" t="s">
        <v>21</v>
      </c>
      <c r="B64" s="76">
        <v>1674</v>
      </c>
      <c r="C64" s="76">
        <v>1</v>
      </c>
      <c r="D64" s="77">
        <v>31541</v>
      </c>
      <c r="G64" s="257">
        <v>12</v>
      </c>
      <c r="H64" s="76" t="s">
        <v>211</v>
      </c>
      <c r="I64" s="76">
        <v>1.2999999999999999E-2</v>
      </c>
      <c r="J64" s="76">
        <v>1</v>
      </c>
      <c r="K64" s="76" t="s">
        <v>232</v>
      </c>
      <c r="L64" s="76">
        <v>8</v>
      </c>
      <c r="M64" s="76" t="s">
        <v>235</v>
      </c>
      <c r="BQ64" t="s">
        <v>21</v>
      </c>
      <c r="BR64">
        <v>1674</v>
      </c>
      <c r="BS64">
        <v>1</v>
      </c>
      <c r="BT64" s="2">
        <v>31624</v>
      </c>
      <c r="BU64" s="33">
        <f t="shared" si="4"/>
        <v>1986</v>
      </c>
      <c r="BX64">
        <v>13</v>
      </c>
      <c r="BY64" t="s">
        <v>211</v>
      </c>
      <c r="BZ64">
        <v>5.3999999999999999E-2</v>
      </c>
      <c r="CA64" s="212">
        <f t="shared" si="5"/>
        <v>54</v>
      </c>
      <c r="CB64">
        <v>1</v>
      </c>
      <c r="CC64" t="s">
        <v>232</v>
      </c>
      <c r="CD64">
        <v>8</v>
      </c>
      <c r="CE64" t="s">
        <v>235</v>
      </c>
    </row>
    <row r="65" spans="1:83" x14ac:dyDescent="0.2">
      <c r="A65" s="76" t="s">
        <v>21</v>
      </c>
      <c r="B65" s="76">
        <v>1674</v>
      </c>
      <c r="C65" s="76">
        <v>1</v>
      </c>
      <c r="D65" s="77">
        <v>31559</v>
      </c>
      <c r="G65" s="257">
        <v>0</v>
      </c>
      <c r="H65" s="76" t="s">
        <v>211</v>
      </c>
      <c r="I65" s="76">
        <v>1.2E-2</v>
      </c>
      <c r="J65" s="76">
        <v>1</v>
      </c>
      <c r="K65" s="76" t="s">
        <v>232</v>
      </c>
      <c r="L65" s="76">
        <v>7</v>
      </c>
      <c r="M65" s="76" t="s">
        <v>235</v>
      </c>
      <c r="BQ65" t="s">
        <v>21</v>
      </c>
      <c r="BR65">
        <v>1674</v>
      </c>
      <c r="BS65">
        <v>1</v>
      </c>
      <c r="BT65" s="2">
        <v>31636</v>
      </c>
      <c r="BU65" s="33">
        <f t="shared" si="4"/>
        <v>1986</v>
      </c>
      <c r="BX65">
        <v>0</v>
      </c>
      <c r="BY65" t="s">
        <v>211</v>
      </c>
      <c r="BZ65">
        <v>2.4E-2</v>
      </c>
      <c r="CA65">
        <f t="shared" si="5"/>
        <v>24</v>
      </c>
      <c r="CB65">
        <v>1</v>
      </c>
      <c r="CC65" t="s">
        <v>232</v>
      </c>
      <c r="CD65">
        <v>8</v>
      </c>
      <c r="CE65" t="s">
        <v>235</v>
      </c>
    </row>
    <row r="66" spans="1:83" x14ac:dyDescent="0.2">
      <c r="A66" s="76" t="s">
        <v>21</v>
      </c>
      <c r="B66" s="76">
        <v>1674</v>
      </c>
      <c r="C66" s="76">
        <v>1</v>
      </c>
      <c r="D66" s="77">
        <v>31559</v>
      </c>
      <c r="G66" s="257">
        <v>2</v>
      </c>
      <c r="H66" s="76" t="s">
        <v>211</v>
      </c>
      <c r="I66" s="76">
        <v>1.2E-2</v>
      </c>
      <c r="J66" s="76">
        <v>1</v>
      </c>
      <c r="K66" s="76" t="s">
        <v>232</v>
      </c>
      <c r="L66" s="76">
        <v>7</v>
      </c>
      <c r="M66" s="76" t="s">
        <v>235</v>
      </c>
      <c r="BQ66" t="s">
        <v>21</v>
      </c>
      <c r="BR66">
        <v>1674</v>
      </c>
      <c r="BS66">
        <v>1</v>
      </c>
      <c r="BT66" s="2">
        <v>31636</v>
      </c>
      <c r="BU66" s="33">
        <f t="shared" si="4"/>
        <v>1986</v>
      </c>
      <c r="BX66">
        <v>2</v>
      </c>
      <c r="BY66" t="s">
        <v>211</v>
      </c>
      <c r="BZ66">
        <v>2.1000000000000001E-2</v>
      </c>
      <c r="CA66">
        <f t="shared" si="5"/>
        <v>21</v>
      </c>
      <c r="CB66">
        <v>1</v>
      </c>
      <c r="CC66" t="s">
        <v>232</v>
      </c>
      <c r="CD66">
        <v>8</v>
      </c>
      <c r="CE66" t="s">
        <v>235</v>
      </c>
    </row>
    <row r="67" spans="1:83" x14ac:dyDescent="0.2">
      <c r="A67" s="76" t="s">
        <v>21</v>
      </c>
      <c r="B67" s="76">
        <v>1674</v>
      </c>
      <c r="C67" s="76">
        <v>1</v>
      </c>
      <c r="D67" s="77">
        <v>31559</v>
      </c>
      <c r="G67" s="257">
        <v>4</v>
      </c>
      <c r="H67" s="76" t="s">
        <v>211</v>
      </c>
      <c r="I67" s="76">
        <v>1.2E-2</v>
      </c>
      <c r="J67" s="76">
        <v>1</v>
      </c>
      <c r="K67" s="76" t="s">
        <v>232</v>
      </c>
      <c r="L67" s="76">
        <v>7</v>
      </c>
      <c r="M67" s="76" t="s">
        <v>235</v>
      </c>
      <c r="BQ67" t="s">
        <v>21</v>
      </c>
      <c r="BR67">
        <v>1674</v>
      </c>
      <c r="BS67">
        <v>1</v>
      </c>
      <c r="BT67" s="2">
        <v>31636</v>
      </c>
      <c r="BU67" s="33">
        <f t="shared" si="4"/>
        <v>1986</v>
      </c>
      <c r="BX67">
        <v>4</v>
      </c>
      <c r="BY67" t="s">
        <v>211</v>
      </c>
      <c r="BZ67">
        <v>2.1000000000000001E-2</v>
      </c>
      <c r="CA67">
        <f t="shared" si="5"/>
        <v>21</v>
      </c>
      <c r="CB67">
        <v>1</v>
      </c>
      <c r="CC67" t="s">
        <v>232</v>
      </c>
      <c r="CD67">
        <v>8</v>
      </c>
      <c r="CE67" t="s">
        <v>235</v>
      </c>
    </row>
    <row r="68" spans="1:83" x14ac:dyDescent="0.2">
      <c r="A68" s="76" t="s">
        <v>21</v>
      </c>
      <c r="B68" s="76">
        <v>1674</v>
      </c>
      <c r="C68" s="76">
        <v>1</v>
      </c>
      <c r="D68" s="77">
        <v>31559</v>
      </c>
      <c r="G68" s="257">
        <v>6</v>
      </c>
      <c r="H68" s="76" t="s">
        <v>211</v>
      </c>
      <c r="I68" s="76">
        <v>1.4E-2</v>
      </c>
      <c r="J68" s="76">
        <v>1</v>
      </c>
      <c r="K68" s="76" t="s">
        <v>232</v>
      </c>
      <c r="L68" s="76">
        <v>7</v>
      </c>
      <c r="M68" s="76" t="s">
        <v>235</v>
      </c>
      <c r="BQ68" t="s">
        <v>21</v>
      </c>
      <c r="BR68">
        <v>1674</v>
      </c>
      <c r="BS68">
        <v>1</v>
      </c>
      <c r="BT68" s="2">
        <v>31636</v>
      </c>
      <c r="BU68" s="33">
        <f t="shared" ref="BU68:BU131" si="8">YEAR(BT68)</f>
        <v>1986</v>
      </c>
      <c r="BX68">
        <v>6</v>
      </c>
      <c r="BY68" t="s">
        <v>211</v>
      </c>
      <c r="BZ68">
        <v>2.1000000000000001E-2</v>
      </c>
      <c r="CA68">
        <f t="shared" ref="CA68:CA131" si="9">BZ68*1000</f>
        <v>21</v>
      </c>
      <c r="CB68">
        <v>1</v>
      </c>
      <c r="CC68" t="s">
        <v>232</v>
      </c>
      <c r="CD68">
        <v>8</v>
      </c>
      <c r="CE68" t="s">
        <v>235</v>
      </c>
    </row>
    <row r="69" spans="1:83" x14ac:dyDescent="0.2">
      <c r="A69" s="76" t="s">
        <v>21</v>
      </c>
      <c r="B69" s="76">
        <v>1674</v>
      </c>
      <c r="C69" s="76">
        <v>1</v>
      </c>
      <c r="D69" s="77">
        <v>31559</v>
      </c>
      <c r="G69" s="257">
        <v>8</v>
      </c>
      <c r="H69" s="76" t="s">
        <v>211</v>
      </c>
      <c r="I69" s="76">
        <v>1.6E-2</v>
      </c>
      <c r="J69" s="76">
        <v>1</v>
      </c>
      <c r="K69" s="76" t="s">
        <v>232</v>
      </c>
      <c r="L69" s="76">
        <v>7</v>
      </c>
      <c r="M69" s="76" t="s">
        <v>235</v>
      </c>
      <c r="BQ69" t="s">
        <v>21</v>
      </c>
      <c r="BR69">
        <v>1674</v>
      </c>
      <c r="BS69">
        <v>1</v>
      </c>
      <c r="BT69" s="2">
        <v>31636</v>
      </c>
      <c r="BU69" s="33">
        <f t="shared" si="8"/>
        <v>1986</v>
      </c>
      <c r="BX69">
        <v>8</v>
      </c>
      <c r="BY69" t="s">
        <v>211</v>
      </c>
      <c r="BZ69">
        <v>2.4E-2</v>
      </c>
      <c r="CA69">
        <f t="shared" si="9"/>
        <v>24</v>
      </c>
      <c r="CB69">
        <v>1</v>
      </c>
      <c r="CC69" t="s">
        <v>232</v>
      </c>
      <c r="CD69">
        <v>8</v>
      </c>
      <c r="CE69" t="s">
        <v>235</v>
      </c>
    </row>
    <row r="70" spans="1:83" x14ac:dyDescent="0.2">
      <c r="A70" s="76" t="s">
        <v>21</v>
      </c>
      <c r="B70" s="76">
        <v>1674</v>
      </c>
      <c r="C70" s="76">
        <v>1</v>
      </c>
      <c r="D70" s="77">
        <v>31559</v>
      </c>
      <c r="G70" s="257">
        <v>10</v>
      </c>
      <c r="H70" s="76" t="s">
        <v>211</v>
      </c>
      <c r="I70" s="76">
        <v>2.7E-2</v>
      </c>
      <c r="J70" s="76">
        <v>1</v>
      </c>
      <c r="K70" s="76" t="s">
        <v>232</v>
      </c>
      <c r="L70" s="76">
        <v>7</v>
      </c>
      <c r="M70" s="76" t="s">
        <v>235</v>
      </c>
      <c r="BQ70" t="s">
        <v>21</v>
      </c>
      <c r="BR70">
        <v>1674</v>
      </c>
      <c r="BS70">
        <v>1</v>
      </c>
      <c r="BT70" s="2">
        <v>31636</v>
      </c>
      <c r="BU70" s="33">
        <f t="shared" si="8"/>
        <v>1986</v>
      </c>
      <c r="BX70">
        <v>10</v>
      </c>
      <c r="BY70" t="s">
        <v>211</v>
      </c>
      <c r="BZ70">
        <v>2.5000000000000001E-2</v>
      </c>
      <c r="CA70">
        <f t="shared" si="9"/>
        <v>25</v>
      </c>
      <c r="CB70">
        <v>1</v>
      </c>
      <c r="CC70" t="s">
        <v>232</v>
      </c>
      <c r="CD70">
        <v>8</v>
      </c>
      <c r="CE70" t="s">
        <v>235</v>
      </c>
    </row>
    <row r="71" spans="1:83" x14ac:dyDescent="0.2">
      <c r="A71" s="76" t="s">
        <v>21</v>
      </c>
      <c r="B71" s="76">
        <v>1674</v>
      </c>
      <c r="C71" s="76">
        <v>1</v>
      </c>
      <c r="D71" s="77">
        <v>31559</v>
      </c>
      <c r="G71" s="257">
        <v>12</v>
      </c>
      <c r="H71" s="76" t="s">
        <v>211</v>
      </c>
      <c r="I71" s="76">
        <v>3.2000000000000001E-2</v>
      </c>
      <c r="J71" s="76">
        <v>1</v>
      </c>
      <c r="K71" s="76" t="s">
        <v>232</v>
      </c>
      <c r="L71" s="76">
        <v>7</v>
      </c>
      <c r="M71" s="76" t="s">
        <v>235</v>
      </c>
      <c r="BQ71" t="s">
        <v>21</v>
      </c>
      <c r="BR71">
        <v>1674</v>
      </c>
      <c r="BS71">
        <v>1</v>
      </c>
      <c r="BT71" s="2">
        <v>31636</v>
      </c>
      <c r="BU71" s="33">
        <f t="shared" si="8"/>
        <v>1986</v>
      </c>
      <c r="BX71">
        <v>12</v>
      </c>
      <c r="BY71" t="s">
        <v>211</v>
      </c>
      <c r="BZ71">
        <v>2.5000000000000001E-2</v>
      </c>
      <c r="CA71">
        <f t="shared" si="9"/>
        <v>25</v>
      </c>
      <c r="CB71">
        <v>1</v>
      </c>
      <c r="CC71" t="s">
        <v>232</v>
      </c>
      <c r="CD71">
        <v>8</v>
      </c>
      <c r="CE71" t="s">
        <v>235</v>
      </c>
    </row>
    <row r="72" spans="1:83" x14ac:dyDescent="0.2">
      <c r="A72" s="76" t="s">
        <v>21</v>
      </c>
      <c r="B72" s="76">
        <v>1674</v>
      </c>
      <c r="C72" s="76">
        <v>1</v>
      </c>
      <c r="D72" s="77">
        <v>31574</v>
      </c>
      <c r="G72" s="257">
        <v>0</v>
      </c>
      <c r="H72" s="76" t="s">
        <v>211</v>
      </c>
      <c r="I72" s="76">
        <v>1.7999999999999999E-2</v>
      </c>
      <c r="J72" s="76">
        <v>1</v>
      </c>
      <c r="K72" s="76" t="s">
        <v>232</v>
      </c>
      <c r="L72" s="76">
        <v>8</v>
      </c>
      <c r="M72" s="76" t="s">
        <v>235</v>
      </c>
      <c r="BQ72" t="s">
        <v>21</v>
      </c>
      <c r="BR72">
        <v>1674</v>
      </c>
      <c r="BS72">
        <v>1</v>
      </c>
      <c r="BT72" s="2">
        <v>31636</v>
      </c>
      <c r="BU72" s="33">
        <f t="shared" si="8"/>
        <v>1986</v>
      </c>
      <c r="BX72">
        <v>13</v>
      </c>
      <c r="BY72" t="s">
        <v>211</v>
      </c>
      <c r="BZ72">
        <v>4.5999999999999999E-2</v>
      </c>
      <c r="CA72" s="212">
        <f t="shared" si="9"/>
        <v>46</v>
      </c>
      <c r="CB72">
        <v>1</v>
      </c>
      <c r="CC72" t="s">
        <v>232</v>
      </c>
      <c r="CD72">
        <v>8</v>
      </c>
      <c r="CE72" t="s">
        <v>235</v>
      </c>
    </row>
    <row r="73" spans="1:83" x14ac:dyDescent="0.2">
      <c r="A73" s="76" t="s">
        <v>21</v>
      </c>
      <c r="B73" s="76">
        <v>1674</v>
      </c>
      <c r="C73" s="76">
        <v>1</v>
      </c>
      <c r="D73" s="77">
        <v>31574</v>
      </c>
      <c r="G73" s="257">
        <v>2</v>
      </c>
      <c r="H73" s="76" t="s">
        <v>211</v>
      </c>
      <c r="I73" s="76">
        <v>0.02</v>
      </c>
      <c r="J73" s="76">
        <v>1</v>
      </c>
      <c r="K73" s="76" t="s">
        <v>232</v>
      </c>
      <c r="L73" s="76">
        <v>8</v>
      </c>
      <c r="M73" s="76" t="s">
        <v>235</v>
      </c>
      <c r="BQ73" t="s">
        <v>21</v>
      </c>
      <c r="BR73">
        <v>1674</v>
      </c>
      <c r="BS73">
        <v>1</v>
      </c>
      <c r="BT73" s="2">
        <v>31651</v>
      </c>
      <c r="BU73" s="33">
        <f t="shared" si="8"/>
        <v>1986</v>
      </c>
      <c r="BX73">
        <v>2</v>
      </c>
      <c r="BY73" t="s">
        <v>211</v>
      </c>
      <c r="BZ73">
        <v>2.4E-2</v>
      </c>
      <c r="CA73">
        <f t="shared" si="9"/>
        <v>24</v>
      </c>
      <c r="CB73">
        <v>1</v>
      </c>
      <c r="CC73" t="s">
        <v>232</v>
      </c>
      <c r="CD73">
        <v>7</v>
      </c>
      <c r="CE73" t="s">
        <v>235</v>
      </c>
    </row>
    <row r="74" spans="1:83" x14ac:dyDescent="0.2">
      <c r="A74" s="76" t="s">
        <v>21</v>
      </c>
      <c r="B74" s="76">
        <v>1674</v>
      </c>
      <c r="C74" s="76">
        <v>1</v>
      </c>
      <c r="D74" s="77">
        <v>31574</v>
      </c>
      <c r="G74" s="257">
        <v>4</v>
      </c>
      <c r="H74" s="76" t="s">
        <v>211</v>
      </c>
      <c r="I74" s="76">
        <v>1.9E-2</v>
      </c>
      <c r="J74" s="76">
        <v>1</v>
      </c>
      <c r="K74" s="76" t="s">
        <v>232</v>
      </c>
      <c r="L74" s="76">
        <v>8</v>
      </c>
      <c r="M74" s="76" t="s">
        <v>235</v>
      </c>
      <c r="BQ74" t="s">
        <v>21</v>
      </c>
      <c r="BR74">
        <v>1674</v>
      </c>
      <c r="BS74">
        <v>1</v>
      </c>
      <c r="BT74" s="2">
        <v>31651</v>
      </c>
      <c r="BU74" s="33">
        <f t="shared" si="8"/>
        <v>1986</v>
      </c>
      <c r="BX74">
        <v>4</v>
      </c>
      <c r="BY74" t="s">
        <v>211</v>
      </c>
      <c r="BZ74">
        <v>1.7000000000000001E-2</v>
      </c>
      <c r="CA74">
        <f t="shared" si="9"/>
        <v>17</v>
      </c>
      <c r="CB74">
        <v>1</v>
      </c>
      <c r="CC74" t="s">
        <v>232</v>
      </c>
      <c r="CD74">
        <v>7</v>
      </c>
      <c r="CE74" t="s">
        <v>235</v>
      </c>
    </row>
    <row r="75" spans="1:83" x14ac:dyDescent="0.2">
      <c r="A75" s="76" t="s">
        <v>21</v>
      </c>
      <c r="B75" s="76">
        <v>1674</v>
      </c>
      <c r="C75" s="76">
        <v>1</v>
      </c>
      <c r="D75" s="77">
        <v>31574</v>
      </c>
      <c r="G75" s="257">
        <v>6</v>
      </c>
      <c r="H75" s="76" t="s">
        <v>211</v>
      </c>
      <c r="I75" s="76">
        <v>3.1E-2</v>
      </c>
      <c r="J75" s="76">
        <v>1</v>
      </c>
      <c r="K75" s="76" t="s">
        <v>232</v>
      </c>
      <c r="L75" s="76">
        <v>8</v>
      </c>
      <c r="M75" s="76" t="s">
        <v>235</v>
      </c>
      <c r="BQ75" t="s">
        <v>21</v>
      </c>
      <c r="BR75">
        <v>1674</v>
      </c>
      <c r="BS75">
        <v>1</v>
      </c>
      <c r="BT75" s="2">
        <v>31651</v>
      </c>
      <c r="BU75" s="33">
        <f t="shared" si="8"/>
        <v>1986</v>
      </c>
      <c r="BX75">
        <v>6</v>
      </c>
      <c r="BY75" t="s">
        <v>211</v>
      </c>
      <c r="BZ75">
        <v>2.7E-2</v>
      </c>
      <c r="CA75">
        <f t="shared" si="9"/>
        <v>27</v>
      </c>
      <c r="CB75">
        <v>1</v>
      </c>
      <c r="CC75" t="s">
        <v>232</v>
      </c>
      <c r="CD75">
        <v>7</v>
      </c>
      <c r="CE75" t="s">
        <v>235</v>
      </c>
    </row>
    <row r="76" spans="1:83" x14ac:dyDescent="0.2">
      <c r="A76" s="76" t="s">
        <v>21</v>
      </c>
      <c r="B76" s="76">
        <v>1674</v>
      </c>
      <c r="C76" s="76">
        <v>1</v>
      </c>
      <c r="D76" s="77">
        <v>31574</v>
      </c>
      <c r="G76" s="257">
        <v>8</v>
      </c>
      <c r="H76" s="76" t="s">
        <v>211</v>
      </c>
      <c r="I76" s="76">
        <v>3.4000000000000002E-2</v>
      </c>
      <c r="J76" s="76">
        <v>1</v>
      </c>
      <c r="K76" s="76" t="s">
        <v>232</v>
      </c>
      <c r="L76" s="76">
        <v>8</v>
      </c>
      <c r="M76" s="76" t="s">
        <v>235</v>
      </c>
      <c r="BQ76" t="s">
        <v>21</v>
      </c>
      <c r="BR76">
        <v>1674</v>
      </c>
      <c r="BS76">
        <v>1</v>
      </c>
      <c r="BT76" s="2">
        <v>31651</v>
      </c>
      <c r="BU76" s="33">
        <f t="shared" si="8"/>
        <v>1986</v>
      </c>
      <c r="BX76">
        <v>8</v>
      </c>
      <c r="BY76" t="s">
        <v>211</v>
      </c>
      <c r="BZ76">
        <v>2.5999999999999999E-2</v>
      </c>
      <c r="CA76">
        <f t="shared" si="9"/>
        <v>26</v>
      </c>
      <c r="CB76">
        <v>1</v>
      </c>
      <c r="CC76" t="s">
        <v>232</v>
      </c>
      <c r="CD76">
        <v>7</v>
      </c>
      <c r="CE76" t="s">
        <v>235</v>
      </c>
    </row>
    <row r="77" spans="1:83" x14ac:dyDescent="0.2">
      <c r="A77" s="76" t="s">
        <v>21</v>
      </c>
      <c r="B77" s="76">
        <v>1674</v>
      </c>
      <c r="C77" s="76">
        <v>1</v>
      </c>
      <c r="D77" s="77">
        <v>31574</v>
      </c>
      <c r="G77" s="257">
        <v>10</v>
      </c>
      <c r="H77" s="76" t="s">
        <v>211</v>
      </c>
      <c r="I77" s="76">
        <v>1.9E-2</v>
      </c>
      <c r="J77" s="76">
        <v>1</v>
      </c>
      <c r="K77" s="76" t="s">
        <v>232</v>
      </c>
      <c r="L77" s="76">
        <v>8</v>
      </c>
      <c r="M77" s="76" t="s">
        <v>235</v>
      </c>
      <c r="BQ77" t="s">
        <v>21</v>
      </c>
      <c r="BR77">
        <v>1674</v>
      </c>
      <c r="BS77">
        <v>1</v>
      </c>
      <c r="BT77" s="2">
        <v>31651</v>
      </c>
      <c r="BU77" s="33">
        <f t="shared" si="8"/>
        <v>1986</v>
      </c>
      <c r="BX77">
        <v>10</v>
      </c>
      <c r="BY77" t="s">
        <v>211</v>
      </c>
      <c r="BZ77">
        <v>2.5000000000000001E-2</v>
      </c>
      <c r="CA77">
        <f t="shared" si="9"/>
        <v>25</v>
      </c>
      <c r="CB77">
        <v>1</v>
      </c>
      <c r="CC77" t="s">
        <v>232</v>
      </c>
      <c r="CD77">
        <v>7</v>
      </c>
      <c r="CE77" t="s">
        <v>235</v>
      </c>
    </row>
    <row r="78" spans="1:83" x14ac:dyDescent="0.2">
      <c r="A78" s="76" t="s">
        <v>21</v>
      </c>
      <c r="B78" s="76">
        <v>1674</v>
      </c>
      <c r="C78" s="76">
        <v>1</v>
      </c>
      <c r="D78" s="77">
        <v>31574</v>
      </c>
      <c r="G78" s="257">
        <v>12</v>
      </c>
      <c r="H78" s="76" t="s">
        <v>211</v>
      </c>
      <c r="I78" s="76">
        <v>2.5000000000000001E-2</v>
      </c>
      <c r="J78" s="76">
        <v>1</v>
      </c>
      <c r="K78" s="76" t="s">
        <v>232</v>
      </c>
      <c r="L78" s="76">
        <v>8</v>
      </c>
      <c r="M78" s="76" t="s">
        <v>235</v>
      </c>
      <c r="BQ78" t="s">
        <v>21</v>
      </c>
      <c r="BR78">
        <v>1674</v>
      </c>
      <c r="BS78">
        <v>1</v>
      </c>
      <c r="BT78" s="2">
        <v>31651</v>
      </c>
      <c r="BU78" s="33">
        <f t="shared" si="8"/>
        <v>1986</v>
      </c>
      <c r="BX78">
        <v>12</v>
      </c>
      <c r="BY78" t="s">
        <v>211</v>
      </c>
      <c r="BZ78">
        <v>0.03</v>
      </c>
      <c r="CA78" s="212">
        <f t="shared" si="9"/>
        <v>30</v>
      </c>
      <c r="CB78">
        <v>1</v>
      </c>
      <c r="CC78" t="s">
        <v>232</v>
      </c>
      <c r="CD78">
        <v>7</v>
      </c>
      <c r="CE78" t="s">
        <v>235</v>
      </c>
    </row>
    <row r="79" spans="1:83" x14ac:dyDescent="0.2">
      <c r="A79" s="76" t="s">
        <v>21</v>
      </c>
      <c r="B79" s="76">
        <v>1674</v>
      </c>
      <c r="C79" s="76">
        <v>1</v>
      </c>
      <c r="D79" s="77">
        <v>31574</v>
      </c>
      <c r="G79" s="257">
        <v>13</v>
      </c>
      <c r="H79" s="76" t="s">
        <v>211</v>
      </c>
      <c r="I79" s="76">
        <v>2.9000000000000001E-2</v>
      </c>
      <c r="J79" s="76">
        <v>1</v>
      </c>
      <c r="K79" s="76" t="s">
        <v>232</v>
      </c>
      <c r="L79" s="76">
        <v>8</v>
      </c>
      <c r="M79" s="76" t="s">
        <v>235</v>
      </c>
      <c r="BQ79" t="s">
        <v>21</v>
      </c>
      <c r="BR79">
        <v>1674</v>
      </c>
      <c r="BS79">
        <v>1</v>
      </c>
      <c r="BT79" s="2">
        <v>31651</v>
      </c>
      <c r="BU79" s="33">
        <f t="shared" si="8"/>
        <v>1986</v>
      </c>
      <c r="BX79">
        <v>13</v>
      </c>
      <c r="BY79" t="s">
        <v>211</v>
      </c>
      <c r="BZ79">
        <v>2.5000000000000001E-2</v>
      </c>
      <c r="CA79" s="212">
        <f t="shared" si="9"/>
        <v>25</v>
      </c>
      <c r="CB79">
        <v>1</v>
      </c>
      <c r="CC79" t="s">
        <v>232</v>
      </c>
      <c r="CD79">
        <v>7</v>
      </c>
      <c r="CE79" t="s">
        <v>235</v>
      </c>
    </row>
    <row r="80" spans="1:83" x14ac:dyDescent="0.2">
      <c r="A80" s="76" t="s">
        <v>21</v>
      </c>
      <c r="B80" s="76">
        <v>1674</v>
      </c>
      <c r="C80" s="76">
        <v>1</v>
      </c>
      <c r="D80" s="77">
        <v>31593</v>
      </c>
      <c r="G80" s="257">
        <v>0</v>
      </c>
      <c r="H80" s="76" t="s">
        <v>211</v>
      </c>
      <c r="I80" s="76">
        <v>1.9E-2</v>
      </c>
      <c r="J80" s="76">
        <v>1</v>
      </c>
      <c r="K80" s="76" t="s">
        <v>232</v>
      </c>
      <c r="L80" s="76">
        <v>7</v>
      </c>
      <c r="M80" s="76" t="s">
        <v>235</v>
      </c>
      <c r="BQ80" t="s">
        <v>21</v>
      </c>
      <c r="BR80">
        <v>1674</v>
      </c>
      <c r="BS80">
        <v>1</v>
      </c>
      <c r="BT80" s="2">
        <v>31663</v>
      </c>
      <c r="BU80" s="33">
        <f t="shared" si="8"/>
        <v>1986</v>
      </c>
      <c r="BX80">
        <v>2</v>
      </c>
      <c r="BY80" t="s">
        <v>211</v>
      </c>
      <c r="BZ80">
        <v>2.8000000000000001E-2</v>
      </c>
      <c r="CA80">
        <f t="shared" si="9"/>
        <v>28</v>
      </c>
      <c r="CB80">
        <v>1</v>
      </c>
      <c r="CC80" t="s">
        <v>232</v>
      </c>
      <c r="CD80">
        <v>6</v>
      </c>
      <c r="CE80" t="s">
        <v>235</v>
      </c>
    </row>
    <row r="81" spans="1:83" x14ac:dyDescent="0.2">
      <c r="A81" s="76" t="s">
        <v>21</v>
      </c>
      <c r="B81" s="76">
        <v>1674</v>
      </c>
      <c r="C81" s="76">
        <v>1</v>
      </c>
      <c r="D81" s="77">
        <v>31593</v>
      </c>
      <c r="G81" s="257">
        <v>2</v>
      </c>
      <c r="H81" s="76" t="s">
        <v>211</v>
      </c>
      <c r="I81" s="76">
        <v>0.02</v>
      </c>
      <c r="J81" s="76">
        <v>1</v>
      </c>
      <c r="K81" s="76" t="s">
        <v>232</v>
      </c>
      <c r="L81" s="76">
        <v>7</v>
      </c>
      <c r="M81" s="76" t="s">
        <v>235</v>
      </c>
      <c r="BQ81" t="s">
        <v>21</v>
      </c>
      <c r="BR81">
        <v>1674</v>
      </c>
      <c r="BS81">
        <v>1</v>
      </c>
      <c r="BT81" s="2">
        <v>31663</v>
      </c>
      <c r="BU81" s="33">
        <f t="shared" si="8"/>
        <v>1986</v>
      </c>
      <c r="BX81">
        <v>4</v>
      </c>
      <c r="BY81" t="s">
        <v>211</v>
      </c>
      <c r="BZ81">
        <v>2.5000000000000001E-2</v>
      </c>
      <c r="CA81">
        <f t="shared" si="9"/>
        <v>25</v>
      </c>
      <c r="CB81">
        <v>1</v>
      </c>
      <c r="CC81" t="s">
        <v>232</v>
      </c>
      <c r="CD81">
        <v>6</v>
      </c>
      <c r="CE81" t="s">
        <v>235</v>
      </c>
    </row>
    <row r="82" spans="1:83" x14ac:dyDescent="0.2">
      <c r="A82" s="76" t="s">
        <v>21</v>
      </c>
      <c r="B82" s="76">
        <v>1674</v>
      </c>
      <c r="C82" s="76">
        <v>1</v>
      </c>
      <c r="D82" s="77">
        <v>31593</v>
      </c>
      <c r="G82" s="257">
        <v>4</v>
      </c>
      <c r="H82" s="76" t="s">
        <v>211</v>
      </c>
      <c r="I82" s="76">
        <v>0.02</v>
      </c>
      <c r="J82" s="76">
        <v>1</v>
      </c>
      <c r="K82" s="76" t="s">
        <v>232</v>
      </c>
      <c r="L82" s="76">
        <v>7</v>
      </c>
      <c r="M82" s="76" t="s">
        <v>235</v>
      </c>
      <c r="BQ82" t="s">
        <v>21</v>
      </c>
      <c r="BR82">
        <v>1674</v>
      </c>
      <c r="BS82">
        <v>1</v>
      </c>
      <c r="BT82" s="2">
        <v>31663</v>
      </c>
      <c r="BU82" s="33">
        <f t="shared" si="8"/>
        <v>1986</v>
      </c>
      <c r="BX82">
        <v>6</v>
      </c>
      <c r="BY82" t="s">
        <v>211</v>
      </c>
      <c r="BZ82">
        <v>2.5999999999999999E-2</v>
      </c>
      <c r="CA82">
        <f t="shared" si="9"/>
        <v>26</v>
      </c>
      <c r="CB82">
        <v>1</v>
      </c>
      <c r="CC82" t="s">
        <v>232</v>
      </c>
      <c r="CD82">
        <v>6</v>
      </c>
      <c r="CE82" t="s">
        <v>235</v>
      </c>
    </row>
    <row r="83" spans="1:83" x14ac:dyDescent="0.2">
      <c r="A83" s="76" t="s">
        <v>21</v>
      </c>
      <c r="B83" s="76">
        <v>1674</v>
      </c>
      <c r="C83" s="76">
        <v>1</v>
      </c>
      <c r="D83" s="77">
        <v>31593</v>
      </c>
      <c r="G83" s="257">
        <v>6</v>
      </c>
      <c r="H83" s="76" t="s">
        <v>211</v>
      </c>
      <c r="I83" s="76">
        <v>1.7000000000000001E-2</v>
      </c>
      <c r="J83" s="76">
        <v>1</v>
      </c>
      <c r="K83" s="76" t="s">
        <v>232</v>
      </c>
      <c r="L83" s="76">
        <v>7</v>
      </c>
      <c r="M83" s="76" t="s">
        <v>235</v>
      </c>
      <c r="BQ83" t="s">
        <v>21</v>
      </c>
      <c r="BR83">
        <v>1674</v>
      </c>
      <c r="BS83">
        <v>1</v>
      </c>
      <c r="BT83" s="2">
        <v>31663</v>
      </c>
      <c r="BU83" s="33">
        <f t="shared" si="8"/>
        <v>1986</v>
      </c>
      <c r="BX83">
        <v>8</v>
      </c>
      <c r="BY83" t="s">
        <v>211</v>
      </c>
      <c r="BZ83">
        <v>2.9000000000000001E-2</v>
      </c>
      <c r="CA83">
        <f t="shared" si="9"/>
        <v>29</v>
      </c>
      <c r="CB83">
        <v>1</v>
      </c>
      <c r="CC83" t="s">
        <v>232</v>
      </c>
      <c r="CD83">
        <v>6</v>
      </c>
      <c r="CE83" t="s">
        <v>235</v>
      </c>
    </row>
    <row r="84" spans="1:83" x14ac:dyDescent="0.2">
      <c r="A84" s="76" t="s">
        <v>21</v>
      </c>
      <c r="B84" s="76">
        <v>1674</v>
      </c>
      <c r="C84" s="76">
        <v>1</v>
      </c>
      <c r="D84" s="77">
        <v>31593</v>
      </c>
      <c r="G84" s="257">
        <v>8</v>
      </c>
      <c r="H84" s="76" t="s">
        <v>211</v>
      </c>
      <c r="I84" s="76">
        <v>2.8000000000000001E-2</v>
      </c>
      <c r="J84" s="76">
        <v>1</v>
      </c>
      <c r="K84" s="76" t="s">
        <v>232</v>
      </c>
      <c r="L84" s="76">
        <v>7</v>
      </c>
      <c r="M84" s="76" t="s">
        <v>235</v>
      </c>
      <c r="BQ84" t="s">
        <v>21</v>
      </c>
      <c r="BR84">
        <v>1674</v>
      </c>
      <c r="BS84">
        <v>1</v>
      </c>
      <c r="BT84" s="2">
        <v>31663</v>
      </c>
      <c r="BU84" s="33">
        <f t="shared" si="8"/>
        <v>1986</v>
      </c>
      <c r="BX84">
        <v>10</v>
      </c>
      <c r="BY84" t="s">
        <v>211</v>
      </c>
      <c r="BZ84">
        <v>2.5999999999999999E-2</v>
      </c>
      <c r="CA84">
        <f t="shared" si="9"/>
        <v>26</v>
      </c>
      <c r="CB84">
        <v>1</v>
      </c>
      <c r="CC84" t="s">
        <v>232</v>
      </c>
      <c r="CD84">
        <v>6</v>
      </c>
      <c r="CE84" t="s">
        <v>235</v>
      </c>
    </row>
    <row r="85" spans="1:83" x14ac:dyDescent="0.2">
      <c r="A85" s="76" t="s">
        <v>21</v>
      </c>
      <c r="B85" s="76">
        <v>1674</v>
      </c>
      <c r="C85" s="76">
        <v>1</v>
      </c>
      <c r="D85" s="77">
        <v>31593</v>
      </c>
      <c r="G85" s="257">
        <v>10</v>
      </c>
      <c r="H85" s="76" t="s">
        <v>211</v>
      </c>
      <c r="I85" s="76">
        <v>1.2E-2</v>
      </c>
      <c r="J85" s="76">
        <v>1</v>
      </c>
      <c r="K85" s="76" t="s">
        <v>232</v>
      </c>
      <c r="L85" s="76">
        <v>7</v>
      </c>
      <c r="M85" s="76" t="s">
        <v>235</v>
      </c>
      <c r="BQ85" t="s">
        <v>21</v>
      </c>
      <c r="BR85">
        <v>1674</v>
      </c>
      <c r="BS85">
        <v>1</v>
      </c>
      <c r="BT85" s="2">
        <v>31663</v>
      </c>
      <c r="BU85" s="33">
        <f t="shared" si="8"/>
        <v>1986</v>
      </c>
      <c r="BX85">
        <v>11</v>
      </c>
      <c r="BY85" t="s">
        <v>211</v>
      </c>
      <c r="BZ85">
        <v>2.5999999999999999E-2</v>
      </c>
      <c r="CA85">
        <f t="shared" si="9"/>
        <v>26</v>
      </c>
      <c r="CB85">
        <v>1</v>
      </c>
      <c r="CC85" t="s">
        <v>232</v>
      </c>
      <c r="CD85">
        <v>6</v>
      </c>
      <c r="CE85" t="s">
        <v>235</v>
      </c>
    </row>
    <row r="86" spans="1:83" x14ac:dyDescent="0.2">
      <c r="A86" s="76" t="s">
        <v>21</v>
      </c>
      <c r="B86" s="76">
        <v>1674</v>
      </c>
      <c r="C86" s="76">
        <v>1</v>
      </c>
      <c r="D86" s="77">
        <v>31593</v>
      </c>
      <c r="G86" s="257">
        <v>12</v>
      </c>
      <c r="H86" s="76" t="s">
        <v>211</v>
      </c>
      <c r="I86" s="76">
        <v>2.8000000000000001E-2</v>
      </c>
      <c r="J86" s="76">
        <v>1</v>
      </c>
      <c r="K86" s="76" t="s">
        <v>232</v>
      </c>
      <c r="L86" s="76">
        <v>7</v>
      </c>
      <c r="M86" s="76" t="s">
        <v>235</v>
      </c>
      <c r="BQ86" t="s">
        <v>21</v>
      </c>
      <c r="BR86">
        <v>1674</v>
      </c>
      <c r="BS86">
        <v>1</v>
      </c>
      <c r="BT86" s="2">
        <v>31684</v>
      </c>
      <c r="BU86" s="33">
        <f t="shared" si="8"/>
        <v>1986</v>
      </c>
      <c r="BX86">
        <v>1</v>
      </c>
      <c r="BY86" t="s">
        <v>211</v>
      </c>
      <c r="BZ86">
        <v>2.1000000000000001E-2</v>
      </c>
      <c r="CA86">
        <f t="shared" si="9"/>
        <v>21</v>
      </c>
      <c r="CB86">
        <v>1</v>
      </c>
      <c r="CC86" t="s">
        <v>232</v>
      </c>
      <c r="CD86">
        <v>7</v>
      </c>
      <c r="CE86" t="s">
        <v>235</v>
      </c>
    </row>
    <row r="87" spans="1:83" x14ac:dyDescent="0.2">
      <c r="A87" s="76" t="s">
        <v>21</v>
      </c>
      <c r="B87" s="76">
        <v>1674</v>
      </c>
      <c r="C87" s="76">
        <v>1</v>
      </c>
      <c r="D87" s="77">
        <v>31609</v>
      </c>
      <c r="G87" s="257">
        <v>0</v>
      </c>
      <c r="H87" s="76" t="s">
        <v>211</v>
      </c>
      <c r="I87" s="76">
        <v>2.3E-2</v>
      </c>
      <c r="J87" s="76">
        <v>1</v>
      </c>
      <c r="K87" s="76" t="s">
        <v>232</v>
      </c>
      <c r="L87" s="76">
        <v>7</v>
      </c>
      <c r="M87" s="76" t="s">
        <v>235</v>
      </c>
      <c r="BQ87" t="s">
        <v>21</v>
      </c>
      <c r="BR87">
        <v>1674</v>
      </c>
      <c r="BS87">
        <v>1</v>
      </c>
      <c r="BT87" s="2">
        <v>31684</v>
      </c>
      <c r="BU87" s="33">
        <f t="shared" si="8"/>
        <v>1986</v>
      </c>
      <c r="BX87">
        <v>2</v>
      </c>
      <c r="BY87" t="s">
        <v>211</v>
      </c>
      <c r="BZ87">
        <v>2.5000000000000001E-2</v>
      </c>
      <c r="CA87">
        <f t="shared" si="9"/>
        <v>25</v>
      </c>
      <c r="CB87">
        <v>1</v>
      </c>
      <c r="CC87" t="s">
        <v>232</v>
      </c>
      <c r="CD87">
        <v>7</v>
      </c>
      <c r="CE87" t="s">
        <v>235</v>
      </c>
    </row>
    <row r="88" spans="1:83" x14ac:dyDescent="0.2">
      <c r="A88" s="76" t="s">
        <v>21</v>
      </c>
      <c r="B88" s="76">
        <v>1674</v>
      </c>
      <c r="C88" s="76">
        <v>1</v>
      </c>
      <c r="D88" s="77">
        <v>31609</v>
      </c>
      <c r="G88" s="257">
        <v>2</v>
      </c>
      <c r="H88" s="76" t="s">
        <v>211</v>
      </c>
      <c r="I88" s="76">
        <v>2.7E-2</v>
      </c>
      <c r="J88" s="76">
        <v>1</v>
      </c>
      <c r="K88" s="76" t="s">
        <v>232</v>
      </c>
      <c r="L88" s="76">
        <v>7</v>
      </c>
      <c r="M88" s="76" t="s">
        <v>235</v>
      </c>
      <c r="BQ88" t="s">
        <v>21</v>
      </c>
      <c r="BR88">
        <v>1674</v>
      </c>
      <c r="BS88">
        <v>1</v>
      </c>
      <c r="BT88" s="2">
        <v>31684</v>
      </c>
      <c r="BU88" s="33">
        <f t="shared" si="8"/>
        <v>1986</v>
      </c>
      <c r="BX88">
        <v>4</v>
      </c>
      <c r="BY88" t="s">
        <v>211</v>
      </c>
      <c r="BZ88">
        <v>2.1000000000000001E-2</v>
      </c>
      <c r="CA88">
        <f t="shared" si="9"/>
        <v>21</v>
      </c>
      <c r="CB88">
        <v>1</v>
      </c>
      <c r="CC88" t="s">
        <v>232</v>
      </c>
      <c r="CD88">
        <v>7</v>
      </c>
      <c r="CE88" t="s">
        <v>235</v>
      </c>
    </row>
    <row r="89" spans="1:83" x14ac:dyDescent="0.2">
      <c r="A89" s="76" t="s">
        <v>21</v>
      </c>
      <c r="B89" s="76">
        <v>1674</v>
      </c>
      <c r="C89" s="76">
        <v>1</v>
      </c>
      <c r="D89" s="77">
        <v>31609</v>
      </c>
      <c r="G89" s="257">
        <v>4</v>
      </c>
      <c r="H89" s="76" t="s">
        <v>211</v>
      </c>
      <c r="I89" s="76">
        <v>2.5999999999999999E-2</v>
      </c>
      <c r="J89" s="76">
        <v>1</v>
      </c>
      <c r="K89" s="76" t="s">
        <v>232</v>
      </c>
      <c r="L89" s="76">
        <v>7</v>
      </c>
      <c r="M89" s="76" t="s">
        <v>235</v>
      </c>
      <c r="BQ89" t="s">
        <v>21</v>
      </c>
      <c r="BR89">
        <v>1674</v>
      </c>
      <c r="BS89">
        <v>1</v>
      </c>
      <c r="BT89" s="2">
        <v>31684</v>
      </c>
      <c r="BU89" s="33">
        <f t="shared" si="8"/>
        <v>1986</v>
      </c>
      <c r="BX89">
        <v>6</v>
      </c>
      <c r="BY89" t="s">
        <v>211</v>
      </c>
      <c r="BZ89">
        <v>2.5000000000000001E-2</v>
      </c>
      <c r="CA89">
        <f t="shared" si="9"/>
        <v>25</v>
      </c>
      <c r="CB89">
        <v>1</v>
      </c>
      <c r="CC89" t="s">
        <v>232</v>
      </c>
      <c r="CD89">
        <v>7</v>
      </c>
      <c r="CE89" t="s">
        <v>235</v>
      </c>
    </row>
    <row r="90" spans="1:83" x14ac:dyDescent="0.2">
      <c r="A90" s="76" t="s">
        <v>21</v>
      </c>
      <c r="B90" s="76">
        <v>1674</v>
      </c>
      <c r="C90" s="76">
        <v>1</v>
      </c>
      <c r="D90" s="77">
        <v>31609</v>
      </c>
      <c r="G90" s="257">
        <v>6</v>
      </c>
      <c r="H90" s="76" t="s">
        <v>211</v>
      </c>
      <c r="I90" s="76">
        <v>2.4E-2</v>
      </c>
      <c r="J90" s="76">
        <v>1</v>
      </c>
      <c r="K90" s="76" t="s">
        <v>232</v>
      </c>
      <c r="L90" s="76">
        <v>7</v>
      </c>
      <c r="M90" s="76" t="s">
        <v>235</v>
      </c>
      <c r="BQ90" t="s">
        <v>21</v>
      </c>
      <c r="BR90">
        <v>1674</v>
      </c>
      <c r="BS90">
        <v>1</v>
      </c>
      <c r="BT90" s="2">
        <v>31684</v>
      </c>
      <c r="BU90" s="33">
        <f t="shared" si="8"/>
        <v>1986</v>
      </c>
      <c r="BX90">
        <v>8</v>
      </c>
      <c r="BY90" t="s">
        <v>211</v>
      </c>
      <c r="BZ90">
        <v>2.1999999999999999E-2</v>
      </c>
      <c r="CA90">
        <f t="shared" si="9"/>
        <v>22</v>
      </c>
      <c r="CB90">
        <v>1</v>
      </c>
      <c r="CC90" t="s">
        <v>232</v>
      </c>
      <c r="CD90">
        <v>7</v>
      </c>
      <c r="CE90" t="s">
        <v>235</v>
      </c>
    </row>
    <row r="91" spans="1:83" x14ac:dyDescent="0.2">
      <c r="A91" s="76" t="s">
        <v>21</v>
      </c>
      <c r="B91" s="76">
        <v>1674</v>
      </c>
      <c r="C91" s="76">
        <v>1</v>
      </c>
      <c r="D91" s="77">
        <v>31609</v>
      </c>
      <c r="G91" s="257">
        <v>8</v>
      </c>
      <c r="H91" s="76" t="s">
        <v>211</v>
      </c>
      <c r="I91" s="76">
        <v>2.4E-2</v>
      </c>
      <c r="J91" s="76">
        <v>1</v>
      </c>
      <c r="K91" s="76" t="s">
        <v>232</v>
      </c>
      <c r="L91" s="76">
        <v>7</v>
      </c>
      <c r="M91" s="76" t="s">
        <v>235</v>
      </c>
      <c r="BQ91" t="s">
        <v>21</v>
      </c>
      <c r="BR91">
        <v>1674</v>
      </c>
      <c r="BS91">
        <v>1</v>
      </c>
      <c r="BT91" s="2">
        <v>31684</v>
      </c>
      <c r="BU91" s="33">
        <f t="shared" si="8"/>
        <v>1986</v>
      </c>
      <c r="BX91">
        <v>10</v>
      </c>
      <c r="BY91" t="s">
        <v>211</v>
      </c>
      <c r="BZ91">
        <v>2.3E-2</v>
      </c>
      <c r="CA91">
        <f t="shared" si="9"/>
        <v>23</v>
      </c>
      <c r="CB91">
        <v>1</v>
      </c>
      <c r="CC91" t="s">
        <v>232</v>
      </c>
      <c r="CD91">
        <v>7</v>
      </c>
      <c r="CE91" t="s">
        <v>235</v>
      </c>
    </row>
    <row r="92" spans="1:83" x14ac:dyDescent="0.2">
      <c r="A92" s="76" t="s">
        <v>21</v>
      </c>
      <c r="B92" s="76">
        <v>1674</v>
      </c>
      <c r="C92" s="76">
        <v>1</v>
      </c>
      <c r="D92" s="77">
        <v>31609</v>
      </c>
      <c r="G92" s="257">
        <v>10</v>
      </c>
      <c r="H92" s="76" t="s">
        <v>211</v>
      </c>
      <c r="I92" s="76">
        <v>2.5999999999999999E-2</v>
      </c>
      <c r="J92" s="76">
        <v>1</v>
      </c>
      <c r="K92" s="76" t="s">
        <v>232</v>
      </c>
      <c r="L92" s="76">
        <v>7</v>
      </c>
      <c r="M92" s="76" t="s">
        <v>235</v>
      </c>
      <c r="BQ92" t="s">
        <v>21</v>
      </c>
      <c r="BR92">
        <v>1674</v>
      </c>
      <c r="BS92">
        <v>1</v>
      </c>
      <c r="BT92" s="2">
        <v>31684</v>
      </c>
      <c r="BU92" s="33">
        <f t="shared" si="8"/>
        <v>1986</v>
      </c>
      <c r="BX92">
        <v>12</v>
      </c>
      <c r="BY92" t="s">
        <v>211</v>
      </c>
      <c r="BZ92">
        <v>2.8000000000000001E-2</v>
      </c>
      <c r="CA92">
        <f t="shared" si="9"/>
        <v>28</v>
      </c>
      <c r="CB92">
        <v>1</v>
      </c>
      <c r="CC92" t="s">
        <v>232</v>
      </c>
      <c r="CD92">
        <v>7</v>
      </c>
      <c r="CE92" t="s">
        <v>235</v>
      </c>
    </row>
    <row r="93" spans="1:83" x14ac:dyDescent="0.2">
      <c r="A93" s="76" t="s">
        <v>21</v>
      </c>
      <c r="B93" s="76">
        <v>1674</v>
      </c>
      <c r="C93" s="76">
        <v>1</v>
      </c>
      <c r="D93" s="77">
        <v>31609</v>
      </c>
      <c r="G93" s="257">
        <v>12</v>
      </c>
      <c r="H93" s="76" t="s">
        <v>211</v>
      </c>
      <c r="I93" s="76">
        <v>2.4E-2</v>
      </c>
      <c r="J93" s="76">
        <v>1</v>
      </c>
      <c r="K93" s="76" t="s">
        <v>232</v>
      </c>
      <c r="L93" s="76">
        <v>7</v>
      </c>
      <c r="M93" s="76" t="s">
        <v>235</v>
      </c>
      <c r="BQ93" t="s">
        <v>21</v>
      </c>
      <c r="BR93">
        <v>1674</v>
      </c>
      <c r="BS93">
        <v>1</v>
      </c>
      <c r="BT93" s="2">
        <v>31699</v>
      </c>
      <c r="BU93" s="33">
        <f t="shared" si="8"/>
        <v>1986</v>
      </c>
      <c r="BX93">
        <v>1</v>
      </c>
      <c r="BY93" t="s">
        <v>211</v>
      </c>
      <c r="BZ93">
        <v>2.1999999999999999E-2</v>
      </c>
      <c r="CA93">
        <f t="shared" si="9"/>
        <v>22</v>
      </c>
      <c r="CB93">
        <v>1</v>
      </c>
      <c r="CC93" t="s">
        <v>232</v>
      </c>
      <c r="CD93">
        <v>7</v>
      </c>
      <c r="CE93" t="s">
        <v>235</v>
      </c>
    </row>
    <row r="94" spans="1:83" x14ac:dyDescent="0.2">
      <c r="A94" s="76" t="s">
        <v>21</v>
      </c>
      <c r="B94" s="76">
        <v>1674</v>
      </c>
      <c r="C94" s="76">
        <v>1</v>
      </c>
      <c r="D94" s="77">
        <v>31624</v>
      </c>
      <c r="G94" s="257">
        <v>0</v>
      </c>
      <c r="H94" s="76" t="s">
        <v>211</v>
      </c>
      <c r="I94" s="76">
        <v>1.9E-2</v>
      </c>
      <c r="J94" s="76">
        <v>1</v>
      </c>
      <c r="K94" s="76" t="s">
        <v>232</v>
      </c>
      <c r="L94" s="76">
        <v>8</v>
      </c>
      <c r="M94" s="76" t="s">
        <v>235</v>
      </c>
      <c r="BQ94" t="s">
        <v>21</v>
      </c>
      <c r="BR94">
        <v>1674</v>
      </c>
      <c r="BS94">
        <v>1</v>
      </c>
      <c r="BT94" s="2">
        <v>31699</v>
      </c>
      <c r="BU94" s="33">
        <f t="shared" si="8"/>
        <v>1986</v>
      </c>
      <c r="BX94">
        <v>2</v>
      </c>
      <c r="BY94" t="s">
        <v>211</v>
      </c>
      <c r="BZ94">
        <v>2.1000000000000001E-2</v>
      </c>
      <c r="CA94">
        <f t="shared" si="9"/>
        <v>21</v>
      </c>
      <c r="CB94">
        <v>1</v>
      </c>
      <c r="CC94" t="s">
        <v>232</v>
      </c>
      <c r="CD94">
        <v>7</v>
      </c>
      <c r="CE94" t="s">
        <v>235</v>
      </c>
    </row>
    <row r="95" spans="1:83" x14ac:dyDescent="0.2">
      <c r="A95" s="76" t="s">
        <v>21</v>
      </c>
      <c r="B95" s="76">
        <v>1674</v>
      </c>
      <c r="C95" s="76">
        <v>1</v>
      </c>
      <c r="D95" s="77">
        <v>31624</v>
      </c>
      <c r="G95" s="257">
        <v>2</v>
      </c>
      <c r="H95" s="76" t="s">
        <v>211</v>
      </c>
      <c r="I95" s="76">
        <v>3.2000000000000001E-2</v>
      </c>
      <c r="J95" s="76">
        <v>1</v>
      </c>
      <c r="K95" s="76" t="s">
        <v>232</v>
      </c>
      <c r="L95" s="76">
        <v>8</v>
      </c>
      <c r="M95" s="76" t="s">
        <v>235</v>
      </c>
      <c r="BQ95" t="s">
        <v>21</v>
      </c>
      <c r="BR95">
        <v>1674</v>
      </c>
      <c r="BS95">
        <v>1</v>
      </c>
      <c r="BT95" s="2">
        <v>31699</v>
      </c>
      <c r="BU95" s="33">
        <f t="shared" si="8"/>
        <v>1986</v>
      </c>
      <c r="BX95">
        <v>4</v>
      </c>
      <c r="BY95" t="s">
        <v>211</v>
      </c>
      <c r="BZ95">
        <v>2.4E-2</v>
      </c>
      <c r="CA95">
        <f t="shared" si="9"/>
        <v>24</v>
      </c>
      <c r="CB95">
        <v>1</v>
      </c>
      <c r="CC95" t="s">
        <v>232</v>
      </c>
      <c r="CD95">
        <v>7</v>
      </c>
      <c r="CE95" t="s">
        <v>235</v>
      </c>
    </row>
    <row r="96" spans="1:83" x14ac:dyDescent="0.2">
      <c r="A96" s="76" t="s">
        <v>21</v>
      </c>
      <c r="B96" s="76">
        <v>1674</v>
      </c>
      <c r="C96" s="76">
        <v>1</v>
      </c>
      <c r="D96" s="77">
        <v>31624</v>
      </c>
      <c r="G96" s="257">
        <v>4</v>
      </c>
      <c r="H96" s="76" t="s">
        <v>211</v>
      </c>
      <c r="I96" s="76">
        <v>2.1000000000000001E-2</v>
      </c>
      <c r="J96" s="76">
        <v>1</v>
      </c>
      <c r="K96" s="76" t="s">
        <v>232</v>
      </c>
      <c r="L96" s="76">
        <v>8</v>
      </c>
      <c r="M96" s="76" t="s">
        <v>235</v>
      </c>
      <c r="BQ96" t="s">
        <v>21</v>
      </c>
      <c r="BR96">
        <v>1674</v>
      </c>
      <c r="BS96">
        <v>1</v>
      </c>
      <c r="BT96" s="2">
        <v>31699</v>
      </c>
      <c r="BU96" s="33">
        <f t="shared" si="8"/>
        <v>1986</v>
      </c>
      <c r="BX96">
        <v>6</v>
      </c>
      <c r="BY96" t="s">
        <v>211</v>
      </c>
      <c r="BZ96">
        <v>2.1999999999999999E-2</v>
      </c>
      <c r="CA96">
        <f t="shared" si="9"/>
        <v>22</v>
      </c>
      <c r="CB96">
        <v>1</v>
      </c>
      <c r="CC96" t="s">
        <v>232</v>
      </c>
      <c r="CD96">
        <v>7</v>
      </c>
      <c r="CE96" t="s">
        <v>235</v>
      </c>
    </row>
    <row r="97" spans="1:83" x14ac:dyDescent="0.2">
      <c r="A97" s="76" t="s">
        <v>21</v>
      </c>
      <c r="B97" s="76">
        <v>1674</v>
      </c>
      <c r="C97" s="76">
        <v>1</v>
      </c>
      <c r="D97" s="77">
        <v>31624</v>
      </c>
      <c r="G97" s="257">
        <v>6</v>
      </c>
      <c r="H97" s="76" t="s">
        <v>211</v>
      </c>
      <c r="I97" s="76">
        <v>2.4E-2</v>
      </c>
      <c r="J97" s="76">
        <v>1</v>
      </c>
      <c r="K97" s="76" t="s">
        <v>232</v>
      </c>
      <c r="L97" s="76">
        <v>8</v>
      </c>
      <c r="M97" s="76" t="s">
        <v>235</v>
      </c>
      <c r="BQ97" t="s">
        <v>21</v>
      </c>
      <c r="BR97">
        <v>1674</v>
      </c>
      <c r="BS97">
        <v>1</v>
      </c>
      <c r="BT97" s="2">
        <v>31699</v>
      </c>
      <c r="BU97" s="33">
        <f t="shared" si="8"/>
        <v>1986</v>
      </c>
      <c r="BX97">
        <v>8</v>
      </c>
      <c r="BY97" t="s">
        <v>211</v>
      </c>
      <c r="BZ97">
        <v>0.02</v>
      </c>
      <c r="CA97">
        <f t="shared" si="9"/>
        <v>20</v>
      </c>
      <c r="CB97">
        <v>1</v>
      </c>
      <c r="CC97" t="s">
        <v>232</v>
      </c>
      <c r="CD97">
        <v>7</v>
      </c>
      <c r="CE97" t="s">
        <v>235</v>
      </c>
    </row>
    <row r="98" spans="1:83" x14ac:dyDescent="0.2">
      <c r="A98" s="76" t="s">
        <v>21</v>
      </c>
      <c r="B98" s="76">
        <v>1674</v>
      </c>
      <c r="C98" s="76">
        <v>1</v>
      </c>
      <c r="D98" s="77">
        <v>31624</v>
      </c>
      <c r="G98" s="257">
        <v>8</v>
      </c>
      <c r="H98" s="76" t="s">
        <v>211</v>
      </c>
      <c r="I98" s="76">
        <v>1.7999999999999999E-2</v>
      </c>
      <c r="J98" s="76">
        <v>1</v>
      </c>
      <c r="K98" s="76" t="s">
        <v>232</v>
      </c>
      <c r="L98" s="76">
        <v>8</v>
      </c>
      <c r="M98" s="76" t="s">
        <v>235</v>
      </c>
      <c r="BQ98" t="s">
        <v>21</v>
      </c>
      <c r="BR98">
        <v>1674</v>
      </c>
      <c r="BS98">
        <v>1</v>
      </c>
      <c r="BT98" s="2">
        <v>31699</v>
      </c>
      <c r="BU98" s="33">
        <f t="shared" si="8"/>
        <v>1986</v>
      </c>
      <c r="BX98">
        <v>10</v>
      </c>
      <c r="BY98" t="s">
        <v>211</v>
      </c>
      <c r="BZ98">
        <v>2.5999999999999999E-2</v>
      </c>
      <c r="CA98">
        <f t="shared" si="9"/>
        <v>26</v>
      </c>
      <c r="CB98">
        <v>1</v>
      </c>
      <c r="CC98" t="s">
        <v>232</v>
      </c>
      <c r="CD98">
        <v>7</v>
      </c>
      <c r="CE98" t="s">
        <v>235</v>
      </c>
    </row>
    <row r="99" spans="1:83" x14ac:dyDescent="0.2">
      <c r="A99" s="76" t="s">
        <v>21</v>
      </c>
      <c r="B99" s="76">
        <v>1674</v>
      </c>
      <c r="C99" s="76">
        <v>1</v>
      </c>
      <c r="D99" s="77">
        <v>31624</v>
      </c>
      <c r="G99" s="257">
        <v>10</v>
      </c>
      <c r="H99" s="76" t="s">
        <v>211</v>
      </c>
      <c r="I99" s="76">
        <v>2.7E-2</v>
      </c>
      <c r="J99" s="76">
        <v>1</v>
      </c>
      <c r="K99" s="76" t="s">
        <v>232</v>
      </c>
      <c r="L99" s="76">
        <v>8</v>
      </c>
      <c r="M99" s="76" t="s">
        <v>235</v>
      </c>
      <c r="BQ99" t="s">
        <v>21</v>
      </c>
      <c r="BR99">
        <v>1674</v>
      </c>
      <c r="BS99">
        <v>1</v>
      </c>
      <c r="BT99" s="2">
        <v>31699</v>
      </c>
      <c r="BU99" s="33">
        <f t="shared" si="8"/>
        <v>1986</v>
      </c>
      <c r="BX99">
        <v>12</v>
      </c>
      <c r="BY99" t="s">
        <v>211</v>
      </c>
      <c r="BZ99">
        <v>2.1000000000000001E-2</v>
      </c>
      <c r="CA99">
        <f t="shared" si="9"/>
        <v>21</v>
      </c>
      <c r="CB99">
        <v>1</v>
      </c>
      <c r="CC99" t="s">
        <v>232</v>
      </c>
      <c r="CD99">
        <v>7</v>
      </c>
      <c r="CE99" t="s">
        <v>235</v>
      </c>
    </row>
    <row r="100" spans="1:83" x14ac:dyDescent="0.2">
      <c r="A100" s="76" t="s">
        <v>21</v>
      </c>
      <c r="B100" s="76">
        <v>1674</v>
      </c>
      <c r="C100" s="76">
        <v>1</v>
      </c>
      <c r="D100" s="77">
        <v>31624</v>
      </c>
      <c r="G100" s="257">
        <v>12</v>
      </c>
      <c r="H100" s="76" t="s">
        <v>211</v>
      </c>
      <c r="I100" s="76">
        <v>3.6999999999999998E-2</v>
      </c>
      <c r="J100" s="76">
        <v>1</v>
      </c>
      <c r="K100" s="76" t="s">
        <v>232</v>
      </c>
      <c r="L100" s="76">
        <v>8</v>
      </c>
      <c r="M100" s="76" t="s">
        <v>235</v>
      </c>
      <c r="BQ100" t="s">
        <v>21</v>
      </c>
      <c r="BR100">
        <v>1674</v>
      </c>
      <c r="BS100">
        <v>1</v>
      </c>
      <c r="BT100" s="2">
        <v>31714</v>
      </c>
      <c r="BU100" s="33">
        <f t="shared" si="8"/>
        <v>1986</v>
      </c>
      <c r="BX100">
        <v>1</v>
      </c>
      <c r="BY100" t="s">
        <v>211</v>
      </c>
      <c r="BZ100">
        <v>0.02</v>
      </c>
      <c r="CA100">
        <f t="shared" si="9"/>
        <v>20</v>
      </c>
      <c r="CB100">
        <v>1</v>
      </c>
      <c r="CC100" t="s">
        <v>232</v>
      </c>
      <c r="CD100">
        <v>7</v>
      </c>
      <c r="CE100" t="s">
        <v>235</v>
      </c>
    </row>
    <row r="101" spans="1:83" x14ac:dyDescent="0.2">
      <c r="A101" s="76" t="s">
        <v>21</v>
      </c>
      <c r="B101" s="76">
        <v>1674</v>
      </c>
      <c r="C101" s="76">
        <v>1</v>
      </c>
      <c r="D101" s="77">
        <v>31624</v>
      </c>
      <c r="G101" s="257">
        <v>13</v>
      </c>
      <c r="H101" s="76" t="s">
        <v>211</v>
      </c>
      <c r="I101" s="76">
        <v>5.3999999999999999E-2</v>
      </c>
      <c r="J101" s="76">
        <v>1</v>
      </c>
      <c r="K101" s="76" t="s">
        <v>232</v>
      </c>
      <c r="L101" s="76">
        <v>8</v>
      </c>
      <c r="M101" s="76" t="s">
        <v>235</v>
      </c>
      <c r="BQ101" t="s">
        <v>21</v>
      </c>
      <c r="BR101">
        <v>1674</v>
      </c>
      <c r="BS101">
        <v>1</v>
      </c>
      <c r="BT101" s="2">
        <v>31714</v>
      </c>
      <c r="BU101" s="33">
        <f t="shared" si="8"/>
        <v>1986</v>
      </c>
      <c r="BX101">
        <v>2</v>
      </c>
      <c r="BY101" t="s">
        <v>211</v>
      </c>
      <c r="BZ101">
        <v>2.5000000000000001E-2</v>
      </c>
      <c r="CA101">
        <f t="shared" si="9"/>
        <v>25</v>
      </c>
      <c r="CB101">
        <v>1</v>
      </c>
      <c r="CC101" t="s">
        <v>232</v>
      </c>
      <c r="CD101">
        <v>7</v>
      </c>
      <c r="CE101" t="s">
        <v>235</v>
      </c>
    </row>
    <row r="102" spans="1:83" x14ac:dyDescent="0.2">
      <c r="A102" s="76" t="s">
        <v>21</v>
      </c>
      <c r="B102" s="76">
        <v>1674</v>
      </c>
      <c r="C102" s="76">
        <v>1</v>
      </c>
      <c r="D102" s="77">
        <v>31636</v>
      </c>
      <c r="G102" s="257">
        <v>0</v>
      </c>
      <c r="H102" s="76" t="s">
        <v>211</v>
      </c>
      <c r="I102" s="76">
        <v>2.4E-2</v>
      </c>
      <c r="J102" s="76">
        <v>1</v>
      </c>
      <c r="K102" s="76" t="s">
        <v>232</v>
      </c>
      <c r="L102" s="76">
        <v>8</v>
      </c>
      <c r="M102" s="76" t="s">
        <v>235</v>
      </c>
      <c r="BQ102" t="s">
        <v>21</v>
      </c>
      <c r="BR102">
        <v>1674</v>
      </c>
      <c r="BS102">
        <v>1</v>
      </c>
      <c r="BT102" s="2">
        <v>31714</v>
      </c>
      <c r="BU102" s="33">
        <f t="shared" si="8"/>
        <v>1986</v>
      </c>
      <c r="BX102">
        <v>4</v>
      </c>
      <c r="BY102" t="s">
        <v>211</v>
      </c>
      <c r="BZ102">
        <v>2.1999999999999999E-2</v>
      </c>
      <c r="CA102">
        <f t="shared" si="9"/>
        <v>22</v>
      </c>
      <c r="CB102">
        <v>1</v>
      </c>
      <c r="CC102" t="s">
        <v>232</v>
      </c>
      <c r="CD102">
        <v>7</v>
      </c>
      <c r="CE102" t="s">
        <v>235</v>
      </c>
    </row>
    <row r="103" spans="1:83" x14ac:dyDescent="0.2">
      <c r="A103" s="76" t="s">
        <v>21</v>
      </c>
      <c r="B103" s="76">
        <v>1674</v>
      </c>
      <c r="C103" s="76">
        <v>1</v>
      </c>
      <c r="D103" s="77">
        <v>31636</v>
      </c>
      <c r="G103" s="257">
        <v>2</v>
      </c>
      <c r="H103" s="76" t="s">
        <v>211</v>
      </c>
      <c r="I103" s="76">
        <v>2.1000000000000001E-2</v>
      </c>
      <c r="J103" s="76">
        <v>1</v>
      </c>
      <c r="K103" s="76" t="s">
        <v>232</v>
      </c>
      <c r="L103" s="76">
        <v>8</v>
      </c>
      <c r="M103" s="76" t="s">
        <v>235</v>
      </c>
      <c r="BQ103" t="s">
        <v>21</v>
      </c>
      <c r="BR103">
        <v>1674</v>
      </c>
      <c r="BS103">
        <v>1</v>
      </c>
      <c r="BT103" s="2">
        <v>31714</v>
      </c>
      <c r="BU103" s="33">
        <f t="shared" si="8"/>
        <v>1986</v>
      </c>
      <c r="BX103">
        <v>6</v>
      </c>
      <c r="BY103" t="s">
        <v>211</v>
      </c>
      <c r="BZ103">
        <v>1.9E-2</v>
      </c>
      <c r="CA103">
        <f t="shared" si="9"/>
        <v>19</v>
      </c>
      <c r="CB103">
        <v>1</v>
      </c>
      <c r="CC103" t="s">
        <v>232</v>
      </c>
      <c r="CD103">
        <v>7</v>
      </c>
      <c r="CE103" t="s">
        <v>235</v>
      </c>
    </row>
    <row r="104" spans="1:83" x14ac:dyDescent="0.2">
      <c r="A104" s="76" t="s">
        <v>21</v>
      </c>
      <c r="B104" s="76">
        <v>1674</v>
      </c>
      <c r="C104" s="76">
        <v>1</v>
      </c>
      <c r="D104" s="77">
        <v>31636</v>
      </c>
      <c r="G104" s="257">
        <v>4</v>
      </c>
      <c r="H104" s="76" t="s">
        <v>211</v>
      </c>
      <c r="I104" s="76">
        <v>2.1000000000000001E-2</v>
      </c>
      <c r="J104" s="76">
        <v>1</v>
      </c>
      <c r="K104" s="76" t="s">
        <v>232</v>
      </c>
      <c r="L104" s="76">
        <v>8</v>
      </c>
      <c r="M104" s="76" t="s">
        <v>235</v>
      </c>
      <c r="BQ104" t="s">
        <v>21</v>
      </c>
      <c r="BR104">
        <v>1674</v>
      </c>
      <c r="BS104">
        <v>1</v>
      </c>
      <c r="BT104" s="2">
        <v>31714</v>
      </c>
      <c r="BU104" s="33">
        <f t="shared" si="8"/>
        <v>1986</v>
      </c>
      <c r="BX104">
        <v>8</v>
      </c>
      <c r="BY104" t="s">
        <v>211</v>
      </c>
      <c r="BZ104">
        <v>0.02</v>
      </c>
      <c r="CA104">
        <f t="shared" si="9"/>
        <v>20</v>
      </c>
      <c r="CB104">
        <v>1</v>
      </c>
      <c r="CC104" t="s">
        <v>232</v>
      </c>
      <c r="CD104">
        <v>7</v>
      </c>
      <c r="CE104" t="s">
        <v>235</v>
      </c>
    </row>
    <row r="105" spans="1:83" x14ac:dyDescent="0.2">
      <c r="A105" s="76" t="s">
        <v>21</v>
      </c>
      <c r="B105" s="76">
        <v>1674</v>
      </c>
      <c r="C105" s="76">
        <v>1</v>
      </c>
      <c r="D105" s="77">
        <v>31636</v>
      </c>
      <c r="G105" s="257">
        <v>6</v>
      </c>
      <c r="H105" s="76" t="s">
        <v>211</v>
      </c>
      <c r="I105" s="76">
        <v>2.1000000000000001E-2</v>
      </c>
      <c r="J105" s="76">
        <v>1</v>
      </c>
      <c r="K105" s="76" t="s">
        <v>232</v>
      </c>
      <c r="L105" s="76">
        <v>8</v>
      </c>
      <c r="M105" s="76" t="s">
        <v>235</v>
      </c>
      <c r="BQ105" t="s">
        <v>21</v>
      </c>
      <c r="BR105">
        <v>1674</v>
      </c>
      <c r="BS105">
        <v>1</v>
      </c>
      <c r="BT105" s="2">
        <v>31714</v>
      </c>
      <c r="BU105" s="33">
        <f t="shared" si="8"/>
        <v>1986</v>
      </c>
      <c r="BX105">
        <v>10</v>
      </c>
      <c r="BY105" t="s">
        <v>211</v>
      </c>
      <c r="BZ105">
        <v>2.1000000000000001E-2</v>
      </c>
      <c r="CA105">
        <f t="shared" si="9"/>
        <v>21</v>
      </c>
      <c r="CB105">
        <v>1</v>
      </c>
      <c r="CC105" t="s">
        <v>232</v>
      </c>
      <c r="CD105">
        <v>7</v>
      </c>
      <c r="CE105" t="s">
        <v>235</v>
      </c>
    </row>
    <row r="106" spans="1:83" x14ac:dyDescent="0.2">
      <c r="A106" s="76" t="s">
        <v>21</v>
      </c>
      <c r="B106" s="76">
        <v>1674</v>
      </c>
      <c r="C106" s="76">
        <v>1</v>
      </c>
      <c r="D106" s="77">
        <v>31636</v>
      </c>
      <c r="G106" s="257">
        <v>8</v>
      </c>
      <c r="H106" s="76" t="s">
        <v>211</v>
      </c>
      <c r="I106" s="76">
        <v>2.4E-2</v>
      </c>
      <c r="J106" s="76">
        <v>1</v>
      </c>
      <c r="K106" s="76" t="s">
        <v>232</v>
      </c>
      <c r="L106" s="76">
        <v>8</v>
      </c>
      <c r="M106" s="76" t="s">
        <v>235</v>
      </c>
      <c r="BQ106" t="s">
        <v>21</v>
      </c>
      <c r="BR106">
        <v>1674</v>
      </c>
      <c r="BS106">
        <v>1</v>
      </c>
      <c r="BT106" s="2">
        <v>31714</v>
      </c>
      <c r="BU106" s="33">
        <f t="shared" si="8"/>
        <v>1986</v>
      </c>
      <c r="BX106">
        <v>13</v>
      </c>
      <c r="BY106" t="s">
        <v>211</v>
      </c>
      <c r="BZ106">
        <v>2.1000000000000001E-2</v>
      </c>
      <c r="CA106">
        <f t="shared" si="9"/>
        <v>21</v>
      </c>
      <c r="CB106">
        <v>1</v>
      </c>
      <c r="CC106" t="s">
        <v>232</v>
      </c>
      <c r="CD106">
        <v>7</v>
      </c>
      <c r="CE106" t="s">
        <v>235</v>
      </c>
    </row>
    <row r="107" spans="1:83" x14ac:dyDescent="0.2">
      <c r="A107" s="76" t="s">
        <v>21</v>
      </c>
      <c r="B107" s="76">
        <v>1674</v>
      </c>
      <c r="C107" s="76">
        <v>1</v>
      </c>
      <c r="D107" s="77">
        <v>31636</v>
      </c>
      <c r="G107" s="257">
        <v>10</v>
      </c>
      <c r="H107" s="76" t="s">
        <v>211</v>
      </c>
      <c r="I107" s="76">
        <v>2.5000000000000001E-2</v>
      </c>
      <c r="J107" s="76">
        <v>1</v>
      </c>
      <c r="K107" s="76" t="s">
        <v>232</v>
      </c>
      <c r="L107" s="76">
        <v>8</v>
      </c>
      <c r="M107" s="76" t="s">
        <v>235</v>
      </c>
      <c r="BQ107" t="s">
        <v>21</v>
      </c>
      <c r="BR107">
        <v>1674</v>
      </c>
      <c r="BS107">
        <v>1</v>
      </c>
      <c r="BT107" s="2">
        <v>31834</v>
      </c>
      <c r="BU107" s="33">
        <f t="shared" si="8"/>
        <v>1987</v>
      </c>
      <c r="BX107">
        <v>1</v>
      </c>
      <c r="BY107" t="s">
        <v>211</v>
      </c>
      <c r="BZ107">
        <v>1.2E-2</v>
      </c>
      <c r="CA107">
        <f t="shared" si="9"/>
        <v>12</v>
      </c>
      <c r="CB107">
        <v>1</v>
      </c>
      <c r="CC107" t="s">
        <v>232</v>
      </c>
      <c r="CD107">
        <v>8</v>
      </c>
      <c r="CE107" t="s">
        <v>235</v>
      </c>
    </row>
    <row r="108" spans="1:83" x14ac:dyDescent="0.2">
      <c r="A108" s="76" t="s">
        <v>21</v>
      </c>
      <c r="B108" s="76">
        <v>1674</v>
      </c>
      <c r="C108" s="76">
        <v>1</v>
      </c>
      <c r="D108" s="77">
        <v>31636</v>
      </c>
      <c r="G108" s="257">
        <v>12</v>
      </c>
      <c r="H108" s="76" t="s">
        <v>211</v>
      </c>
      <c r="I108" s="76">
        <v>2.5000000000000001E-2</v>
      </c>
      <c r="J108" s="76">
        <v>1</v>
      </c>
      <c r="K108" s="76" t="s">
        <v>232</v>
      </c>
      <c r="L108" s="76">
        <v>8</v>
      </c>
      <c r="M108" s="76" t="s">
        <v>235</v>
      </c>
      <c r="BQ108" t="s">
        <v>21</v>
      </c>
      <c r="BR108">
        <v>1674</v>
      </c>
      <c r="BS108">
        <v>1</v>
      </c>
      <c r="BT108" s="2">
        <v>31834</v>
      </c>
      <c r="BU108" s="33">
        <f t="shared" si="8"/>
        <v>1987</v>
      </c>
      <c r="BX108">
        <v>2</v>
      </c>
      <c r="BY108" t="s">
        <v>211</v>
      </c>
      <c r="BZ108">
        <v>0.01</v>
      </c>
      <c r="CA108">
        <f t="shared" si="9"/>
        <v>10</v>
      </c>
      <c r="CB108">
        <v>1</v>
      </c>
      <c r="CC108" t="s">
        <v>232</v>
      </c>
      <c r="CD108">
        <v>8</v>
      </c>
      <c r="CE108" t="s">
        <v>235</v>
      </c>
    </row>
    <row r="109" spans="1:83" x14ac:dyDescent="0.2">
      <c r="A109" s="76" t="s">
        <v>21</v>
      </c>
      <c r="B109" s="76">
        <v>1674</v>
      </c>
      <c r="C109" s="76">
        <v>1</v>
      </c>
      <c r="D109" s="77">
        <v>31636</v>
      </c>
      <c r="G109" s="257">
        <v>13</v>
      </c>
      <c r="H109" s="76" t="s">
        <v>211</v>
      </c>
      <c r="I109" s="76">
        <v>4.5999999999999999E-2</v>
      </c>
      <c r="J109" s="76">
        <v>1</v>
      </c>
      <c r="K109" s="76" t="s">
        <v>232</v>
      </c>
      <c r="L109" s="76">
        <v>8</v>
      </c>
      <c r="M109" s="76" t="s">
        <v>235</v>
      </c>
      <c r="BQ109" t="s">
        <v>21</v>
      </c>
      <c r="BR109">
        <v>1674</v>
      </c>
      <c r="BS109">
        <v>1</v>
      </c>
      <c r="BT109" s="2">
        <v>31834</v>
      </c>
      <c r="BU109" s="33">
        <f t="shared" si="8"/>
        <v>1987</v>
      </c>
      <c r="BX109">
        <v>4</v>
      </c>
      <c r="BY109" t="s">
        <v>211</v>
      </c>
      <c r="BZ109">
        <v>8.0000000000000002E-3</v>
      </c>
      <c r="CA109">
        <f t="shared" si="9"/>
        <v>8</v>
      </c>
      <c r="CB109">
        <v>1</v>
      </c>
      <c r="CC109" t="s">
        <v>232</v>
      </c>
      <c r="CD109">
        <v>8</v>
      </c>
      <c r="CE109" t="s">
        <v>235</v>
      </c>
    </row>
    <row r="110" spans="1:83" x14ac:dyDescent="0.2">
      <c r="A110" s="76" t="s">
        <v>21</v>
      </c>
      <c r="B110" s="76">
        <v>1674</v>
      </c>
      <c r="C110" s="76">
        <v>1</v>
      </c>
      <c r="D110" s="77">
        <v>31651</v>
      </c>
      <c r="G110" s="257">
        <v>2</v>
      </c>
      <c r="H110" s="76" t="s">
        <v>211</v>
      </c>
      <c r="I110" s="76">
        <v>2.4E-2</v>
      </c>
      <c r="J110" s="76">
        <v>1</v>
      </c>
      <c r="K110" s="76" t="s">
        <v>232</v>
      </c>
      <c r="L110" s="76">
        <v>7</v>
      </c>
      <c r="M110" s="76" t="s">
        <v>235</v>
      </c>
      <c r="BQ110" t="s">
        <v>21</v>
      </c>
      <c r="BR110">
        <v>1674</v>
      </c>
      <c r="BS110">
        <v>1</v>
      </c>
      <c r="BT110" s="2">
        <v>31834</v>
      </c>
      <c r="BU110" s="33">
        <f t="shared" si="8"/>
        <v>1987</v>
      </c>
      <c r="BX110">
        <v>6</v>
      </c>
      <c r="BY110" t="s">
        <v>211</v>
      </c>
      <c r="BZ110">
        <v>8.9999999999999993E-3</v>
      </c>
      <c r="CA110">
        <f t="shared" si="9"/>
        <v>9</v>
      </c>
      <c r="CB110">
        <v>1</v>
      </c>
      <c r="CC110" t="s">
        <v>232</v>
      </c>
      <c r="CD110">
        <v>8</v>
      </c>
      <c r="CE110" t="s">
        <v>235</v>
      </c>
    </row>
    <row r="111" spans="1:83" x14ac:dyDescent="0.2">
      <c r="A111" s="76" t="s">
        <v>21</v>
      </c>
      <c r="B111" s="76">
        <v>1674</v>
      </c>
      <c r="C111" s="76">
        <v>1</v>
      </c>
      <c r="D111" s="77">
        <v>31651</v>
      </c>
      <c r="G111" s="257">
        <v>4</v>
      </c>
      <c r="H111" s="76" t="s">
        <v>211</v>
      </c>
      <c r="I111" s="76">
        <v>1.7000000000000001E-2</v>
      </c>
      <c r="J111" s="76">
        <v>1</v>
      </c>
      <c r="K111" s="76" t="s">
        <v>232</v>
      </c>
      <c r="L111" s="76">
        <v>7</v>
      </c>
      <c r="M111" s="76" t="s">
        <v>235</v>
      </c>
      <c r="BQ111" t="s">
        <v>21</v>
      </c>
      <c r="BR111">
        <v>1674</v>
      </c>
      <c r="BS111">
        <v>1</v>
      </c>
      <c r="BT111" s="2">
        <v>31834</v>
      </c>
      <c r="BU111" s="33">
        <f t="shared" si="8"/>
        <v>1987</v>
      </c>
      <c r="BX111">
        <v>8</v>
      </c>
      <c r="BY111" t="s">
        <v>211</v>
      </c>
      <c r="BZ111">
        <v>8.0000000000000002E-3</v>
      </c>
      <c r="CA111">
        <f t="shared" si="9"/>
        <v>8</v>
      </c>
      <c r="CB111">
        <v>1</v>
      </c>
      <c r="CC111" t="s">
        <v>232</v>
      </c>
      <c r="CD111">
        <v>8</v>
      </c>
      <c r="CE111" t="s">
        <v>235</v>
      </c>
    </row>
    <row r="112" spans="1:83" x14ac:dyDescent="0.2">
      <c r="A112" s="76" t="s">
        <v>21</v>
      </c>
      <c r="B112" s="76">
        <v>1674</v>
      </c>
      <c r="C112" s="76">
        <v>1</v>
      </c>
      <c r="D112" s="77">
        <v>31651</v>
      </c>
      <c r="G112" s="257">
        <v>6</v>
      </c>
      <c r="H112" s="76" t="s">
        <v>211</v>
      </c>
      <c r="I112" s="76">
        <v>2.7E-2</v>
      </c>
      <c r="J112" s="76">
        <v>1</v>
      </c>
      <c r="K112" s="76" t="s">
        <v>232</v>
      </c>
      <c r="L112" s="76">
        <v>7</v>
      </c>
      <c r="M112" s="76" t="s">
        <v>235</v>
      </c>
      <c r="BQ112" t="s">
        <v>21</v>
      </c>
      <c r="BR112">
        <v>1674</v>
      </c>
      <c r="BS112">
        <v>1</v>
      </c>
      <c r="BT112" s="2">
        <v>31834</v>
      </c>
      <c r="BU112" s="33">
        <f t="shared" si="8"/>
        <v>1987</v>
      </c>
      <c r="BX112">
        <v>10</v>
      </c>
      <c r="BY112" t="s">
        <v>211</v>
      </c>
      <c r="BZ112">
        <v>1.7000000000000001E-2</v>
      </c>
      <c r="CA112">
        <f t="shared" si="9"/>
        <v>17</v>
      </c>
      <c r="CB112">
        <v>1</v>
      </c>
      <c r="CC112" t="s">
        <v>232</v>
      </c>
      <c r="CD112">
        <v>8</v>
      </c>
      <c r="CE112" t="s">
        <v>235</v>
      </c>
    </row>
    <row r="113" spans="1:84" x14ac:dyDescent="0.2">
      <c r="A113" s="76" t="s">
        <v>21</v>
      </c>
      <c r="B113" s="76">
        <v>1674</v>
      </c>
      <c r="C113" s="76">
        <v>1</v>
      </c>
      <c r="D113" s="77">
        <v>31651</v>
      </c>
      <c r="G113" s="257">
        <v>8</v>
      </c>
      <c r="H113" s="76" t="s">
        <v>211</v>
      </c>
      <c r="I113" s="76">
        <v>2.5999999999999999E-2</v>
      </c>
      <c r="J113" s="76">
        <v>1</v>
      </c>
      <c r="K113" s="76" t="s">
        <v>232</v>
      </c>
      <c r="L113" s="76">
        <v>7</v>
      </c>
      <c r="M113" s="76" t="s">
        <v>235</v>
      </c>
      <c r="BQ113" t="s">
        <v>21</v>
      </c>
      <c r="BR113">
        <v>1674</v>
      </c>
      <c r="BS113">
        <v>1</v>
      </c>
      <c r="BT113" s="2">
        <v>31834</v>
      </c>
      <c r="BU113" s="33">
        <f t="shared" si="8"/>
        <v>1987</v>
      </c>
      <c r="BX113">
        <v>12</v>
      </c>
      <c r="BY113" t="s">
        <v>211</v>
      </c>
      <c r="BZ113">
        <v>2.8000000000000001E-2</v>
      </c>
      <c r="CA113">
        <f t="shared" si="9"/>
        <v>28</v>
      </c>
      <c r="CB113">
        <v>1</v>
      </c>
      <c r="CC113" t="s">
        <v>232</v>
      </c>
      <c r="CD113">
        <v>8</v>
      </c>
      <c r="CE113" t="s">
        <v>235</v>
      </c>
    </row>
    <row r="114" spans="1:84" x14ac:dyDescent="0.2">
      <c r="A114" s="76" t="s">
        <v>21</v>
      </c>
      <c r="B114" s="76">
        <v>1674</v>
      </c>
      <c r="C114" s="76">
        <v>1</v>
      </c>
      <c r="D114" s="77">
        <v>31651</v>
      </c>
      <c r="G114" s="257">
        <v>10</v>
      </c>
      <c r="H114" s="76" t="s">
        <v>211</v>
      </c>
      <c r="I114" s="76">
        <v>2.5000000000000001E-2</v>
      </c>
      <c r="J114" s="76">
        <v>1</v>
      </c>
      <c r="K114" s="76" t="s">
        <v>232</v>
      </c>
      <c r="L114" s="76">
        <v>7</v>
      </c>
      <c r="M114" s="76" t="s">
        <v>235</v>
      </c>
      <c r="BQ114" t="s">
        <v>21</v>
      </c>
      <c r="BR114">
        <v>1674</v>
      </c>
      <c r="BS114">
        <v>1</v>
      </c>
      <c r="BT114" s="2">
        <v>31834</v>
      </c>
      <c r="BU114" s="33">
        <f t="shared" si="8"/>
        <v>1987</v>
      </c>
      <c r="BX114">
        <v>13</v>
      </c>
      <c r="BY114" t="s">
        <v>211</v>
      </c>
      <c r="BZ114">
        <v>5.7000000000000002E-2</v>
      </c>
      <c r="CA114" s="212">
        <f t="shared" si="9"/>
        <v>57</v>
      </c>
      <c r="CB114">
        <v>1</v>
      </c>
      <c r="CC114" t="s">
        <v>232</v>
      </c>
      <c r="CD114">
        <v>8</v>
      </c>
      <c r="CE114" t="s">
        <v>235</v>
      </c>
      <c r="CF114" t="s">
        <v>298</v>
      </c>
    </row>
    <row r="115" spans="1:84" x14ac:dyDescent="0.2">
      <c r="A115" s="76" t="s">
        <v>21</v>
      </c>
      <c r="B115" s="76">
        <v>1674</v>
      </c>
      <c r="C115" s="76">
        <v>1</v>
      </c>
      <c r="D115" s="77">
        <v>31651</v>
      </c>
      <c r="G115" s="257">
        <v>12</v>
      </c>
      <c r="H115" s="76" t="s">
        <v>211</v>
      </c>
      <c r="I115" s="76">
        <v>0.03</v>
      </c>
      <c r="J115" s="76">
        <v>1</v>
      </c>
      <c r="K115" s="76" t="s">
        <v>232</v>
      </c>
      <c r="L115" s="76">
        <v>7</v>
      </c>
      <c r="M115" s="76" t="s">
        <v>235</v>
      </c>
      <c r="BQ115" t="s">
        <v>21</v>
      </c>
      <c r="BR115">
        <v>1674</v>
      </c>
      <c r="BS115">
        <v>1</v>
      </c>
      <c r="BT115" s="2">
        <v>31906</v>
      </c>
      <c r="BU115" s="33">
        <f t="shared" si="8"/>
        <v>1987</v>
      </c>
      <c r="BX115">
        <v>0</v>
      </c>
      <c r="BY115" t="s">
        <v>211</v>
      </c>
      <c r="BZ115">
        <v>1.6E-2</v>
      </c>
      <c r="CA115">
        <f t="shared" si="9"/>
        <v>16</v>
      </c>
      <c r="CB115">
        <v>1</v>
      </c>
      <c r="CC115" t="s">
        <v>232</v>
      </c>
      <c r="CD115">
        <v>7</v>
      </c>
      <c r="CE115" t="s">
        <v>235</v>
      </c>
    </row>
    <row r="116" spans="1:84" x14ac:dyDescent="0.2">
      <c r="A116" s="76" t="s">
        <v>21</v>
      </c>
      <c r="B116" s="76">
        <v>1674</v>
      </c>
      <c r="C116" s="76">
        <v>1</v>
      </c>
      <c r="D116" s="77">
        <v>31651</v>
      </c>
      <c r="G116" s="257">
        <v>13</v>
      </c>
      <c r="H116" s="76" t="s">
        <v>211</v>
      </c>
      <c r="I116" s="76">
        <v>2.5000000000000001E-2</v>
      </c>
      <c r="J116" s="76">
        <v>1</v>
      </c>
      <c r="K116" s="76" t="s">
        <v>232</v>
      </c>
      <c r="L116" s="76">
        <v>7</v>
      </c>
      <c r="M116" s="76" t="s">
        <v>235</v>
      </c>
      <c r="BQ116" t="s">
        <v>21</v>
      </c>
      <c r="BR116">
        <v>1674</v>
      </c>
      <c r="BS116">
        <v>1</v>
      </c>
      <c r="BT116" s="2">
        <v>31906</v>
      </c>
      <c r="BU116" s="33">
        <f t="shared" si="8"/>
        <v>1987</v>
      </c>
      <c r="BX116">
        <v>2</v>
      </c>
      <c r="BY116" t="s">
        <v>211</v>
      </c>
      <c r="BZ116">
        <v>1.6E-2</v>
      </c>
      <c r="CA116">
        <f t="shared" si="9"/>
        <v>16</v>
      </c>
      <c r="CB116">
        <v>1</v>
      </c>
      <c r="CC116" t="s">
        <v>232</v>
      </c>
      <c r="CD116">
        <v>7</v>
      </c>
      <c r="CE116" t="s">
        <v>235</v>
      </c>
    </row>
    <row r="117" spans="1:84" x14ac:dyDescent="0.2">
      <c r="A117" s="76" t="s">
        <v>21</v>
      </c>
      <c r="B117" s="76">
        <v>1674</v>
      </c>
      <c r="C117" s="76">
        <v>1</v>
      </c>
      <c r="D117" s="77">
        <v>31663</v>
      </c>
      <c r="G117" s="257">
        <v>2</v>
      </c>
      <c r="H117" s="76" t="s">
        <v>211</v>
      </c>
      <c r="I117" s="76">
        <v>2.8000000000000001E-2</v>
      </c>
      <c r="J117" s="76">
        <v>1</v>
      </c>
      <c r="K117" s="76" t="s">
        <v>232</v>
      </c>
      <c r="L117" s="76">
        <v>6</v>
      </c>
      <c r="M117" s="76" t="s">
        <v>235</v>
      </c>
      <c r="BQ117" t="s">
        <v>21</v>
      </c>
      <c r="BR117">
        <v>1674</v>
      </c>
      <c r="BS117">
        <v>1</v>
      </c>
      <c r="BT117" s="2">
        <v>31906</v>
      </c>
      <c r="BU117" s="33">
        <f t="shared" si="8"/>
        <v>1987</v>
      </c>
      <c r="BX117">
        <v>4</v>
      </c>
      <c r="BY117" t="s">
        <v>211</v>
      </c>
      <c r="BZ117">
        <v>1.4E-2</v>
      </c>
      <c r="CA117">
        <f t="shared" si="9"/>
        <v>14</v>
      </c>
      <c r="CB117">
        <v>1</v>
      </c>
      <c r="CC117" t="s">
        <v>232</v>
      </c>
      <c r="CD117">
        <v>7</v>
      </c>
      <c r="CE117" t="s">
        <v>235</v>
      </c>
    </row>
    <row r="118" spans="1:84" x14ac:dyDescent="0.2">
      <c r="A118" s="76" t="s">
        <v>21</v>
      </c>
      <c r="B118" s="76">
        <v>1674</v>
      </c>
      <c r="C118" s="76">
        <v>1</v>
      </c>
      <c r="D118" s="77">
        <v>31663</v>
      </c>
      <c r="G118" s="257">
        <v>4</v>
      </c>
      <c r="H118" s="76" t="s">
        <v>211</v>
      </c>
      <c r="I118" s="76">
        <v>2.5000000000000001E-2</v>
      </c>
      <c r="J118" s="76">
        <v>1</v>
      </c>
      <c r="K118" s="76" t="s">
        <v>232</v>
      </c>
      <c r="L118" s="76">
        <v>6</v>
      </c>
      <c r="M118" s="76" t="s">
        <v>235</v>
      </c>
      <c r="BQ118" t="s">
        <v>21</v>
      </c>
      <c r="BR118">
        <v>1674</v>
      </c>
      <c r="BS118">
        <v>1</v>
      </c>
      <c r="BT118" s="2">
        <v>31906</v>
      </c>
      <c r="BU118" s="33">
        <f t="shared" si="8"/>
        <v>1987</v>
      </c>
      <c r="BX118">
        <v>6</v>
      </c>
      <c r="BY118" t="s">
        <v>211</v>
      </c>
      <c r="BZ118">
        <v>1.6E-2</v>
      </c>
      <c r="CA118">
        <f t="shared" si="9"/>
        <v>16</v>
      </c>
      <c r="CB118">
        <v>1</v>
      </c>
      <c r="CC118" t="s">
        <v>232</v>
      </c>
      <c r="CD118">
        <v>7</v>
      </c>
      <c r="CE118" t="s">
        <v>235</v>
      </c>
    </row>
    <row r="119" spans="1:84" x14ac:dyDescent="0.2">
      <c r="A119" s="76" t="s">
        <v>21</v>
      </c>
      <c r="B119" s="76">
        <v>1674</v>
      </c>
      <c r="C119" s="76">
        <v>1</v>
      </c>
      <c r="D119" s="77">
        <v>31663</v>
      </c>
      <c r="G119" s="257">
        <v>6</v>
      </c>
      <c r="H119" s="76" t="s">
        <v>211</v>
      </c>
      <c r="I119" s="76">
        <v>2.5999999999999999E-2</v>
      </c>
      <c r="J119" s="76">
        <v>1</v>
      </c>
      <c r="K119" s="76" t="s">
        <v>232</v>
      </c>
      <c r="L119" s="76">
        <v>6</v>
      </c>
      <c r="M119" s="76" t="s">
        <v>235</v>
      </c>
      <c r="BQ119" t="s">
        <v>21</v>
      </c>
      <c r="BR119">
        <v>1674</v>
      </c>
      <c r="BS119">
        <v>1</v>
      </c>
      <c r="BT119" s="2">
        <v>31906</v>
      </c>
      <c r="BU119" s="33">
        <f t="shared" si="8"/>
        <v>1987</v>
      </c>
      <c r="BX119">
        <v>8</v>
      </c>
      <c r="BY119" t="s">
        <v>211</v>
      </c>
      <c r="BZ119">
        <v>1.4999999999999999E-2</v>
      </c>
      <c r="CA119">
        <f t="shared" si="9"/>
        <v>15</v>
      </c>
      <c r="CB119">
        <v>1</v>
      </c>
      <c r="CC119" t="s">
        <v>232</v>
      </c>
      <c r="CD119">
        <v>7</v>
      </c>
      <c r="CE119" t="s">
        <v>235</v>
      </c>
    </row>
    <row r="120" spans="1:84" x14ac:dyDescent="0.2">
      <c r="A120" s="76" t="s">
        <v>21</v>
      </c>
      <c r="B120" s="76">
        <v>1674</v>
      </c>
      <c r="C120" s="76">
        <v>1</v>
      </c>
      <c r="D120" s="77">
        <v>31663</v>
      </c>
      <c r="G120" s="257">
        <v>8</v>
      </c>
      <c r="H120" s="76" t="s">
        <v>211</v>
      </c>
      <c r="I120" s="76">
        <v>2.9000000000000001E-2</v>
      </c>
      <c r="J120" s="76">
        <v>1</v>
      </c>
      <c r="K120" s="76" t="s">
        <v>232</v>
      </c>
      <c r="L120" s="76">
        <v>6</v>
      </c>
      <c r="M120" s="76" t="s">
        <v>235</v>
      </c>
      <c r="BQ120" t="s">
        <v>21</v>
      </c>
      <c r="BR120">
        <v>1674</v>
      </c>
      <c r="BS120">
        <v>1</v>
      </c>
      <c r="BT120" s="2">
        <v>31906</v>
      </c>
      <c r="BU120" s="33">
        <f t="shared" si="8"/>
        <v>1987</v>
      </c>
      <c r="BX120">
        <v>10</v>
      </c>
      <c r="BY120" t="s">
        <v>211</v>
      </c>
      <c r="BZ120">
        <v>1.4E-2</v>
      </c>
      <c r="CA120">
        <f t="shared" si="9"/>
        <v>14</v>
      </c>
      <c r="CB120">
        <v>1</v>
      </c>
      <c r="CC120" t="s">
        <v>232</v>
      </c>
      <c r="CD120">
        <v>7</v>
      </c>
      <c r="CE120" t="s">
        <v>235</v>
      </c>
    </row>
    <row r="121" spans="1:84" x14ac:dyDescent="0.2">
      <c r="A121" s="76" t="s">
        <v>21</v>
      </c>
      <c r="B121" s="76">
        <v>1674</v>
      </c>
      <c r="C121" s="76">
        <v>1</v>
      </c>
      <c r="D121" s="77">
        <v>31663</v>
      </c>
      <c r="G121" s="257">
        <v>10</v>
      </c>
      <c r="H121" s="76" t="s">
        <v>211</v>
      </c>
      <c r="I121" s="76">
        <v>2.5999999999999999E-2</v>
      </c>
      <c r="J121" s="76">
        <v>1</v>
      </c>
      <c r="K121" s="76" t="s">
        <v>232</v>
      </c>
      <c r="L121" s="76">
        <v>6</v>
      </c>
      <c r="M121" s="76" t="s">
        <v>235</v>
      </c>
      <c r="BQ121" t="s">
        <v>21</v>
      </c>
      <c r="BR121">
        <v>1674</v>
      </c>
      <c r="BS121">
        <v>1</v>
      </c>
      <c r="BT121" s="2">
        <v>31906</v>
      </c>
      <c r="BU121" s="33">
        <f t="shared" si="8"/>
        <v>1987</v>
      </c>
      <c r="BX121">
        <v>11.5</v>
      </c>
      <c r="BY121" t="s">
        <v>211</v>
      </c>
      <c r="BZ121">
        <v>1.6E-2</v>
      </c>
      <c r="CA121">
        <f t="shared" si="9"/>
        <v>16</v>
      </c>
      <c r="CB121">
        <v>1</v>
      </c>
      <c r="CC121" t="s">
        <v>232</v>
      </c>
      <c r="CD121">
        <v>7</v>
      </c>
      <c r="CE121" t="s">
        <v>235</v>
      </c>
    </row>
    <row r="122" spans="1:84" x14ac:dyDescent="0.2">
      <c r="A122" s="76" t="s">
        <v>21</v>
      </c>
      <c r="B122" s="76">
        <v>1674</v>
      </c>
      <c r="C122" s="76">
        <v>1</v>
      </c>
      <c r="D122" s="77">
        <v>31663</v>
      </c>
      <c r="G122" s="257">
        <v>11</v>
      </c>
      <c r="H122" s="76" t="s">
        <v>211</v>
      </c>
      <c r="I122" s="76">
        <v>2.5999999999999999E-2</v>
      </c>
      <c r="J122" s="76">
        <v>1</v>
      </c>
      <c r="K122" s="76" t="s">
        <v>232</v>
      </c>
      <c r="L122" s="76">
        <v>6</v>
      </c>
      <c r="M122" s="76" t="s">
        <v>235</v>
      </c>
      <c r="BQ122" t="s">
        <v>21</v>
      </c>
      <c r="BR122">
        <v>1674</v>
      </c>
      <c r="BS122">
        <v>1</v>
      </c>
      <c r="BT122" s="2">
        <v>31925</v>
      </c>
      <c r="BU122" s="33">
        <f t="shared" si="8"/>
        <v>1987</v>
      </c>
      <c r="BX122">
        <v>0</v>
      </c>
      <c r="BY122" t="s">
        <v>211</v>
      </c>
      <c r="BZ122">
        <v>1.2999999999999999E-2</v>
      </c>
      <c r="CA122">
        <f t="shared" si="9"/>
        <v>13</v>
      </c>
      <c r="CB122">
        <v>1</v>
      </c>
      <c r="CC122" t="s">
        <v>232</v>
      </c>
      <c r="CD122">
        <v>7</v>
      </c>
      <c r="CE122" t="s">
        <v>235</v>
      </c>
    </row>
    <row r="123" spans="1:84" x14ac:dyDescent="0.2">
      <c r="A123" s="76" t="s">
        <v>21</v>
      </c>
      <c r="B123" s="76">
        <v>1674</v>
      </c>
      <c r="C123" s="76">
        <v>1</v>
      </c>
      <c r="D123" s="77">
        <v>31684</v>
      </c>
      <c r="G123" s="257">
        <v>1</v>
      </c>
      <c r="H123" s="76" t="s">
        <v>211</v>
      </c>
      <c r="I123" s="76">
        <v>2.1000000000000001E-2</v>
      </c>
      <c r="J123" s="76">
        <v>1</v>
      </c>
      <c r="K123" s="76" t="s">
        <v>232</v>
      </c>
      <c r="L123" s="76">
        <v>7</v>
      </c>
      <c r="M123" s="76" t="s">
        <v>235</v>
      </c>
      <c r="BQ123" t="s">
        <v>21</v>
      </c>
      <c r="BR123">
        <v>1674</v>
      </c>
      <c r="BS123">
        <v>1</v>
      </c>
      <c r="BT123" s="2">
        <v>31925</v>
      </c>
      <c r="BU123" s="33">
        <f t="shared" si="8"/>
        <v>1987</v>
      </c>
      <c r="BX123">
        <v>2</v>
      </c>
      <c r="BY123" t="s">
        <v>211</v>
      </c>
      <c r="BZ123">
        <v>1.6E-2</v>
      </c>
      <c r="CA123">
        <f t="shared" si="9"/>
        <v>16</v>
      </c>
      <c r="CB123">
        <v>1</v>
      </c>
      <c r="CC123" t="s">
        <v>232</v>
      </c>
      <c r="CD123">
        <v>7</v>
      </c>
      <c r="CE123" t="s">
        <v>235</v>
      </c>
    </row>
    <row r="124" spans="1:84" x14ac:dyDescent="0.2">
      <c r="A124" s="76" t="s">
        <v>21</v>
      </c>
      <c r="B124" s="76">
        <v>1674</v>
      </c>
      <c r="C124" s="76">
        <v>1</v>
      </c>
      <c r="D124" s="77">
        <v>31684</v>
      </c>
      <c r="G124" s="257">
        <v>2</v>
      </c>
      <c r="H124" s="76" t="s">
        <v>211</v>
      </c>
      <c r="I124" s="76">
        <v>2.5000000000000001E-2</v>
      </c>
      <c r="J124" s="76">
        <v>1</v>
      </c>
      <c r="K124" s="76" t="s">
        <v>232</v>
      </c>
      <c r="L124" s="76">
        <v>7</v>
      </c>
      <c r="M124" s="76" t="s">
        <v>235</v>
      </c>
      <c r="BQ124" t="s">
        <v>21</v>
      </c>
      <c r="BR124">
        <v>1674</v>
      </c>
      <c r="BS124">
        <v>1</v>
      </c>
      <c r="BT124" s="2">
        <v>31925</v>
      </c>
      <c r="BU124" s="33">
        <f t="shared" si="8"/>
        <v>1987</v>
      </c>
      <c r="BX124">
        <v>4</v>
      </c>
      <c r="BY124" t="s">
        <v>211</v>
      </c>
      <c r="BZ124">
        <v>1.7000000000000001E-2</v>
      </c>
      <c r="CA124">
        <f t="shared" si="9"/>
        <v>17</v>
      </c>
      <c r="CB124">
        <v>1</v>
      </c>
      <c r="CC124" t="s">
        <v>232</v>
      </c>
      <c r="CD124">
        <v>7</v>
      </c>
      <c r="CE124" t="s">
        <v>235</v>
      </c>
    </row>
    <row r="125" spans="1:84" x14ac:dyDescent="0.2">
      <c r="A125" s="76" t="s">
        <v>21</v>
      </c>
      <c r="B125" s="76">
        <v>1674</v>
      </c>
      <c r="C125" s="76">
        <v>1</v>
      </c>
      <c r="D125" s="77">
        <v>31684</v>
      </c>
      <c r="G125" s="257">
        <v>4</v>
      </c>
      <c r="H125" s="76" t="s">
        <v>211</v>
      </c>
      <c r="I125" s="76">
        <v>2.1000000000000001E-2</v>
      </c>
      <c r="J125" s="76">
        <v>1</v>
      </c>
      <c r="K125" s="76" t="s">
        <v>232</v>
      </c>
      <c r="L125" s="76">
        <v>7</v>
      </c>
      <c r="M125" s="76" t="s">
        <v>235</v>
      </c>
      <c r="BQ125" t="s">
        <v>21</v>
      </c>
      <c r="BR125">
        <v>1674</v>
      </c>
      <c r="BS125">
        <v>1</v>
      </c>
      <c r="BT125" s="2">
        <v>31925</v>
      </c>
      <c r="BU125" s="33">
        <f t="shared" si="8"/>
        <v>1987</v>
      </c>
      <c r="BX125">
        <v>6</v>
      </c>
      <c r="BY125" t="s">
        <v>211</v>
      </c>
      <c r="BZ125">
        <v>1.6E-2</v>
      </c>
      <c r="CA125">
        <f t="shared" si="9"/>
        <v>16</v>
      </c>
      <c r="CB125">
        <v>1</v>
      </c>
      <c r="CC125" t="s">
        <v>232</v>
      </c>
      <c r="CD125">
        <v>7</v>
      </c>
      <c r="CE125" t="s">
        <v>235</v>
      </c>
    </row>
    <row r="126" spans="1:84" x14ac:dyDescent="0.2">
      <c r="A126" s="76" t="s">
        <v>21</v>
      </c>
      <c r="B126" s="76">
        <v>1674</v>
      </c>
      <c r="C126" s="76">
        <v>1</v>
      </c>
      <c r="D126" s="77">
        <v>31684</v>
      </c>
      <c r="G126" s="257">
        <v>6</v>
      </c>
      <c r="H126" s="76" t="s">
        <v>211</v>
      </c>
      <c r="I126" s="76">
        <v>2.5000000000000001E-2</v>
      </c>
      <c r="J126" s="76">
        <v>1</v>
      </c>
      <c r="K126" s="76" t="s">
        <v>232</v>
      </c>
      <c r="L126" s="76">
        <v>7</v>
      </c>
      <c r="M126" s="76" t="s">
        <v>235</v>
      </c>
      <c r="BQ126" t="s">
        <v>21</v>
      </c>
      <c r="BR126">
        <v>1674</v>
      </c>
      <c r="BS126">
        <v>1</v>
      </c>
      <c r="BT126" s="2">
        <v>31925</v>
      </c>
      <c r="BU126" s="33">
        <f t="shared" si="8"/>
        <v>1987</v>
      </c>
      <c r="BX126">
        <v>8</v>
      </c>
      <c r="BY126" t="s">
        <v>211</v>
      </c>
      <c r="BZ126">
        <v>0.02</v>
      </c>
      <c r="CA126">
        <f t="shared" si="9"/>
        <v>20</v>
      </c>
      <c r="CB126">
        <v>1</v>
      </c>
      <c r="CC126" t="s">
        <v>232</v>
      </c>
      <c r="CD126">
        <v>7</v>
      </c>
      <c r="CE126" t="s">
        <v>235</v>
      </c>
    </row>
    <row r="127" spans="1:84" x14ac:dyDescent="0.2">
      <c r="A127" s="76" t="s">
        <v>21</v>
      </c>
      <c r="B127" s="76">
        <v>1674</v>
      </c>
      <c r="C127" s="76">
        <v>1</v>
      </c>
      <c r="D127" s="77">
        <v>31684</v>
      </c>
      <c r="G127" s="257">
        <v>8</v>
      </c>
      <c r="H127" s="76" t="s">
        <v>211</v>
      </c>
      <c r="I127" s="76">
        <v>2.1999999999999999E-2</v>
      </c>
      <c r="J127" s="76">
        <v>1</v>
      </c>
      <c r="K127" s="76" t="s">
        <v>232</v>
      </c>
      <c r="L127" s="76">
        <v>7</v>
      </c>
      <c r="M127" s="76" t="s">
        <v>235</v>
      </c>
      <c r="BQ127" t="s">
        <v>21</v>
      </c>
      <c r="BR127">
        <v>1674</v>
      </c>
      <c r="BS127">
        <v>1</v>
      </c>
      <c r="BT127" s="2">
        <v>31925</v>
      </c>
      <c r="BU127" s="33">
        <f t="shared" si="8"/>
        <v>1987</v>
      </c>
      <c r="BX127">
        <v>10</v>
      </c>
      <c r="BY127" t="s">
        <v>211</v>
      </c>
      <c r="BZ127">
        <v>2.5999999999999999E-2</v>
      </c>
      <c r="CA127">
        <f t="shared" si="9"/>
        <v>26</v>
      </c>
      <c r="CB127">
        <v>1</v>
      </c>
      <c r="CC127" t="s">
        <v>232</v>
      </c>
      <c r="CD127">
        <v>7</v>
      </c>
      <c r="CE127" t="s">
        <v>235</v>
      </c>
    </row>
    <row r="128" spans="1:84" x14ac:dyDescent="0.2">
      <c r="A128" s="76" t="s">
        <v>21</v>
      </c>
      <c r="B128" s="76">
        <v>1674</v>
      </c>
      <c r="C128" s="76">
        <v>1</v>
      </c>
      <c r="D128" s="77">
        <v>31684</v>
      </c>
      <c r="G128" s="257">
        <v>10</v>
      </c>
      <c r="H128" s="76" t="s">
        <v>211</v>
      </c>
      <c r="I128" s="76">
        <v>2.3E-2</v>
      </c>
      <c r="J128" s="76">
        <v>1</v>
      </c>
      <c r="K128" s="76" t="s">
        <v>232</v>
      </c>
      <c r="L128" s="76">
        <v>7</v>
      </c>
      <c r="M128" s="76" t="s">
        <v>235</v>
      </c>
      <c r="BQ128" t="s">
        <v>21</v>
      </c>
      <c r="BR128">
        <v>1674</v>
      </c>
      <c r="BS128">
        <v>1</v>
      </c>
      <c r="BT128" s="2">
        <v>31925</v>
      </c>
      <c r="BU128" s="33">
        <f t="shared" si="8"/>
        <v>1987</v>
      </c>
      <c r="BX128">
        <v>12</v>
      </c>
      <c r="BY128" t="s">
        <v>211</v>
      </c>
      <c r="BZ128">
        <v>2.1000000000000001E-2</v>
      </c>
      <c r="CA128">
        <f t="shared" si="9"/>
        <v>21</v>
      </c>
      <c r="CB128">
        <v>1</v>
      </c>
      <c r="CC128" t="s">
        <v>232</v>
      </c>
      <c r="CD128">
        <v>7</v>
      </c>
      <c r="CE128" t="s">
        <v>235</v>
      </c>
    </row>
    <row r="129" spans="1:83" x14ac:dyDescent="0.2">
      <c r="A129" s="76" t="s">
        <v>21</v>
      </c>
      <c r="B129" s="76">
        <v>1674</v>
      </c>
      <c r="C129" s="76">
        <v>1</v>
      </c>
      <c r="D129" s="77">
        <v>31684</v>
      </c>
      <c r="G129" s="257">
        <v>12</v>
      </c>
      <c r="H129" s="76" t="s">
        <v>211</v>
      </c>
      <c r="I129" s="76">
        <v>2.8000000000000001E-2</v>
      </c>
      <c r="J129" s="76">
        <v>1</v>
      </c>
      <c r="K129" s="76" t="s">
        <v>232</v>
      </c>
      <c r="L129" s="76">
        <v>7</v>
      </c>
      <c r="M129" s="76" t="s">
        <v>235</v>
      </c>
      <c r="BQ129" t="s">
        <v>21</v>
      </c>
      <c r="BR129">
        <v>1674</v>
      </c>
      <c r="BS129">
        <v>1</v>
      </c>
      <c r="BT129" s="2">
        <v>31937</v>
      </c>
      <c r="BU129" s="33">
        <f t="shared" si="8"/>
        <v>1987</v>
      </c>
      <c r="BX129">
        <v>0</v>
      </c>
      <c r="BY129" t="s">
        <v>211</v>
      </c>
      <c r="BZ129">
        <v>1.4999999999999999E-2</v>
      </c>
      <c r="CA129">
        <f t="shared" si="9"/>
        <v>15</v>
      </c>
      <c r="CB129">
        <v>1</v>
      </c>
      <c r="CC129" t="s">
        <v>232</v>
      </c>
      <c r="CD129">
        <v>8</v>
      </c>
      <c r="CE129" t="s">
        <v>235</v>
      </c>
    </row>
    <row r="130" spans="1:83" x14ac:dyDescent="0.2">
      <c r="A130" s="76" t="s">
        <v>21</v>
      </c>
      <c r="B130" s="76">
        <v>1674</v>
      </c>
      <c r="C130" s="76">
        <v>1</v>
      </c>
      <c r="D130" s="77">
        <v>31699</v>
      </c>
      <c r="G130" s="257">
        <v>1</v>
      </c>
      <c r="H130" s="76" t="s">
        <v>211</v>
      </c>
      <c r="I130" s="76">
        <v>2.1999999999999999E-2</v>
      </c>
      <c r="J130" s="76">
        <v>1</v>
      </c>
      <c r="K130" s="76" t="s">
        <v>232</v>
      </c>
      <c r="L130" s="76">
        <v>7</v>
      </c>
      <c r="M130" s="76" t="s">
        <v>235</v>
      </c>
      <c r="BQ130" t="s">
        <v>21</v>
      </c>
      <c r="BR130">
        <v>1674</v>
      </c>
      <c r="BS130">
        <v>1</v>
      </c>
      <c r="BT130" s="2">
        <v>31937</v>
      </c>
      <c r="BU130" s="33">
        <f t="shared" si="8"/>
        <v>1987</v>
      </c>
      <c r="BX130">
        <v>2</v>
      </c>
      <c r="BY130" t="s">
        <v>211</v>
      </c>
      <c r="BZ130">
        <v>1.4999999999999999E-2</v>
      </c>
      <c r="CA130">
        <f t="shared" si="9"/>
        <v>15</v>
      </c>
      <c r="CB130">
        <v>1</v>
      </c>
      <c r="CC130" t="s">
        <v>232</v>
      </c>
      <c r="CD130">
        <v>8</v>
      </c>
      <c r="CE130" t="s">
        <v>235</v>
      </c>
    </row>
    <row r="131" spans="1:83" x14ac:dyDescent="0.2">
      <c r="A131" s="76" t="s">
        <v>21</v>
      </c>
      <c r="B131" s="76">
        <v>1674</v>
      </c>
      <c r="C131" s="76">
        <v>1</v>
      </c>
      <c r="D131" s="77">
        <v>31699</v>
      </c>
      <c r="G131" s="257">
        <v>2</v>
      </c>
      <c r="H131" s="76" t="s">
        <v>211</v>
      </c>
      <c r="I131" s="76">
        <v>2.1000000000000001E-2</v>
      </c>
      <c r="J131" s="76">
        <v>1</v>
      </c>
      <c r="K131" s="76" t="s">
        <v>232</v>
      </c>
      <c r="L131" s="76">
        <v>7</v>
      </c>
      <c r="M131" s="76" t="s">
        <v>235</v>
      </c>
      <c r="BQ131" t="s">
        <v>21</v>
      </c>
      <c r="BR131">
        <v>1674</v>
      </c>
      <c r="BS131">
        <v>1</v>
      </c>
      <c r="BT131" s="2">
        <v>31937</v>
      </c>
      <c r="BU131" s="33">
        <f t="shared" si="8"/>
        <v>1987</v>
      </c>
      <c r="BX131">
        <v>4</v>
      </c>
      <c r="BY131" t="s">
        <v>211</v>
      </c>
      <c r="BZ131">
        <v>1.4999999999999999E-2</v>
      </c>
      <c r="CA131">
        <f t="shared" si="9"/>
        <v>15</v>
      </c>
      <c r="CB131">
        <v>1</v>
      </c>
      <c r="CC131" t="s">
        <v>232</v>
      </c>
      <c r="CD131">
        <v>8</v>
      </c>
      <c r="CE131" t="s">
        <v>235</v>
      </c>
    </row>
    <row r="132" spans="1:83" x14ac:dyDescent="0.2">
      <c r="A132" s="76" t="s">
        <v>21</v>
      </c>
      <c r="B132" s="76">
        <v>1674</v>
      </c>
      <c r="C132" s="76">
        <v>1</v>
      </c>
      <c r="D132" s="77">
        <v>31699</v>
      </c>
      <c r="G132" s="257">
        <v>4</v>
      </c>
      <c r="H132" s="76" t="s">
        <v>211</v>
      </c>
      <c r="I132" s="76">
        <v>2.4E-2</v>
      </c>
      <c r="J132" s="76">
        <v>1</v>
      </c>
      <c r="K132" s="76" t="s">
        <v>232</v>
      </c>
      <c r="L132" s="76">
        <v>7</v>
      </c>
      <c r="M132" s="76" t="s">
        <v>235</v>
      </c>
      <c r="BQ132" t="s">
        <v>21</v>
      </c>
      <c r="BR132">
        <v>1674</v>
      </c>
      <c r="BS132">
        <v>1</v>
      </c>
      <c r="BT132" s="2">
        <v>31937</v>
      </c>
      <c r="BU132" s="33">
        <f t="shared" ref="BU132:BU195" si="10">YEAR(BT132)</f>
        <v>1987</v>
      </c>
      <c r="BX132">
        <v>6</v>
      </c>
      <c r="BY132" t="s">
        <v>211</v>
      </c>
      <c r="BZ132">
        <v>1.9E-2</v>
      </c>
      <c r="CA132">
        <f t="shared" ref="CA132:CA195" si="11">BZ132*1000</f>
        <v>19</v>
      </c>
      <c r="CB132">
        <v>1</v>
      </c>
      <c r="CC132" t="s">
        <v>232</v>
      </c>
      <c r="CD132">
        <v>8</v>
      </c>
      <c r="CE132" t="s">
        <v>235</v>
      </c>
    </row>
    <row r="133" spans="1:83" x14ac:dyDescent="0.2">
      <c r="A133" s="76" t="s">
        <v>21</v>
      </c>
      <c r="B133" s="76">
        <v>1674</v>
      </c>
      <c r="C133" s="76">
        <v>1</v>
      </c>
      <c r="D133" s="77">
        <v>31699</v>
      </c>
      <c r="G133" s="257">
        <v>6</v>
      </c>
      <c r="H133" s="76" t="s">
        <v>211</v>
      </c>
      <c r="I133" s="76">
        <v>2.1999999999999999E-2</v>
      </c>
      <c r="J133" s="76">
        <v>1</v>
      </c>
      <c r="K133" s="76" t="s">
        <v>232</v>
      </c>
      <c r="L133" s="76">
        <v>7</v>
      </c>
      <c r="M133" s="76" t="s">
        <v>235</v>
      </c>
      <c r="BQ133" t="s">
        <v>21</v>
      </c>
      <c r="BR133">
        <v>1674</v>
      </c>
      <c r="BS133">
        <v>1</v>
      </c>
      <c r="BT133" s="2">
        <v>31937</v>
      </c>
      <c r="BU133" s="33">
        <f t="shared" si="10"/>
        <v>1987</v>
      </c>
      <c r="BX133">
        <v>8</v>
      </c>
      <c r="BY133" t="s">
        <v>211</v>
      </c>
      <c r="BZ133">
        <v>1.7000000000000001E-2</v>
      </c>
      <c r="CA133">
        <f t="shared" si="11"/>
        <v>17</v>
      </c>
      <c r="CB133">
        <v>1</v>
      </c>
      <c r="CC133" t="s">
        <v>232</v>
      </c>
      <c r="CD133">
        <v>8</v>
      </c>
      <c r="CE133" t="s">
        <v>235</v>
      </c>
    </row>
    <row r="134" spans="1:83" x14ac:dyDescent="0.2">
      <c r="A134" s="76" t="s">
        <v>21</v>
      </c>
      <c r="B134" s="76">
        <v>1674</v>
      </c>
      <c r="C134" s="76">
        <v>1</v>
      </c>
      <c r="D134" s="77">
        <v>31699</v>
      </c>
      <c r="G134" s="257">
        <v>8</v>
      </c>
      <c r="H134" s="76" t="s">
        <v>211</v>
      </c>
      <c r="I134" s="76">
        <v>0.02</v>
      </c>
      <c r="J134" s="76">
        <v>1</v>
      </c>
      <c r="K134" s="76" t="s">
        <v>232</v>
      </c>
      <c r="L134" s="76">
        <v>7</v>
      </c>
      <c r="M134" s="76" t="s">
        <v>235</v>
      </c>
      <c r="BQ134" t="s">
        <v>21</v>
      </c>
      <c r="BR134">
        <v>1674</v>
      </c>
      <c r="BS134">
        <v>1</v>
      </c>
      <c r="BT134" s="2">
        <v>31937</v>
      </c>
      <c r="BU134" s="33">
        <f t="shared" si="10"/>
        <v>1987</v>
      </c>
      <c r="BX134">
        <v>10</v>
      </c>
      <c r="BY134" t="s">
        <v>211</v>
      </c>
      <c r="BZ134">
        <v>2.1000000000000001E-2</v>
      </c>
      <c r="CA134">
        <f t="shared" si="11"/>
        <v>21</v>
      </c>
      <c r="CB134">
        <v>1</v>
      </c>
      <c r="CC134" t="s">
        <v>232</v>
      </c>
      <c r="CD134">
        <v>8</v>
      </c>
      <c r="CE134" t="s">
        <v>235</v>
      </c>
    </row>
    <row r="135" spans="1:83" x14ac:dyDescent="0.2">
      <c r="A135" s="76" t="s">
        <v>21</v>
      </c>
      <c r="B135" s="76">
        <v>1674</v>
      </c>
      <c r="C135" s="76">
        <v>1</v>
      </c>
      <c r="D135" s="77">
        <v>31699</v>
      </c>
      <c r="G135" s="257">
        <v>10</v>
      </c>
      <c r="H135" s="76" t="s">
        <v>211</v>
      </c>
      <c r="I135" s="76">
        <v>2.5999999999999999E-2</v>
      </c>
      <c r="J135" s="76">
        <v>1</v>
      </c>
      <c r="K135" s="76" t="s">
        <v>232</v>
      </c>
      <c r="L135" s="76">
        <v>7</v>
      </c>
      <c r="M135" s="76" t="s">
        <v>235</v>
      </c>
      <c r="BQ135" t="s">
        <v>21</v>
      </c>
      <c r="BR135">
        <v>1674</v>
      </c>
      <c r="BS135">
        <v>1</v>
      </c>
      <c r="BT135" s="2">
        <v>31937</v>
      </c>
      <c r="BU135" s="33">
        <f t="shared" si="10"/>
        <v>1987</v>
      </c>
      <c r="BX135">
        <v>12</v>
      </c>
      <c r="BY135" t="s">
        <v>211</v>
      </c>
      <c r="BZ135">
        <v>0.03</v>
      </c>
      <c r="CA135" s="212">
        <f t="shared" si="11"/>
        <v>30</v>
      </c>
      <c r="CB135">
        <v>1</v>
      </c>
      <c r="CC135" t="s">
        <v>232</v>
      </c>
      <c r="CD135">
        <v>8</v>
      </c>
      <c r="CE135" t="s">
        <v>235</v>
      </c>
    </row>
    <row r="136" spans="1:83" x14ac:dyDescent="0.2">
      <c r="A136" s="76" t="s">
        <v>21</v>
      </c>
      <c r="B136" s="76">
        <v>1674</v>
      </c>
      <c r="C136" s="76">
        <v>1</v>
      </c>
      <c r="D136" s="77">
        <v>31699</v>
      </c>
      <c r="G136" s="257">
        <v>12</v>
      </c>
      <c r="H136" s="76" t="s">
        <v>211</v>
      </c>
      <c r="I136" s="76">
        <v>2.1000000000000001E-2</v>
      </c>
      <c r="J136" s="76">
        <v>1</v>
      </c>
      <c r="K136" s="76" t="s">
        <v>232</v>
      </c>
      <c r="L136" s="76">
        <v>7</v>
      </c>
      <c r="M136" s="76" t="s">
        <v>235</v>
      </c>
      <c r="BQ136" t="s">
        <v>21</v>
      </c>
      <c r="BR136">
        <v>1674</v>
      </c>
      <c r="BS136">
        <v>1</v>
      </c>
      <c r="BT136" s="2">
        <v>31937</v>
      </c>
      <c r="BU136" s="33">
        <f t="shared" si="10"/>
        <v>1987</v>
      </c>
      <c r="BX136">
        <v>13</v>
      </c>
      <c r="BY136" t="s">
        <v>211</v>
      </c>
      <c r="BZ136">
        <v>3.1E-2</v>
      </c>
      <c r="CA136" s="212">
        <f t="shared" si="11"/>
        <v>31</v>
      </c>
      <c r="CB136">
        <v>1</v>
      </c>
      <c r="CC136" t="s">
        <v>232</v>
      </c>
      <c r="CD136">
        <v>8</v>
      </c>
      <c r="CE136" t="s">
        <v>235</v>
      </c>
    </row>
    <row r="137" spans="1:83" x14ac:dyDescent="0.2">
      <c r="A137" s="76" t="s">
        <v>21</v>
      </c>
      <c r="B137" s="76">
        <v>1674</v>
      </c>
      <c r="C137" s="76">
        <v>1</v>
      </c>
      <c r="D137" s="77">
        <v>31714</v>
      </c>
      <c r="G137" s="257">
        <v>1</v>
      </c>
      <c r="H137" s="76" t="s">
        <v>211</v>
      </c>
      <c r="I137" s="76">
        <v>0.02</v>
      </c>
      <c r="J137" s="76">
        <v>1</v>
      </c>
      <c r="K137" s="76" t="s">
        <v>232</v>
      </c>
      <c r="L137" s="76">
        <v>7</v>
      </c>
      <c r="M137" s="76" t="s">
        <v>235</v>
      </c>
      <c r="BQ137" t="s">
        <v>21</v>
      </c>
      <c r="BR137">
        <v>1674</v>
      </c>
      <c r="BS137">
        <v>1</v>
      </c>
      <c r="BT137" s="2">
        <v>31951</v>
      </c>
      <c r="BU137" s="33">
        <f t="shared" si="10"/>
        <v>1987</v>
      </c>
      <c r="BX137">
        <v>0</v>
      </c>
      <c r="BY137" t="s">
        <v>211</v>
      </c>
      <c r="BZ137">
        <v>1.4E-2</v>
      </c>
      <c r="CA137">
        <f t="shared" si="11"/>
        <v>14</v>
      </c>
      <c r="CB137">
        <v>1</v>
      </c>
      <c r="CC137" t="s">
        <v>232</v>
      </c>
      <c r="CD137">
        <v>8</v>
      </c>
      <c r="CE137" t="s">
        <v>235</v>
      </c>
    </row>
    <row r="138" spans="1:83" x14ac:dyDescent="0.2">
      <c r="A138" s="76" t="s">
        <v>21</v>
      </c>
      <c r="B138" s="76">
        <v>1674</v>
      </c>
      <c r="C138" s="76">
        <v>1</v>
      </c>
      <c r="D138" s="77">
        <v>31714</v>
      </c>
      <c r="G138" s="257">
        <v>2</v>
      </c>
      <c r="H138" s="76" t="s">
        <v>211</v>
      </c>
      <c r="I138" s="76">
        <v>2.5000000000000001E-2</v>
      </c>
      <c r="J138" s="76">
        <v>1</v>
      </c>
      <c r="K138" s="76" t="s">
        <v>232</v>
      </c>
      <c r="L138" s="76">
        <v>7</v>
      </c>
      <c r="M138" s="76" t="s">
        <v>235</v>
      </c>
      <c r="BQ138" t="s">
        <v>21</v>
      </c>
      <c r="BR138">
        <v>1674</v>
      </c>
      <c r="BS138">
        <v>1</v>
      </c>
      <c r="BT138" s="2">
        <v>31951</v>
      </c>
      <c r="BU138" s="33">
        <f t="shared" si="10"/>
        <v>1987</v>
      </c>
      <c r="BX138">
        <v>2</v>
      </c>
      <c r="BY138" t="s">
        <v>211</v>
      </c>
      <c r="BZ138">
        <v>1.6E-2</v>
      </c>
      <c r="CA138">
        <f t="shared" si="11"/>
        <v>16</v>
      </c>
      <c r="CB138">
        <v>1</v>
      </c>
      <c r="CC138" t="s">
        <v>232</v>
      </c>
      <c r="CD138">
        <v>8</v>
      </c>
      <c r="CE138" t="s">
        <v>235</v>
      </c>
    </row>
    <row r="139" spans="1:83" x14ac:dyDescent="0.2">
      <c r="A139" s="76" t="s">
        <v>21</v>
      </c>
      <c r="B139" s="76">
        <v>1674</v>
      </c>
      <c r="C139" s="76">
        <v>1</v>
      </c>
      <c r="D139" s="77">
        <v>31714</v>
      </c>
      <c r="G139" s="257">
        <v>4</v>
      </c>
      <c r="H139" s="76" t="s">
        <v>211</v>
      </c>
      <c r="I139" s="76">
        <v>2.1999999999999999E-2</v>
      </c>
      <c r="J139" s="76">
        <v>1</v>
      </c>
      <c r="K139" s="76" t="s">
        <v>232</v>
      </c>
      <c r="L139" s="76">
        <v>7</v>
      </c>
      <c r="M139" s="76" t="s">
        <v>235</v>
      </c>
      <c r="BQ139" t="s">
        <v>21</v>
      </c>
      <c r="BR139">
        <v>1674</v>
      </c>
      <c r="BS139">
        <v>1</v>
      </c>
      <c r="BT139" s="2">
        <v>31951</v>
      </c>
      <c r="BU139" s="33">
        <f t="shared" si="10"/>
        <v>1987</v>
      </c>
      <c r="BX139">
        <v>4</v>
      </c>
      <c r="BY139" t="s">
        <v>211</v>
      </c>
      <c r="BZ139">
        <v>1.4999999999999999E-2</v>
      </c>
      <c r="CA139">
        <f t="shared" si="11"/>
        <v>15</v>
      </c>
      <c r="CB139">
        <v>1</v>
      </c>
      <c r="CC139" t="s">
        <v>232</v>
      </c>
      <c r="CD139">
        <v>8</v>
      </c>
      <c r="CE139" t="s">
        <v>235</v>
      </c>
    </row>
    <row r="140" spans="1:83" x14ac:dyDescent="0.2">
      <c r="A140" s="76" t="s">
        <v>21</v>
      </c>
      <c r="B140" s="76">
        <v>1674</v>
      </c>
      <c r="C140" s="76">
        <v>1</v>
      </c>
      <c r="D140" s="77">
        <v>31714</v>
      </c>
      <c r="G140" s="257">
        <v>6</v>
      </c>
      <c r="H140" s="76" t="s">
        <v>211</v>
      </c>
      <c r="I140" s="76">
        <v>1.9E-2</v>
      </c>
      <c r="J140" s="76">
        <v>1</v>
      </c>
      <c r="K140" s="76" t="s">
        <v>232</v>
      </c>
      <c r="L140" s="76">
        <v>7</v>
      </c>
      <c r="M140" s="76" t="s">
        <v>235</v>
      </c>
      <c r="BQ140" t="s">
        <v>21</v>
      </c>
      <c r="BR140">
        <v>1674</v>
      </c>
      <c r="BS140">
        <v>1</v>
      </c>
      <c r="BT140" s="2">
        <v>31951</v>
      </c>
      <c r="BU140" s="33">
        <f t="shared" si="10"/>
        <v>1987</v>
      </c>
      <c r="BX140">
        <v>6</v>
      </c>
      <c r="BY140" t="s">
        <v>211</v>
      </c>
      <c r="BZ140">
        <v>2.5000000000000001E-2</v>
      </c>
      <c r="CA140">
        <f t="shared" si="11"/>
        <v>25</v>
      </c>
      <c r="CB140">
        <v>1</v>
      </c>
      <c r="CC140" t="s">
        <v>232</v>
      </c>
      <c r="CD140">
        <v>8</v>
      </c>
      <c r="CE140" t="s">
        <v>235</v>
      </c>
    </row>
    <row r="141" spans="1:83" x14ac:dyDescent="0.2">
      <c r="A141" s="76" t="s">
        <v>21</v>
      </c>
      <c r="B141" s="76">
        <v>1674</v>
      </c>
      <c r="C141" s="76">
        <v>1</v>
      </c>
      <c r="D141" s="77">
        <v>31714</v>
      </c>
      <c r="G141" s="257">
        <v>8</v>
      </c>
      <c r="H141" s="76" t="s">
        <v>211</v>
      </c>
      <c r="I141" s="76">
        <v>0.02</v>
      </c>
      <c r="J141" s="76">
        <v>1</v>
      </c>
      <c r="K141" s="76" t="s">
        <v>232</v>
      </c>
      <c r="L141" s="76">
        <v>7</v>
      </c>
      <c r="M141" s="76" t="s">
        <v>235</v>
      </c>
      <c r="BQ141" t="s">
        <v>21</v>
      </c>
      <c r="BR141">
        <v>1674</v>
      </c>
      <c r="BS141">
        <v>1</v>
      </c>
      <c r="BT141" s="2">
        <v>31951</v>
      </c>
      <c r="BU141" s="33">
        <f t="shared" si="10"/>
        <v>1987</v>
      </c>
      <c r="BX141">
        <v>8</v>
      </c>
      <c r="BY141" t="s">
        <v>211</v>
      </c>
      <c r="BZ141">
        <v>2.8000000000000001E-2</v>
      </c>
      <c r="CA141">
        <f t="shared" si="11"/>
        <v>28</v>
      </c>
      <c r="CB141">
        <v>1</v>
      </c>
      <c r="CC141" t="s">
        <v>232</v>
      </c>
      <c r="CD141">
        <v>8</v>
      </c>
      <c r="CE141" t="s">
        <v>235</v>
      </c>
    </row>
    <row r="142" spans="1:83" x14ac:dyDescent="0.2">
      <c r="A142" s="76" t="s">
        <v>21</v>
      </c>
      <c r="B142" s="76">
        <v>1674</v>
      </c>
      <c r="C142" s="76">
        <v>1</v>
      </c>
      <c r="D142" s="77">
        <v>31714</v>
      </c>
      <c r="G142" s="257">
        <v>10</v>
      </c>
      <c r="H142" s="76" t="s">
        <v>211</v>
      </c>
      <c r="I142" s="76">
        <v>2.1000000000000001E-2</v>
      </c>
      <c r="J142" s="76">
        <v>1</v>
      </c>
      <c r="K142" s="76" t="s">
        <v>232</v>
      </c>
      <c r="L142" s="76">
        <v>7</v>
      </c>
      <c r="M142" s="76" t="s">
        <v>235</v>
      </c>
      <c r="BQ142" t="s">
        <v>21</v>
      </c>
      <c r="BR142">
        <v>1674</v>
      </c>
      <c r="BS142">
        <v>1</v>
      </c>
      <c r="BT142" s="2">
        <v>31951</v>
      </c>
      <c r="BU142" s="33">
        <f t="shared" si="10"/>
        <v>1987</v>
      </c>
      <c r="BX142">
        <v>10</v>
      </c>
      <c r="BY142" t="s">
        <v>211</v>
      </c>
      <c r="BZ142">
        <v>3.1E-2</v>
      </c>
      <c r="CA142" s="212">
        <f t="shared" si="11"/>
        <v>31</v>
      </c>
      <c r="CB142">
        <v>1</v>
      </c>
      <c r="CC142" t="s">
        <v>232</v>
      </c>
      <c r="CD142">
        <v>8</v>
      </c>
      <c r="CE142" t="s">
        <v>235</v>
      </c>
    </row>
    <row r="143" spans="1:83" x14ac:dyDescent="0.2">
      <c r="A143" s="76" t="s">
        <v>21</v>
      </c>
      <c r="B143" s="76">
        <v>1674</v>
      </c>
      <c r="C143" s="76">
        <v>1</v>
      </c>
      <c r="D143" s="77">
        <v>31714</v>
      </c>
      <c r="G143" s="257">
        <v>13</v>
      </c>
      <c r="H143" s="76" t="s">
        <v>211</v>
      </c>
      <c r="I143" s="76">
        <v>2.1000000000000001E-2</v>
      </c>
      <c r="J143" s="76">
        <v>1</v>
      </c>
      <c r="K143" s="76" t="s">
        <v>232</v>
      </c>
      <c r="L143" s="76">
        <v>7</v>
      </c>
      <c r="M143" s="76" t="s">
        <v>235</v>
      </c>
      <c r="BQ143" t="s">
        <v>21</v>
      </c>
      <c r="BR143">
        <v>1674</v>
      </c>
      <c r="BS143">
        <v>1</v>
      </c>
      <c r="BT143" s="2">
        <v>31951</v>
      </c>
      <c r="BU143" s="33">
        <f t="shared" si="10"/>
        <v>1987</v>
      </c>
      <c r="BX143">
        <v>12</v>
      </c>
      <c r="BY143" t="s">
        <v>211</v>
      </c>
      <c r="BZ143">
        <v>3.6999999999999998E-2</v>
      </c>
      <c r="CA143" s="212">
        <f t="shared" si="11"/>
        <v>37</v>
      </c>
      <c r="CB143">
        <v>1</v>
      </c>
      <c r="CC143" t="s">
        <v>232</v>
      </c>
      <c r="CD143">
        <v>8</v>
      </c>
      <c r="CE143" t="s">
        <v>235</v>
      </c>
    </row>
    <row r="144" spans="1:83" x14ac:dyDescent="0.2">
      <c r="A144" s="76" t="s">
        <v>21</v>
      </c>
      <c r="B144" s="76">
        <v>1674</v>
      </c>
      <c r="C144" s="76">
        <v>1</v>
      </c>
      <c r="D144" s="77">
        <v>31834</v>
      </c>
      <c r="G144" s="257">
        <v>1</v>
      </c>
      <c r="H144" s="76" t="s">
        <v>211</v>
      </c>
      <c r="I144" s="76">
        <v>1.2E-2</v>
      </c>
      <c r="J144" s="76">
        <v>1</v>
      </c>
      <c r="K144" s="76" t="s">
        <v>232</v>
      </c>
      <c r="L144" s="76">
        <v>8</v>
      </c>
      <c r="M144" s="76" t="s">
        <v>235</v>
      </c>
      <c r="BQ144" t="s">
        <v>21</v>
      </c>
      <c r="BR144">
        <v>1674</v>
      </c>
      <c r="BS144">
        <v>1</v>
      </c>
      <c r="BT144" s="2">
        <v>31951</v>
      </c>
      <c r="BU144" s="33">
        <f t="shared" si="10"/>
        <v>1987</v>
      </c>
      <c r="BX144">
        <v>14</v>
      </c>
      <c r="BY144" t="s">
        <v>211</v>
      </c>
      <c r="BZ144">
        <v>5.6000000000000001E-2</v>
      </c>
      <c r="CA144" s="212">
        <f t="shared" si="11"/>
        <v>56</v>
      </c>
      <c r="CB144">
        <v>1</v>
      </c>
      <c r="CC144" t="s">
        <v>232</v>
      </c>
      <c r="CD144">
        <v>8</v>
      </c>
      <c r="CE144" t="s">
        <v>235</v>
      </c>
    </row>
    <row r="145" spans="1:83" x14ac:dyDescent="0.2">
      <c r="A145" s="76" t="s">
        <v>21</v>
      </c>
      <c r="B145" s="76">
        <v>1674</v>
      </c>
      <c r="C145" s="76">
        <v>1</v>
      </c>
      <c r="D145" s="77">
        <v>31834</v>
      </c>
      <c r="G145" s="257">
        <v>2</v>
      </c>
      <c r="H145" s="76" t="s">
        <v>211</v>
      </c>
      <c r="I145" s="76">
        <v>0.01</v>
      </c>
      <c r="J145" s="76">
        <v>1</v>
      </c>
      <c r="K145" s="76" t="s">
        <v>232</v>
      </c>
      <c r="L145" s="76">
        <v>8</v>
      </c>
      <c r="M145" s="76" t="s">
        <v>235</v>
      </c>
      <c r="BQ145" t="s">
        <v>21</v>
      </c>
      <c r="BR145">
        <v>1674</v>
      </c>
      <c r="BS145">
        <v>1</v>
      </c>
      <c r="BT145" s="2">
        <v>31972</v>
      </c>
      <c r="BU145" s="33">
        <f t="shared" si="10"/>
        <v>1987</v>
      </c>
      <c r="BX145">
        <v>0</v>
      </c>
      <c r="BY145" t="s">
        <v>211</v>
      </c>
      <c r="BZ145">
        <v>1.7999999999999999E-2</v>
      </c>
      <c r="CA145">
        <f t="shared" si="11"/>
        <v>18</v>
      </c>
      <c r="CB145">
        <v>1</v>
      </c>
      <c r="CC145" t="s">
        <v>232</v>
      </c>
      <c r="CD145">
        <v>8</v>
      </c>
      <c r="CE145" t="s">
        <v>235</v>
      </c>
    </row>
    <row r="146" spans="1:83" x14ac:dyDescent="0.2">
      <c r="A146" s="76" t="s">
        <v>21</v>
      </c>
      <c r="B146" s="76">
        <v>1674</v>
      </c>
      <c r="C146" s="76">
        <v>1</v>
      </c>
      <c r="D146" s="77">
        <v>31834</v>
      </c>
      <c r="G146" s="257">
        <v>4</v>
      </c>
      <c r="H146" s="76" t="s">
        <v>211</v>
      </c>
      <c r="I146" s="76">
        <v>8.0000000000000002E-3</v>
      </c>
      <c r="J146" s="76">
        <v>1</v>
      </c>
      <c r="K146" s="76" t="s">
        <v>232</v>
      </c>
      <c r="L146" s="76">
        <v>8</v>
      </c>
      <c r="M146" s="76" t="s">
        <v>235</v>
      </c>
      <c r="BQ146" t="s">
        <v>21</v>
      </c>
      <c r="BR146">
        <v>1674</v>
      </c>
      <c r="BS146">
        <v>1</v>
      </c>
      <c r="BT146" s="2">
        <v>31972</v>
      </c>
      <c r="BU146" s="33">
        <f t="shared" si="10"/>
        <v>1987</v>
      </c>
      <c r="BX146">
        <v>2</v>
      </c>
      <c r="BY146" t="s">
        <v>211</v>
      </c>
      <c r="BZ146">
        <v>1.9E-2</v>
      </c>
      <c r="CA146">
        <f t="shared" si="11"/>
        <v>19</v>
      </c>
      <c r="CB146">
        <v>1</v>
      </c>
      <c r="CC146" t="s">
        <v>232</v>
      </c>
      <c r="CD146">
        <v>8</v>
      </c>
      <c r="CE146" t="s">
        <v>235</v>
      </c>
    </row>
    <row r="147" spans="1:83" x14ac:dyDescent="0.2">
      <c r="A147" s="76" t="s">
        <v>21</v>
      </c>
      <c r="B147" s="76">
        <v>1674</v>
      </c>
      <c r="C147" s="76">
        <v>1</v>
      </c>
      <c r="D147" s="77">
        <v>31834</v>
      </c>
      <c r="G147" s="257">
        <v>6</v>
      </c>
      <c r="H147" s="76" t="s">
        <v>211</v>
      </c>
      <c r="I147" s="76">
        <v>8.9999999999999993E-3</v>
      </c>
      <c r="J147" s="76">
        <v>1</v>
      </c>
      <c r="K147" s="76" t="s">
        <v>232</v>
      </c>
      <c r="L147" s="76">
        <v>8</v>
      </c>
      <c r="M147" s="76" t="s">
        <v>235</v>
      </c>
      <c r="BQ147" t="s">
        <v>21</v>
      </c>
      <c r="BR147">
        <v>1674</v>
      </c>
      <c r="BS147">
        <v>1</v>
      </c>
      <c r="BT147" s="2">
        <v>31972</v>
      </c>
      <c r="BU147" s="33">
        <f t="shared" si="10"/>
        <v>1987</v>
      </c>
      <c r="BX147">
        <v>4</v>
      </c>
      <c r="BY147" t="s">
        <v>211</v>
      </c>
      <c r="BZ147">
        <v>3.2000000000000001E-2</v>
      </c>
      <c r="CA147" s="212">
        <f t="shared" si="11"/>
        <v>32</v>
      </c>
      <c r="CB147">
        <v>1</v>
      </c>
      <c r="CC147" t="s">
        <v>232</v>
      </c>
      <c r="CD147">
        <v>8</v>
      </c>
      <c r="CE147" t="s">
        <v>235</v>
      </c>
    </row>
    <row r="148" spans="1:83" x14ac:dyDescent="0.2">
      <c r="A148" s="76" t="s">
        <v>21</v>
      </c>
      <c r="B148" s="76">
        <v>1674</v>
      </c>
      <c r="C148" s="76">
        <v>1</v>
      </c>
      <c r="D148" s="77">
        <v>31834</v>
      </c>
      <c r="G148" s="257">
        <v>8</v>
      </c>
      <c r="H148" s="76" t="s">
        <v>211</v>
      </c>
      <c r="I148" s="76">
        <v>8.0000000000000002E-3</v>
      </c>
      <c r="J148" s="76">
        <v>1</v>
      </c>
      <c r="K148" s="76" t="s">
        <v>232</v>
      </c>
      <c r="L148" s="76">
        <v>8</v>
      </c>
      <c r="M148" s="76" t="s">
        <v>235</v>
      </c>
      <c r="BQ148" t="s">
        <v>21</v>
      </c>
      <c r="BR148">
        <v>1674</v>
      </c>
      <c r="BS148">
        <v>1</v>
      </c>
      <c r="BT148" s="2">
        <v>31972</v>
      </c>
      <c r="BU148" s="33">
        <f t="shared" si="10"/>
        <v>1987</v>
      </c>
      <c r="BX148">
        <v>6</v>
      </c>
      <c r="BY148" t="s">
        <v>211</v>
      </c>
      <c r="BZ148">
        <v>3.5000000000000003E-2</v>
      </c>
      <c r="CA148" s="212">
        <f t="shared" si="11"/>
        <v>35</v>
      </c>
      <c r="CB148">
        <v>1</v>
      </c>
      <c r="CC148" t="s">
        <v>232</v>
      </c>
      <c r="CD148">
        <v>8</v>
      </c>
      <c r="CE148" t="s">
        <v>235</v>
      </c>
    </row>
    <row r="149" spans="1:83" x14ac:dyDescent="0.2">
      <c r="A149" s="76" t="s">
        <v>21</v>
      </c>
      <c r="B149" s="76">
        <v>1674</v>
      </c>
      <c r="C149" s="76">
        <v>1</v>
      </c>
      <c r="D149" s="77">
        <v>31834</v>
      </c>
      <c r="G149" s="257">
        <v>10</v>
      </c>
      <c r="H149" s="76" t="s">
        <v>211</v>
      </c>
      <c r="I149" s="76">
        <v>1.7000000000000001E-2</v>
      </c>
      <c r="J149" s="76">
        <v>1</v>
      </c>
      <c r="K149" s="76" t="s">
        <v>232</v>
      </c>
      <c r="L149" s="76">
        <v>8</v>
      </c>
      <c r="M149" s="76" t="s">
        <v>235</v>
      </c>
      <c r="BQ149" t="s">
        <v>21</v>
      </c>
      <c r="BR149">
        <v>1674</v>
      </c>
      <c r="BS149">
        <v>1</v>
      </c>
      <c r="BT149" s="2">
        <v>31972</v>
      </c>
      <c r="BU149" s="33">
        <f t="shared" si="10"/>
        <v>1987</v>
      </c>
      <c r="BX149">
        <v>8</v>
      </c>
      <c r="BY149" t="s">
        <v>211</v>
      </c>
      <c r="BZ149">
        <v>3.5999999999999997E-2</v>
      </c>
      <c r="CA149" s="212">
        <f t="shared" si="11"/>
        <v>36</v>
      </c>
      <c r="CB149">
        <v>1</v>
      </c>
      <c r="CC149" t="s">
        <v>232</v>
      </c>
      <c r="CD149">
        <v>8</v>
      </c>
      <c r="CE149" t="s">
        <v>235</v>
      </c>
    </row>
    <row r="150" spans="1:83" x14ac:dyDescent="0.2">
      <c r="A150" s="76" t="s">
        <v>21</v>
      </c>
      <c r="B150" s="76">
        <v>1674</v>
      </c>
      <c r="C150" s="76">
        <v>1</v>
      </c>
      <c r="D150" s="77">
        <v>31834</v>
      </c>
      <c r="G150" s="257">
        <v>12</v>
      </c>
      <c r="H150" s="76" t="s">
        <v>211</v>
      </c>
      <c r="I150" s="76">
        <v>2.8000000000000001E-2</v>
      </c>
      <c r="J150" s="76">
        <v>1</v>
      </c>
      <c r="K150" s="76" t="s">
        <v>232</v>
      </c>
      <c r="L150" s="76">
        <v>8</v>
      </c>
      <c r="M150" s="76" t="s">
        <v>235</v>
      </c>
      <c r="BQ150" t="s">
        <v>21</v>
      </c>
      <c r="BR150">
        <v>1674</v>
      </c>
      <c r="BS150">
        <v>1</v>
      </c>
      <c r="BT150" s="2">
        <v>31972</v>
      </c>
      <c r="BU150" s="33">
        <f t="shared" si="10"/>
        <v>1987</v>
      </c>
      <c r="BX150">
        <v>10</v>
      </c>
      <c r="BY150" t="s">
        <v>211</v>
      </c>
      <c r="BZ150">
        <v>3.9E-2</v>
      </c>
      <c r="CA150" s="212">
        <f t="shared" si="11"/>
        <v>39</v>
      </c>
      <c r="CB150">
        <v>1</v>
      </c>
      <c r="CC150" t="s">
        <v>232</v>
      </c>
      <c r="CD150">
        <v>8</v>
      </c>
      <c r="CE150" t="s">
        <v>235</v>
      </c>
    </row>
    <row r="151" spans="1:83" x14ac:dyDescent="0.2">
      <c r="A151" s="76" t="s">
        <v>21</v>
      </c>
      <c r="B151" s="76">
        <v>1674</v>
      </c>
      <c r="C151" s="76">
        <v>1</v>
      </c>
      <c r="D151" s="77">
        <v>31834</v>
      </c>
      <c r="G151" s="257">
        <v>13</v>
      </c>
      <c r="H151" s="76" t="s">
        <v>211</v>
      </c>
      <c r="I151" s="76">
        <v>5.7000000000000002E-2</v>
      </c>
      <c r="J151" s="76">
        <v>1</v>
      </c>
      <c r="K151" s="76" t="s">
        <v>232</v>
      </c>
      <c r="L151" s="76">
        <v>8</v>
      </c>
      <c r="M151" s="76" t="s">
        <v>235</v>
      </c>
      <c r="BQ151" t="s">
        <v>21</v>
      </c>
      <c r="BR151">
        <v>1674</v>
      </c>
      <c r="BS151">
        <v>1</v>
      </c>
      <c r="BT151" s="2">
        <v>31972</v>
      </c>
      <c r="BU151" s="33">
        <f t="shared" si="10"/>
        <v>1987</v>
      </c>
      <c r="BX151">
        <v>12</v>
      </c>
      <c r="BY151" t="s">
        <v>211</v>
      </c>
      <c r="BZ151">
        <v>3.6999999999999998E-2</v>
      </c>
      <c r="CA151" s="212">
        <f t="shared" si="11"/>
        <v>37</v>
      </c>
      <c r="CB151">
        <v>1</v>
      </c>
      <c r="CC151" t="s">
        <v>232</v>
      </c>
      <c r="CD151">
        <v>8</v>
      </c>
      <c r="CE151" t="s">
        <v>235</v>
      </c>
    </row>
    <row r="152" spans="1:83" x14ac:dyDescent="0.2">
      <c r="A152" s="76" t="s">
        <v>21</v>
      </c>
      <c r="B152" s="76">
        <v>1674</v>
      </c>
      <c r="C152" s="76">
        <v>1</v>
      </c>
      <c r="D152" s="77">
        <v>31906</v>
      </c>
      <c r="G152" s="257">
        <v>0</v>
      </c>
      <c r="H152" s="76" t="s">
        <v>211</v>
      </c>
      <c r="I152" s="76">
        <v>1.6E-2</v>
      </c>
      <c r="J152" s="76">
        <v>1</v>
      </c>
      <c r="K152" s="76" t="s">
        <v>232</v>
      </c>
      <c r="L152" s="76">
        <v>7</v>
      </c>
      <c r="M152" s="76" t="s">
        <v>235</v>
      </c>
      <c r="BQ152" t="s">
        <v>21</v>
      </c>
      <c r="BR152">
        <v>1674</v>
      </c>
      <c r="BS152">
        <v>1</v>
      </c>
      <c r="BT152" s="2">
        <v>31972</v>
      </c>
      <c r="BU152" s="33">
        <f t="shared" si="10"/>
        <v>1987</v>
      </c>
      <c r="BX152">
        <v>13</v>
      </c>
      <c r="BY152" t="s">
        <v>211</v>
      </c>
      <c r="BZ152">
        <v>3.5999999999999997E-2</v>
      </c>
      <c r="CA152" s="212">
        <f t="shared" si="11"/>
        <v>36</v>
      </c>
      <c r="CB152">
        <v>1</v>
      </c>
      <c r="CC152" t="s">
        <v>232</v>
      </c>
      <c r="CD152">
        <v>8</v>
      </c>
      <c r="CE152" t="s">
        <v>235</v>
      </c>
    </row>
    <row r="153" spans="1:83" x14ac:dyDescent="0.2">
      <c r="A153" s="76" t="s">
        <v>21</v>
      </c>
      <c r="B153" s="76">
        <v>1674</v>
      </c>
      <c r="C153" s="76">
        <v>1</v>
      </c>
      <c r="D153" s="77">
        <v>31906</v>
      </c>
      <c r="G153" s="257">
        <v>2</v>
      </c>
      <c r="H153" s="76" t="s">
        <v>211</v>
      </c>
      <c r="I153" s="76">
        <v>1.6E-2</v>
      </c>
      <c r="J153" s="76">
        <v>1</v>
      </c>
      <c r="K153" s="76" t="s">
        <v>232</v>
      </c>
      <c r="L153" s="76">
        <v>7</v>
      </c>
      <c r="M153" s="76" t="s">
        <v>235</v>
      </c>
      <c r="BQ153" t="s">
        <v>21</v>
      </c>
      <c r="BR153">
        <v>1674</v>
      </c>
      <c r="BS153">
        <v>1</v>
      </c>
      <c r="BT153" s="2">
        <v>31987</v>
      </c>
      <c r="BU153" s="33">
        <f t="shared" si="10"/>
        <v>1987</v>
      </c>
      <c r="BX153">
        <v>0</v>
      </c>
      <c r="BY153" t="s">
        <v>211</v>
      </c>
      <c r="BZ153">
        <v>1.9E-2</v>
      </c>
      <c r="CA153">
        <f t="shared" si="11"/>
        <v>19</v>
      </c>
      <c r="CB153">
        <v>1</v>
      </c>
      <c r="CC153" t="s">
        <v>232</v>
      </c>
      <c r="CD153">
        <v>8</v>
      </c>
      <c r="CE153" t="s">
        <v>235</v>
      </c>
    </row>
    <row r="154" spans="1:83" x14ac:dyDescent="0.2">
      <c r="A154" s="76" t="s">
        <v>21</v>
      </c>
      <c r="B154" s="76">
        <v>1674</v>
      </c>
      <c r="C154" s="76">
        <v>1</v>
      </c>
      <c r="D154" s="77">
        <v>31906</v>
      </c>
      <c r="G154" s="257">
        <v>4</v>
      </c>
      <c r="H154" s="76" t="s">
        <v>211</v>
      </c>
      <c r="I154" s="76">
        <v>1.4E-2</v>
      </c>
      <c r="J154" s="76">
        <v>1</v>
      </c>
      <c r="K154" s="76" t="s">
        <v>232</v>
      </c>
      <c r="L154" s="76">
        <v>7</v>
      </c>
      <c r="M154" s="76" t="s">
        <v>235</v>
      </c>
      <c r="BQ154" t="s">
        <v>21</v>
      </c>
      <c r="BR154">
        <v>1674</v>
      </c>
      <c r="BS154">
        <v>1</v>
      </c>
      <c r="BT154" s="2">
        <v>31987</v>
      </c>
      <c r="BU154" s="33">
        <f t="shared" si="10"/>
        <v>1987</v>
      </c>
      <c r="BX154">
        <v>2</v>
      </c>
      <c r="BY154" t="s">
        <v>211</v>
      </c>
      <c r="BZ154">
        <v>0.02</v>
      </c>
      <c r="CA154">
        <f t="shared" si="11"/>
        <v>20</v>
      </c>
      <c r="CB154">
        <v>1</v>
      </c>
      <c r="CC154" t="s">
        <v>232</v>
      </c>
      <c r="CD154">
        <v>8</v>
      </c>
      <c r="CE154" t="s">
        <v>235</v>
      </c>
    </row>
    <row r="155" spans="1:83" x14ac:dyDescent="0.2">
      <c r="A155" s="76" t="s">
        <v>21</v>
      </c>
      <c r="B155" s="76">
        <v>1674</v>
      </c>
      <c r="C155" s="76">
        <v>1</v>
      </c>
      <c r="D155" s="77">
        <v>31906</v>
      </c>
      <c r="G155" s="257">
        <v>6</v>
      </c>
      <c r="H155" s="76" t="s">
        <v>211</v>
      </c>
      <c r="I155" s="76">
        <v>1.6E-2</v>
      </c>
      <c r="J155" s="76">
        <v>1</v>
      </c>
      <c r="K155" s="76" t="s">
        <v>232</v>
      </c>
      <c r="L155" s="76">
        <v>7</v>
      </c>
      <c r="M155" s="76" t="s">
        <v>235</v>
      </c>
      <c r="BQ155" t="s">
        <v>21</v>
      </c>
      <c r="BR155">
        <v>1674</v>
      </c>
      <c r="BS155">
        <v>1</v>
      </c>
      <c r="BT155" s="2">
        <v>31987</v>
      </c>
      <c r="BU155" s="33">
        <f t="shared" si="10"/>
        <v>1987</v>
      </c>
      <c r="BX155">
        <v>4</v>
      </c>
      <c r="BY155" t="s">
        <v>211</v>
      </c>
      <c r="BZ155">
        <v>0.02</v>
      </c>
      <c r="CA155">
        <f t="shared" si="11"/>
        <v>20</v>
      </c>
      <c r="CB155">
        <v>1</v>
      </c>
      <c r="CC155" t="s">
        <v>232</v>
      </c>
      <c r="CD155">
        <v>8</v>
      </c>
      <c r="CE155" t="s">
        <v>235</v>
      </c>
    </row>
    <row r="156" spans="1:83" x14ac:dyDescent="0.2">
      <c r="A156" s="76" t="s">
        <v>21</v>
      </c>
      <c r="B156" s="76">
        <v>1674</v>
      </c>
      <c r="C156" s="76">
        <v>1</v>
      </c>
      <c r="D156" s="77">
        <v>31906</v>
      </c>
      <c r="G156" s="257">
        <v>8</v>
      </c>
      <c r="H156" s="76" t="s">
        <v>211</v>
      </c>
      <c r="I156" s="76">
        <v>1.4999999999999999E-2</v>
      </c>
      <c r="J156" s="76">
        <v>1</v>
      </c>
      <c r="K156" s="76" t="s">
        <v>232</v>
      </c>
      <c r="L156" s="76">
        <v>7</v>
      </c>
      <c r="M156" s="76" t="s">
        <v>235</v>
      </c>
      <c r="BQ156" t="s">
        <v>21</v>
      </c>
      <c r="BR156">
        <v>1674</v>
      </c>
      <c r="BS156">
        <v>1</v>
      </c>
      <c r="BT156" s="2">
        <v>31987</v>
      </c>
      <c r="BU156" s="33">
        <f t="shared" si="10"/>
        <v>1987</v>
      </c>
      <c r="BX156">
        <v>6</v>
      </c>
      <c r="BY156" t="s">
        <v>211</v>
      </c>
      <c r="BZ156">
        <v>1.7999999999999999E-2</v>
      </c>
      <c r="CA156">
        <f t="shared" si="11"/>
        <v>18</v>
      </c>
      <c r="CB156">
        <v>1</v>
      </c>
      <c r="CC156" t="s">
        <v>232</v>
      </c>
      <c r="CD156">
        <v>8</v>
      </c>
      <c r="CE156" t="s">
        <v>235</v>
      </c>
    </row>
    <row r="157" spans="1:83" x14ac:dyDescent="0.2">
      <c r="A157" s="76" t="s">
        <v>21</v>
      </c>
      <c r="B157" s="76">
        <v>1674</v>
      </c>
      <c r="C157" s="76">
        <v>1</v>
      </c>
      <c r="D157" s="77">
        <v>31906</v>
      </c>
      <c r="G157" s="257">
        <v>10</v>
      </c>
      <c r="H157" s="76" t="s">
        <v>211</v>
      </c>
      <c r="I157" s="76">
        <v>1.4E-2</v>
      </c>
      <c r="J157" s="76">
        <v>1</v>
      </c>
      <c r="K157" s="76" t="s">
        <v>232</v>
      </c>
      <c r="L157" s="76">
        <v>7</v>
      </c>
      <c r="M157" s="76" t="s">
        <v>235</v>
      </c>
      <c r="BQ157" t="s">
        <v>21</v>
      </c>
      <c r="BR157">
        <v>1674</v>
      </c>
      <c r="BS157">
        <v>1</v>
      </c>
      <c r="BT157" s="2">
        <v>31987</v>
      </c>
      <c r="BU157" s="33">
        <f t="shared" si="10"/>
        <v>1987</v>
      </c>
      <c r="BX157">
        <v>8</v>
      </c>
      <c r="BY157" t="s">
        <v>211</v>
      </c>
      <c r="BZ157">
        <v>2.3E-2</v>
      </c>
      <c r="CA157">
        <f t="shared" si="11"/>
        <v>23</v>
      </c>
      <c r="CB157">
        <v>1</v>
      </c>
      <c r="CC157" t="s">
        <v>232</v>
      </c>
      <c r="CD157">
        <v>8</v>
      </c>
      <c r="CE157" t="s">
        <v>235</v>
      </c>
    </row>
    <row r="158" spans="1:83" x14ac:dyDescent="0.2">
      <c r="A158" s="76" t="s">
        <v>21</v>
      </c>
      <c r="B158" s="76">
        <v>1674</v>
      </c>
      <c r="C158" s="76">
        <v>1</v>
      </c>
      <c r="D158" s="77">
        <v>31906</v>
      </c>
      <c r="G158" s="257">
        <v>11.5</v>
      </c>
      <c r="H158" s="76" t="s">
        <v>211</v>
      </c>
      <c r="I158" s="76">
        <v>1.6E-2</v>
      </c>
      <c r="J158" s="76">
        <v>1</v>
      </c>
      <c r="K158" s="76" t="s">
        <v>232</v>
      </c>
      <c r="L158" s="76">
        <v>7</v>
      </c>
      <c r="M158" s="76" t="s">
        <v>235</v>
      </c>
      <c r="BQ158" t="s">
        <v>21</v>
      </c>
      <c r="BR158">
        <v>1674</v>
      </c>
      <c r="BS158">
        <v>1</v>
      </c>
      <c r="BT158" s="2">
        <v>31987</v>
      </c>
      <c r="BU158" s="33">
        <f t="shared" si="10"/>
        <v>1987</v>
      </c>
      <c r="BX158">
        <v>10</v>
      </c>
      <c r="BY158" t="s">
        <v>211</v>
      </c>
      <c r="BZ158">
        <v>2.7E-2</v>
      </c>
      <c r="CA158">
        <f t="shared" si="11"/>
        <v>27</v>
      </c>
      <c r="CB158">
        <v>1</v>
      </c>
      <c r="CC158" t="s">
        <v>232</v>
      </c>
      <c r="CD158">
        <v>8</v>
      </c>
      <c r="CE158" t="s">
        <v>235</v>
      </c>
    </row>
    <row r="159" spans="1:83" x14ac:dyDescent="0.2">
      <c r="A159" s="76" t="s">
        <v>21</v>
      </c>
      <c r="B159" s="76">
        <v>1674</v>
      </c>
      <c r="C159" s="76">
        <v>1</v>
      </c>
      <c r="D159" s="77">
        <v>31925</v>
      </c>
      <c r="G159" s="257">
        <v>0</v>
      </c>
      <c r="H159" s="76" t="s">
        <v>211</v>
      </c>
      <c r="I159" s="76">
        <v>1.2999999999999999E-2</v>
      </c>
      <c r="J159" s="76">
        <v>1</v>
      </c>
      <c r="K159" s="76" t="s">
        <v>232</v>
      </c>
      <c r="L159" s="76">
        <v>7</v>
      </c>
      <c r="M159" s="76" t="s">
        <v>235</v>
      </c>
      <c r="BQ159" t="s">
        <v>21</v>
      </c>
      <c r="BR159">
        <v>1674</v>
      </c>
      <c r="BS159">
        <v>1</v>
      </c>
      <c r="BT159" s="2">
        <v>31987</v>
      </c>
      <c r="BU159" s="33">
        <f t="shared" si="10"/>
        <v>1987</v>
      </c>
      <c r="BX159">
        <v>12</v>
      </c>
      <c r="BY159" t="s">
        <v>211</v>
      </c>
      <c r="BZ159">
        <v>2.7E-2</v>
      </c>
      <c r="CA159">
        <f t="shared" si="11"/>
        <v>27</v>
      </c>
      <c r="CB159">
        <v>1</v>
      </c>
      <c r="CC159" t="s">
        <v>232</v>
      </c>
      <c r="CD159">
        <v>8</v>
      </c>
      <c r="CE159" t="s">
        <v>235</v>
      </c>
    </row>
    <row r="160" spans="1:83" x14ac:dyDescent="0.2">
      <c r="A160" s="76" t="s">
        <v>21</v>
      </c>
      <c r="B160" s="76">
        <v>1674</v>
      </c>
      <c r="C160" s="76">
        <v>1</v>
      </c>
      <c r="D160" s="77">
        <v>31925</v>
      </c>
      <c r="G160" s="257">
        <v>2</v>
      </c>
      <c r="H160" s="76" t="s">
        <v>211</v>
      </c>
      <c r="I160" s="76">
        <v>1.6E-2</v>
      </c>
      <c r="J160" s="76">
        <v>1</v>
      </c>
      <c r="K160" s="76" t="s">
        <v>232</v>
      </c>
      <c r="L160" s="76">
        <v>7</v>
      </c>
      <c r="M160" s="76" t="s">
        <v>235</v>
      </c>
      <c r="BQ160" t="s">
        <v>21</v>
      </c>
      <c r="BR160">
        <v>1674</v>
      </c>
      <c r="BS160">
        <v>1</v>
      </c>
      <c r="BT160" s="2">
        <v>31987</v>
      </c>
      <c r="BU160" s="33">
        <f t="shared" si="10"/>
        <v>1987</v>
      </c>
      <c r="BX160">
        <v>13</v>
      </c>
      <c r="BY160" t="s">
        <v>211</v>
      </c>
      <c r="BZ160">
        <v>3.3000000000000002E-2</v>
      </c>
      <c r="CA160">
        <f t="shared" si="11"/>
        <v>33</v>
      </c>
      <c r="CB160">
        <v>1</v>
      </c>
      <c r="CC160" t="s">
        <v>232</v>
      </c>
      <c r="CD160">
        <v>8</v>
      </c>
      <c r="CE160" t="s">
        <v>235</v>
      </c>
    </row>
    <row r="161" spans="1:83" x14ac:dyDescent="0.2">
      <c r="A161" s="76" t="s">
        <v>21</v>
      </c>
      <c r="B161" s="76">
        <v>1674</v>
      </c>
      <c r="C161" s="76">
        <v>1</v>
      </c>
      <c r="D161" s="77">
        <v>31925</v>
      </c>
      <c r="G161" s="257">
        <v>4</v>
      </c>
      <c r="H161" s="76" t="s">
        <v>211</v>
      </c>
      <c r="I161" s="76">
        <v>1.7000000000000001E-2</v>
      </c>
      <c r="J161" s="76">
        <v>1</v>
      </c>
      <c r="K161" s="76" t="s">
        <v>232</v>
      </c>
      <c r="L161" s="76">
        <v>7</v>
      </c>
      <c r="M161" s="76" t="s">
        <v>235</v>
      </c>
      <c r="BQ161" t="s">
        <v>21</v>
      </c>
      <c r="BR161">
        <v>1674</v>
      </c>
      <c r="BS161">
        <v>1</v>
      </c>
      <c r="BT161" s="2">
        <v>32002</v>
      </c>
      <c r="BU161" s="33">
        <f t="shared" si="10"/>
        <v>1987</v>
      </c>
      <c r="BX161">
        <v>0</v>
      </c>
      <c r="BY161" t="s">
        <v>211</v>
      </c>
      <c r="BZ161">
        <v>1.7000000000000001E-2</v>
      </c>
      <c r="CA161">
        <f t="shared" si="11"/>
        <v>17</v>
      </c>
      <c r="CB161">
        <v>1</v>
      </c>
      <c r="CC161" t="s">
        <v>232</v>
      </c>
      <c r="CD161">
        <v>8</v>
      </c>
      <c r="CE161" t="s">
        <v>235</v>
      </c>
    </row>
    <row r="162" spans="1:83" x14ac:dyDescent="0.2">
      <c r="A162" s="76" t="s">
        <v>21</v>
      </c>
      <c r="B162" s="76">
        <v>1674</v>
      </c>
      <c r="C162" s="76">
        <v>1</v>
      </c>
      <c r="D162" s="77">
        <v>31925</v>
      </c>
      <c r="G162" s="257">
        <v>6</v>
      </c>
      <c r="H162" s="76" t="s">
        <v>211</v>
      </c>
      <c r="I162" s="76">
        <v>1.6E-2</v>
      </c>
      <c r="J162" s="76">
        <v>1</v>
      </c>
      <c r="K162" s="76" t="s">
        <v>232</v>
      </c>
      <c r="L162" s="76">
        <v>7</v>
      </c>
      <c r="M162" s="76" t="s">
        <v>235</v>
      </c>
      <c r="BQ162" t="s">
        <v>21</v>
      </c>
      <c r="BR162">
        <v>1674</v>
      </c>
      <c r="BS162">
        <v>1</v>
      </c>
      <c r="BT162" s="2">
        <v>32002</v>
      </c>
      <c r="BU162" s="33">
        <f t="shared" si="10"/>
        <v>1987</v>
      </c>
      <c r="BX162">
        <v>2</v>
      </c>
      <c r="BY162" t="s">
        <v>211</v>
      </c>
      <c r="BZ162">
        <v>2.3E-2</v>
      </c>
      <c r="CA162">
        <f t="shared" si="11"/>
        <v>23</v>
      </c>
      <c r="CB162">
        <v>1</v>
      </c>
      <c r="CC162" t="s">
        <v>232</v>
      </c>
      <c r="CD162">
        <v>8</v>
      </c>
      <c r="CE162" t="s">
        <v>235</v>
      </c>
    </row>
    <row r="163" spans="1:83" x14ac:dyDescent="0.2">
      <c r="A163" s="76" t="s">
        <v>21</v>
      </c>
      <c r="B163" s="76">
        <v>1674</v>
      </c>
      <c r="C163" s="76">
        <v>1</v>
      </c>
      <c r="D163" s="77">
        <v>31925</v>
      </c>
      <c r="G163" s="257">
        <v>8</v>
      </c>
      <c r="H163" s="76" t="s">
        <v>211</v>
      </c>
      <c r="I163" s="76">
        <v>0.02</v>
      </c>
      <c r="J163" s="76">
        <v>1</v>
      </c>
      <c r="K163" s="76" t="s">
        <v>232</v>
      </c>
      <c r="L163" s="76">
        <v>7</v>
      </c>
      <c r="M163" s="76" t="s">
        <v>235</v>
      </c>
      <c r="BQ163" t="s">
        <v>21</v>
      </c>
      <c r="BR163">
        <v>1674</v>
      </c>
      <c r="BS163">
        <v>1</v>
      </c>
      <c r="BT163" s="2">
        <v>32002</v>
      </c>
      <c r="BU163" s="33">
        <f t="shared" si="10"/>
        <v>1987</v>
      </c>
      <c r="BX163">
        <v>4</v>
      </c>
      <c r="BY163" t="s">
        <v>211</v>
      </c>
      <c r="BZ163">
        <v>1.9E-2</v>
      </c>
      <c r="CA163">
        <f t="shared" si="11"/>
        <v>19</v>
      </c>
      <c r="CB163">
        <v>1</v>
      </c>
      <c r="CC163" t="s">
        <v>232</v>
      </c>
      <c r="CD163">
        <v>8</v>
      </c>
      <c r="CE163" t="s">
        <v>235</v>
      </c>
    </row>
    <row r="164" spans="1:83" x14ac:dyDescent="0.2">
      <c r="A164" s="76" t="s">
        <v>21</v>
      </c>
      <c r="B164" s="76">
        <v>1674</v>
      </c>
      <c r="C164" s="76">
        <v>1</v>
      </c>
      <c r="D164" s="77">
        <v>31925</v>
      </c>
      <c r="G164" s="257">
        <v>10</v>
      </c>
      <c r="H164" s="76" t="s">
        <v>211</v>
      </c>
      <c r="I164" s="76">
        <v>2.5999999999999999E-2</v>
      </c>
      <c r="J164" s="76">
        <v>1</v>
      </c>
      <c r="K164" s="76" t="s">
        <v>232</v>
      </c>
      <c r="L164" s="76">
        <v>7</v>
      </c>
      <c r="M164" s="76" t="s">
        <v>235</v>
      </c>
      <c r="BQ164" t="s">
        <v>21</v>
      </c>
      <c r="BR164">
        <v>1674</v>
      </c>
      <c r="BS164">
        <v>1</v>
      </c>
      <c r="BT164" s="2">
        <v>32002</v>
      </c>
      <c r="BU164" s="33">
        <f t="shared" si="10"/>
        <v>1987</v>
      </c>
      <c r="BX164">
        <v>6</v>
      </c>
      <c r="BY164" t="s">
        <v>211</v>
      </c>
      <c r="BZ164">
        <v>1.7999999999999999E-2</v>
      </c>
      <c r="CA164">
        <f t="shared" si="11"/>
        <v>18</v>
      </c>
      <c r="CB164">
        <v>1</v>
      </c>
      <c r="CC164" t="s">
        <v>232</v>
      </c>
      <c r="CD164">
        <v>8</v>
      </c>
      <c r="CE164" t="s">
        <v>235</v>
      </c>
    </row>
    <row r="165" spans="1:83" x14ac:dyDescent="0.2">
      <c r="A165" s="76" t="s">
        <v>21</v>
      </c>
      <c r="B165" s="76">
        <v>1674</v>
      </c>
      <c r="C165" s="76">
        <v>1</v>
      </c>
      <c r="D165" s="77">
        <v>31925</v>
      </c>
      <c r="G165" s="257">
        <v>12</v>
      </c>
      <c r="H165" s="76" t="s">
        <v>211</v>
      </c>
      <c r="I165" s="76">
        <v>2.1000000000000001E-2</v>
      </c>
      <c r="J165" s="76">
        <v>1</v>
      </c>
      <c r="K165" s="76" t="s">
        <v>232</v>
      </c>
      <c r="L165" s="76">
        <v>7</v>
      </c>
      <c r="M165" s="76" t="s">
        <v>235</v>
      </c>
      <c r="BQ165" t="s">
        <v>21</v>
      </c>
      <c r="BR165">
        <v>1674</v>
      </c>
      <c r="BS165">
        <v>1</v>
      </c>
      <c r="BT165" s="2">
        <v>32002</v>
      </c>
      <c r="BU165" s="33">
        <f t="shared" si="10"/>
        <v>1987</v>
      </c>
      <c r="BX165">
        <v>8</v>
      </c>
      <c r="BY165" t="s">
        <v>211</v>
      </c>
      <c r="BZ165">
        <v>1.7000000000000001E-2</v>
      </c>
      <c r="CA165">
        <f t="shared" si="11"/>
        <v>17</v>
      </c>
      <c r="CB165">
        <v>1</v>
      </c>
      <c r="CC165" t="s">
        <v>232</v>
      </c>
      <c r="CD165">
        <v>8</v>
      </c>
      <c r="CE165" t="s">
        <v>235</v>
      </c>
    </row>
    <row r="166" spans="1:83" x14ac:dyDescent="0.2">
      <c r="A166" s="76" t="s">
        <v>21</v>
      </c>
      <c r="B166" s="76">
        <v>1674</v>
      </c>
      <c r="C166" s="76">
        <v>1</v>
      </c>
      <c r="D166" s="77">
        <v>31937</v>
      </c>
      <c r="G166" s="257">
        <v>0</v>
      </c>
      <c r="H166" s="76" t="s">
        <v>211</v>
      </c>
      <c r="I166" s="76">
        <v>1.4999999999999999E-2</v>
      </c>
      <c r="J166" s="76">
        <v>1</v>
      </c>
      <c r="K166" s="76" t="s">
        <v>232</v>
      </c>
      <c r="L166" s="76">
        <v>8</v>
      </c>
      <c r="M166" s="76" t="s">
        <v>235</v>
      </c>
      <c r="BQ166" t="s">
        <v>21</v>
      </c>
      <c r="BR166">
        <v>1674</v>
      </c>
      <c r="BS166">
        <v>1</v>
      </c>
      <c r="BT166" s="2">
        <v>32002</v>
      </c>
      <c r="BU166" s="33">
        <f t="shared" si="10"/>
        <v>1987</v>
      </c>
      <c r="BX166">
        <v>10</v>
      </c>
      <c r="BY166" t="s">
        <v>211</v>
      </c>
      <c r="BZ166">
        <v>1.6E-2</v>
      </c>
      <c r="CA166">
        <f t="shared" si="11"/>
        <v>16</v>
      </c>
      <c r="CB166">
        <v>1</v>
      </c>
      <c r="CC166" t="s">
        <v>232</v>
      </c>
      <c r="CD166">
        <v>8</v>
      </c>
      <c r="CE166" t="s">
        <v>235</v>
      </c>
    </row>
    <row r="167" spans="1:83" x14ac:dyDescent="0.2">
      <c r="A167" s="76" t="s">
        <v>21</v>
      </c>
      <c r="B167" s="76">
        <v>1674</v>
      </c>
      <c r="C167" s="76">
        <v>1</v>
      </c>
      <c r="D167" s="77">
        <v>31937</v>
      </c>
      <c r="G167" s="257">
        <v>2</v>
      </c>
      <c r="H167" s="76" t="s">
        <v>211</v>
      </c>
      <c r="I167" s="76">
        <v>1.4999999999999999E-2</v>
      </c>
      <c r="J167" s="76">
        <v>1</v>
      </c>
      <c r="K167" s="76" t="s">
        <v>232</v>
      </c>
      <c r="L167" s="76">
        <v>8</v>
      </c>
      <c r="M167" s="76" t="s">
        <v>235</v>
      </c>
      <c r="BQ167" t="s">
        <v>21</v>
      </c>
      <c r="BR167">
        <v>1674</v>
      </c>
      <c r="BS167">
        <v>1</v>
      </c>
      <c r="BT167" s="2">
        <v>32002</v>
      </c>
      <c r="BU167" s="33">
        <f t="shared" si="10"/>
        <v>1987</v>
      </c>
      <c r="BX167">
        <v>12</v>
      </c>
      <c r="BY167" t="s">
        <v>211</v>
      </c>
      <c r="BZ167">
        <v>2.4E-2</v>
      </c>
      <c r="CA167">
        <f t="shared" si="11"/>
        <v>24</v>
      </c>
      <c r="CB167">
        <v>1</v>
      </c>
      <c r="CC167" t="s">
        <v>232</v>
      </c>
      <c r="CD167">
        <v>8</v>
      </c>
      <c r="CE167" t="s">
        <v>235</v>
      </c>
    </row>
    <row r="168" spans="1:83" x14ac:dyDescent="0.2">
      <c r="A168" s="76" t="s">
        <v>21</v>
      </c>
      <c r="B168" s="76">
        <v>1674</v>
      </c>
      <c r="C168" s="76">
        <v>1</v>
      </c>
      <c r="D168" s="77">
        <v>31937</v>
      </c>
      <c r="G168" s="257">
        <v>4</v>
      </c>
      <c r="H168" s="76" t="s">
        <v>211</v>
      </c>
      <c r="I168" s="76">
        <v>1.4999999999999999E-2</v>
      </c>
      <c r="J168" s="76">
        <v>1</v>
      </c>
      <c r="K168" s="76" t="s">
        <v>232</v>
      </c>
      <c r="L168" s="76">
        <v>8</v>
      </c>
      <c r="M168" s="76" t="s">
        <v>235</v>
      </c>
      <c r="BQ168" t="s">
        <v>21</v>
      </c>
      <c r="BR168">
        <v>1674</v>
      </c>
      <c r="BS168">
        <v>1</v>
      </c>
      <c r="BT168" s="2">
        <v>32002</v>
      </c>
      <c r="BU168" s="33">
        <f t="shared" si="10"/>
        <v>1987</v>
      </c>
      <c r="BX168">
        <v>13</v>
      </c>
      <c r="BY168" t="s">
        <v>211</v>
      </c>
      <c r="BZ168">
        <v>3.3000000000000002E-2</v>
      </c>
      <c r="CA168">
        <f t="shared" si="11"/>
        <v>33</v>
      </c>
      <c r="CB168">
        <v>1</v>
      </c>
      <c r="CC168" t="s">
        <v>232</v>
      </c>
      <c r="CD168">
        <v>8</v>
      </c>
      <c r="CE168" t="s">
        <v>235</v>
      </c>
    </row>
    <row r="169" spans="1:83" x14ac:dyDescent="0.2">
      <c r="A169" s="76" t="s">
        <v>21</v>
      </c>
      <c r="B169" s="76">
        <v>1674</v>
      </c>
      <c r="C169" s="76">
        <v>1</v>
      </c>
      <c r="D169" s="77">
        <v>31937</v>
      </c>
      <c r="G169" s="257">
        <v>6</v>
      </c>
      <c r="H169" s="76" t="s">
        <v>211</v>
      </c>
      <c r="I169" s="76">
        <v>1.9E-2</v>
      </c>
      <c r="J169" s="76">
        <v>1</v>
      </c>
      <c r="K169" s="76" t="s">
        <v>232</v>
      </c>
      <c r="L169" s="76">
        <v>8</v>
      </c>
      <c r="M169" s="76" t="s">
        <v>235</v>
      </c>
      <c r="BQ169" t="s">
        <v>21</v>
      </c>
      <c r="BR169">
        <v>1674</v>
      </c>
      <c r="BS169">
        <v>1</v>
      </c>
      <c r="BT169" s="2">
        <v>32014</v>
      </c>
      <c r="BU169" s="33">
        <f t="shared" si="10"/>
        <v>1987</v>
      </c>
      <c r="BX169">
        <v>0</v>
      </c>
      <c r="BY169" t="s">
        <v>211</v>
      </c>
      <c r="BZ169">
        <v>2.1000000000000001E-2</v>
      </c>
      <c r="CA169">
        <f t="shared" si="11"/>
        <v>21</v>
      </c>
      <c r="CB169">
        <v>1</v>
      </c>
      <c r="CC169" t="s">
        <v>232</v>
      </c>
      <c r="CD169">
        <v>8</v>
      </c>
      <c r="CE169" t="s">
        <v>235</v>
      </c>
    </row>
    <row r="170" spans="1:83" x14ac:dyDescent="0.2">
      <c r="A170" s="76" t="s">
        <v>21</v>
      </c>
      <c r="B170" s="76">
        <v>1674</v>
      </c>
      <c r="C170" s="76">
        <v>1</v>
      </c>
      <c r="D170" s="77">
        <v>31937</v>
      </c>
      <c r="G170" s="257">
        <v>8</v>
      </c>
      <c r="H170" s="76" t="s">
        <v>211</v>
      </c>
      <c r="I170" s="76">
        <v>1.7000000000000001E-2</v>
      </c>
      <c r="J170" s="76">
        <v>1</v>
      </c>
      <c r="K170" s="76" t="s">
        <v>232</v>
      </c>
      <c r="L170" s="76">
        <v>8</v>
      </c>
      <c r="M170" s="76" t="s">
        <v>235</v>
      </c>
      <c r="BQ170" t="s">
        <v>21</v>
      </c>
      <c r="BR170">
        <v>1674</v>
      </c>
      <c r="BS170">
        <v>1</v>
      </c>
      <c r="BT170" s="2">
        <v>32014</v>
      </c>
      <c r="BU170" s="33">
        <f t="shared" si="10"/>
        <v>1987</v>
      </c>
      <c r="BX170">
        <v>2</v>
      </c>
      <c r="BY170" t="s">
        <v>211</v>
      </c>
      <c r="BZ170">
        <v>2.3E-2</v>
      </c>
      <c r="CA170">
        <f t="shared" si="11"/>
        <v>23</v>
      </c>
      <c r="CB170">
        <v>1</v>
      </c>
      <c r="CC170" t="s">
        <v>232</v>
      </c>
      <c r="CD170">
        <v>8</v>
      </c>
      <c r="CE170" t="s">
        <v>235</v>
      </c>
    </row>
    <row r="171" spans="1:83" x14ac:dyDescent="0.2">
      <c r="A171" s="76" t="s">
        <v>21</v>
      </c>
      <c r="B171" s="76">
        <v>1674</v>
      </c>
      <c r="C171" s="76">
        <v>1</v>
      </c>
      <c r="D171" s="77">
        <v>31937</v>
      </c>
      <c r="G171" s="257">
        <v>10</v>
      </c>
      <c r="H171" s="76" t="s">
        <v>211</v>
      </c>
      <c r="I171" s="76">
        <v>2.1000000000000001E-2</v>
      </c>
      <c r="J171" s="76">
        <v>1</v>
      </c>
      <c r="K171" s="76" t="s">
        <v>232</v>
      </c>
      <c r="L171" s="76">
        <v>8</v>
      </c>
      <c r="M171" s="76" t="s">
        <v>235</v>
      </c>
      <c r="BQ171" t="s">
        <v>21</v>
      </c>
      <c r="BR171">
        <v>1674</v>
      </c>
      <c r="BS171">
        <v>1</v>
      </c>
      <c r="BT171" s="2">
        <v>32014</v>
      </c>
      <c r="BU171" s="33">
        <f t="shared" si="10"/>
        <v>1987</v>
      </c>
      <c r="BX171">
        <v>4</v>
      </c>
      <c r="BY171" t="s">
        <v>211</v>
      </c>
      <c r="BZ171">
        <v>2.3E-2</v>
      </c>
      <c r="CA171">
        <f t="shared" si="11"/>
        <v>23</v>
      </c>
      <c r="CB171">
        <v>1</v>
      </c>
      <c r="CC171" t="s">
        <v>232</v>
      </c>
      <c r="CD171">
        <v>8</v>
      </c>
      <c r="CE171" t="s">
        <v>235</v>
      </c>
    </row>
    <row r="172" spans="1:83" x14ac:dyDescent="0.2">
      <c r="A172" s="76" t="s">
        <v>21</v>
      </c>
      <c r="B172" s="76">
        <v>1674</v>
      </c>
      <c r="C172" s="76">
        <v>1</v>
      </c>
      <c r="D172" s="77">
        <v>31937</v>
      </c>
      <c r="G172" s="257">
        <v>12</v>
      </c>
      <c r="H172" s="76" t="s">
        <v>211</v>
      </c>
      <c r="I172" s="76">
        <v>0.03</v>
      </c>
      <c r="J172" s="76">
        <v>1</v>
      </c>
      <c r="K172" s="76" t="s">
        <v>232</v>
      </c>
      <c r="L172" s="76">
        <v>8</v>
      </c>
      <c r="M172" s="76" t="s">
        <v>235</v>
      </c>
      <c r="BQ172" t="s">
        <v>21</v>
      </c>
      <c r="BR172">
        <v>1674</v>
      </c>
      <c r="BS172">
        <v>1</v>
      </c>
      <c r="BT172" s="2">
        <v>32014</v>
      </c>
      <c r="BU172" s="33">
        <f t="shared" si="10"/>
        <v>1987</v>
      </c>
      <c r="BX172">
        <v>6</v>
      </c>
      <c r="BY172" t="s">
        <v>211</v>
      </c>
      <c r="BZ172">
        <v>0.02</v>
      </c>
      <c r="CA172">
        <f t="shared" si="11"/>
        <v>20</v>
      </c>
      <c r="CB172">
        <v>1</v>
      </c>
      <c r="CC172" t="s">
        <v>232</v>
      </c>
      <c r="CD172">
        <v>8</v>
      </c>
      <c r="CE172" t="s">
        <v>235</v>
      </c>
    </row>
    <row r="173" spans="1:83" x14ac:dyDescent="0.2">
      <c r="A173" s="76" t="s">
        <v>21</v>
      </c>
      <c r="B173" s="76">
        <v>1674</v>
      </c>
      <c r="C173" s="76">
        <v>1</v>
      </c>
      <c r="D173" s="77">
        <v>31937</v>
      </c>
      <c r="G173" s="257">
        <v>13</v>
      </c>
      <c r="H173" s="76" t="s">
        <v>211</v>
      </c>
      <c r="I173" s="76">
        <v>3.1E-2</v>
      </c>
      <c r="J173" s="76">
        <v>1</v>
      </c>
      <c r="K173" s="76" t="s">
        <v>232</v>
      </c>
      <c r="L173" s="76">
        <v>8</v>
      </c>
      <c r="M173" s="76" t="s">
        <v>235</v>
      </c>
      <c r="BQ173" t="s">
        <v>21</v>
      </c>
      <c r="BR173">
        <v>1674</v>
      </c>
      <c r="BS173">
        <v>1</v>
      </c>
      <c r="BT173" s="2">
        <v>32014</v>
      </c>
      <c r="BU173" s="33">
        <f t="shared" si="10"/>
        <v>1987</v>
      </c>
      <c r="BX173">
        <v>8</v>
      </c>
      <c r="BY173" t="s">
        <v>211</v>
      </c>
      <c r="BZ173">
        <v>2.1999999999999999E-2</v>
      </c>
      <c r="CA173">
        <f t="shared" si="11"/>
        <v>22</v>
      </c>
      <c r="CB173">
        <v>1</v>
      </c>
      <c r="CC173" t="s">
        <v>232</v>
      </c>
      <c r="CD173">
        <v>8</v>
      </c>
      <c r="CE173" t="s">
        <v>235</v>
      </c>
    </row>
    <row r="174" spans="1:83" x14ac:dyDescent="0.2">
      <c r="A174" s="76" t="s">
        <v>21</v>
      </c>
      <c r="B174" s="76">
        <v>1674</v>
      </c>
      <c r="C174" s="76">
        <v>1</v>
      </c>
      <c r="D174" s="77">
        <v>31951</v>
      </c>
      <c r="G174" s="257">
        <v>0</v>
      </c>
      <c r="H174" s="76" t="s">
        <v>211</v>
      </c>
      <c r="I174" s="76">
        <v>1.4E-2</v>
      </c>
      <c r="J174" s="76">
        <v>1</v>
      </c>
      <c r="K174" s="76" t="s">
        <v>232</v>
      </c>
      <c r="L174" s="76">
        <v>8</v>
      </c>
      <c r="M174" s="76" t="s">
        <v>235</v>
      </c>
      <c r="BQ174" t="s">
        <v>21</v>
      </c>
      <c r="BR174">
        <v>1674</v>
      </c>
      <c r="BS174">
        <v>1</v>
      </c>
      <c r="BT174" s="2">
        <v>32014</v>
      </c>
      <c r="BU174" s="33">
        <f t="shared" si="10"/>
        <v>1987</v>
      </c>
      <c r="BX174">
        <v>10</v>
      </c>
      <c r="BY174" t="s">
        <v>211</v>
      </c>
      <c r="BZ174">
        <v>2.1999999999999999E-2</v>
      </c>
      <c r="CA174">
        <f t="shared" si="11"/>
        <v>22</v>
      </c>
      <c r="CB174">
        <v>1</v>
      </c>
      <c r="CC174" t="s">
        <v>232</v>
      </c>
      <c r="CD174">
        <v>8</v>
      </c>
      <c r="CE174" t="s">
        <v>235</v>
      </c>
    </row>
    <row r="175" spans="1:83" x14ac:dyDescent="0.2">
      <c r="A175" s="76" t="s">
        <v>21</v>
      </c>
      <c r="B175" s="76">
        <v>1674</v>
      </c>
      <c r="C175" s="76">
        <v>1</v>
      </c>
      <c r="D175" s="77">
        <v>31951</v>
      </c>
      <c r="G175" s="257">
        <v>2</v>
      </c>
      <c r="H175" s="76" t="s">
        <v>211</v>
      </c>
      <c r="I175" s="76">
        <v>1.6E-2</v>
      </c>
      <c r="J175" s="76">
        <v>1</v>
      </c>
      <c r="K175" s="76" t="s">
        <v>232</v>
      </c>
      <c r="L175" s="76">
        <v>8</v>
      </c>
      <c r="M175" s="76" t="s">
        <v>235</v>
      </c>
      <c r="BQ175" t="s">
        <v>21</v>
      </c>
      <c r="BR175">
        <v>1674</v>
      </c>
      <c r="BS175">
        <v>1</v>
      </c>
      <c r="BT175" s="2">
        <v>32014</v>
      </c>
      <c r="BU175" s="33">
        <f t="shared" si="10"/>
        <v>1987</v>
      </c>
      <c r="BX175">
        <v>12</v>
      </c>
      <c r="BY175" t="s">
        <v>211</v>
      </c>
      <c r="BZ175">
        <v>2.1000000000000001E-2</v>
      </c>
      <c r="CA175">
        <f t="shared" si="11"/>
        <v>21</v>
      </c>
      <c r="CB175">
        <v>1</v>
      </c>
      <c r="CC175" t="s">
        <v>232</v>
      </c>
      <c r="CD175">
        <v>8</v>
      </c>
      <c r="CE175" t="s">
        <v>235</v>
      </c>
    </row>
    <row r="176" spans="1:83" x14ac:dyDescent="0.2">
      <c r="A176" s="76" t="s">
        <v>21</v>
      </c>
      <c r="B176" s="76">
        <v>1674</v>
      </c>
      <c r="C176" s="76">
        <v>1</v>
      </c>
      <c r="D176" s="77">
        <v>31951</v>
      </c>
      <c r="G176" s="257">
        <v>4</v>
      </c>
      <c r="H176" s="76" t="s">
        <v>211</v>
      </c>
      <c r="I176" s="76">
        <v>1.4999999999999999E-2</v>
      </c>
      <c r="J176" s="76">
        <v>1</v>
      </c>
      <c r="K176" s="76" t="s">
        <v>232</v>
      </c>
      <c r="L176" s="76">
        <v>8</v>
      </c>
      <c r="M176" s="76" t="s">
        <v>235</v>
      </c>
      <c r="BQ176" t="s">
        <v>21</v>
      </c>
      <c r="BR176">
        <v>1674</v>
      </c>
      <c r="BS176">
        <v>1</v>
      </c>
      <c r="BT176" s="2">
        <v>32014</v>
      </c>
      <c r="BU176" s="33">
        <f t="shared" si="10"/>
        <v>1987</v>
      </c>
      <c r="BX176">
        <v>13</v>
      </c>
      <c r="BY176" t="s">
        <v>211</v>
      </c>
      <c r="BZ176">
        <v>2.3E-2</v>
      </c>
      <c r="CA176">
        <f t="shared" si="11"/>
        <v>23</v>
      </c>
      <c r="CB176">
        <v>1</v>
      </c>
      <c r="CC176" t="s">
        <v>232</v>
      </c>
      <c r="CD176">
        <v>8</v>
      </c>
      <c r="CE176" t="s">
        <v>235</v>
      </c>
    </row>
    <row r="177" spans="1:83" x14ac:dyDescent="0.2">
      <c r="A177" s="76" t="s">
        <v>21</v>
      </c>
      <c r="B177" s="76">
        <v>1674</v>
      </c>
      <c r="C177" s="76">
        <v>1</v>
      </c>
      <c r="D177" s="77">
        <v>31951</v>
      </c>
      <c r="G177" s="257">
        <v>6</v>
      </c>
      <c r="H177" s="76" t="s">
        <v>211</v>
      </c>
      <c r="I177" s="76">
        <v>2.5000000000000001E-2</v>
      </c>
      <c r="J177" s="76">
        <v>1</v>
      </c>
      <c r="K177" s="76" t="s">
        <v>232</v>
      </c>
      <c r="L177" s="76">
        <v>8</v>
      </c>
      <c r="M177" s="76" t="s">
        <v>235</v>
      </c>
      <c r="BQ177" t="s">
        <v>21</v>
      </c>
      <c r="BR177">
        <v>1674</v>
      </c>
      <c r="BS177">
        <v>1</v>
      </c>
      <c r="BT177" s="2">
        <v>32035</v>
      </c>
      <c r="BU177" s="33">
        <f t="shared" si="10"/>
        <v>1987</v>
      </c>
      <c r="BX177">
        <v>0</v>
      </c>
      <c r="BY177" t="s">
        <v>211</v>
      </c>
      <c r="BZ177">
        <v>1.9E-2</v>
      </c>
      <c r="CA177">
        <f t="shared" si="11"/>
        <v>19</v>
      </c>
      <c r="CB177">
        <v>1</v>
      </c>
      <c r="CC177" t="s">
        <v>232</v>
      </c>
      <c r="CD177">
        <v>7</v>
      </c>
      <c r="CE177" t="s">
        <v>235</v>
      </c>
    </row>
    <row r="178" spans="1:83" x14ac:dyDescent="0.2">
      <c r="A178" s="76" t="s">
        <v>21</v>
      </c>
      <c r="B178" s="76">
        <v>1674</v>
      </c>
      <c r="C178" s="76">
        <v>1</v>
      </c>
      <c r="D178" s="77">
        <v>31951</v>
      </c>
      <c r="G178" s="257">
        <v>8</v>
      </c>
      <c r="H178" s="76" t="s">
        <v>211</v>
      </c>
      <c r="I178" s="76">
        <v>2.8000000000000001E-2</v>
      </c>
      <c r="J178" s="76">
        <v>1</v>
      </c>
      <c r="K178" s="76" t="s">
        <v>232</v>
      </c>
      <c r="L178" s="76">
        <v>8</v>
      </c>
      <c r="M178" s="76" t="s">
        <v>235</v>
      </c>
      <c r="BQ178" t="s">
        <v>21</v>
      </c>
      <c r="BR178">
        <v>1674</v>
      </c>
      <c r="BS178">
        <v>1</v>
      </c>
      <c r="BT178" s="2">
        <v>32035</v>
      </c>
      <c r="BU178" s="33">
        <f t="shared" si="10"/>
        <v>1987</v>
      </c>
      <c r="BX178">
        <v>2</v>
      </c>
      <c r="BY178" t="s">
        <v>211</v>
      </c>
      <c r="BZ178">
        <v>1.7999999999999999E-2</v>
      </c>
      <c r="CA178">
        <f t="shared" si="11"/>
        <v>18</v>
      </c>
      <c r="CB178">
        <v>1</v>
      </c>
      <c r="CC178" t="s">
        <v>232</v>
      </c>
      <c r="CD178">
        <v>7</v>
      </c>
      <c r="CE178" t="s">
        <v>235</v>
      </c>
    </row>
    <row r="179" spans="1:83" x14ac:dyDescent="0.2">
      <c r="A179" s="76" t="s">
        <v>21</v>
      </c>
      <c r="B179" s="76">
        <v>1674</v>
      </c>
      <c r="C179" s="76">
        <v>1</v>
      </c>
      <c r="D179" s="77">
        <v>31951</v>
      </c>
      <c r="G179" s="257">
        <v>10</v>
      </c>
      <c r="H179" s="76" t="s">
        <v>211</v>
      </c>
      <c r="I179" s="76">
        <v>3.1E-2</v>
      </c>
      <c r="J179" s="76">
        <v>1</v>
      </c>
      <c r="K179" s="76" t="s">
        <v>232</v>
      </c>
      <c r="L179" s="76">
        <v>8</v>
      </c>
      <c r="M179" s="76" t="s">
        <v>235</v>
      </c>
      <c r="BQ179" t="s">
        <v>21</v>
      </c>
      <c r="BR179">
        <v>1674</v>
      </c>
      <c r="BS179">
        <v>1</v>
      </c>
      <c r="BT179" s="2">
        <v>32035</v>
      </c>
      <c r="BU179" s="33">
        <f t="shared" si="10"/>
        <v>1987</v>
      </c>
      <c r="BX179">
        <v>4</v>
      </c>
      <c r="BY179" t="s">
        <v>211</v>
      </c>
      <c r="BZ179">
        <v>1.6E-2</v>
      </c>
      <c r="CA179">
        <f t="shared" si="11"/>
        <v>16</v>
      </c>
      <c r="CB179">
        <v>1</v>
      </c>
      <c r="CC179" t="s">
        <v>232</v>
      </c>
      <c r="CD179">
        <v>7</v>
      </c>
      <c r="CE179" t="s">
        <v>235</v>
      </c>
    </row>
    <row r="180" spans="1:83" x14ac:dyDescent="0.2">
      <c r="A180" s="76" t="s">
        <v>21</v>
      </c>
      <c r="B180" s="76">
        <v>1674</v>
      </c>
      <c r="C180" s="76">
        <v>1</v>
      </c>
      <c r="D180" s="77">
        <v>31951</v>
      </c>
      <c r="G180" s="257">
        <v>12</v>
      </c>
      <c r="H180" s="76" t="s">
        <v>211</v>
      </c>
      <c r="I180" s="76">
        <v>3.6999999999999998E-2</v>
      </c>
      <c r="J180" s="76">
        <v>1</v>
      </c>
      <c r="K180" s="76" t="s">
        <v>232</v>
      </c>
      <c r="L180" s="76">
        <v>8</v>
      </c>
      <c r="M180" s="76" t="s">
        <v>235</v>
      </c>
      <c r="BQ180" t="s">
        <v>21</v>
      </c>
      <c r="BR180">
        <v>1674</v>
      </c>
      <c r="BS180">
        <v>1</v>
      </c>
      <c r="BT180" s="2">
        <v>32035</v>
      </c>
      <c r="BU180" s="33">
        <f t="shared" si="10"/>
        <v>1987</v>
      </c>
      <c r="BX180">
        <v>6</v>
      </c>
      <c r="BY180" t="s">
        <v>211</v>
      </c>
      <c r="BZ180">
        <v>0.02</v>
      </c>
      <c r="CA180">
        <f t="shared" si="11"/>
        <v>20</v>
      </c>
      <c r="CB180">
        <v>1</v>
      </c>
      <c r="CC180" t="s">
        <v>232</v>
      </c>
      <c r="CD180">
        <v>7</v>
      </c>
      <c r="CE180" t="s">
        <v>235</v>
      </c>
    </row>
    <row r="181" spans="1:83" x14ac:dyDescent="0.2">
      <c r="A181" s="76" t="s">
        <v>21</v>
      </c>
      <c r="B181" s="76">
        <v>1674</v>
      </c>
      <c r="C181" s="76">
        <v>1</v>
      </c>
      <c r="D181" s="77">
        <v>31951</v>
      </c>
      <c r="G181" s="257">
        <v>14</v>
      </c>
      <c r="H181" s="76" t="s">
        <v>211</v>
      </c>
      <c r="I181" s="76">
        <v>5.6000000000000001E-2</v>
      </c>
      <c r="J181" s="76">
        <v>1</v>
      </c>
      <c r="K181" s="76" t="s">
        <v>232</v>
      </c>
      <c r="L181" s="76">
        <v>8</v>
      </c>
      <c r="M181" s="76" t="s">
        <v>235</v>
      </c>
      <c r="BQ181" t="s">
        <v>21</v>
      </c>
      <c r="BR181">
        <v>1674</v>
      </c>
      <c r="BS181">
        <v>1</v>
      </c>
      <c r="BT181" s="2">
        <v>32035</v>
      </c>
      <c r="BU181" s="33">
        <f t="shared" si="10"/>
        <v>1987</v>
      </c>
      <c r="BX181">
        <v>8</v>
      </c>
      <c r="BY181" t="s">
        <v>211</v>
      </c>
      <c r="BZ181">
        <v>1.9E-2</v>
      </c>
      <c r="CA181">
        <f t="shared" si="11"/>
        <v>19</v>
      </c>
      <c r="CB181">
        <v>1</v>
      </c>
      <c r="CC181" t="s">
        <v>232</v>
      </c>
      <c r="CD181">
        <v>7</v>
      </c>
      <c r="CE181" t="s">
        <v>235</v>
      </c>
    </row>
    <row r="182" spans="1:83" x14ac:dyDescent="0.2">
      <c r="A182" s="76" t="s">
        <v>21</v>
      </c>
      <c r="B182" s="76">
        <v>1674</v>
      </c>
      <c r="C182" s="76">
        <v>1</v>
      </c>
      <c r="D182" s="77">
        <v>31972</v>
      </c>
      <c r="G182" s="257">
        <v>0</v>
      </c>
      <c r="H182" s="76" t="s">
        <v>211</v>
      </c>
      <c r="I182" s="76">
        <v>1.7999999999999999E-2</v>
      </c>
      <c r="J182" s="76">
        <v>1</v>
      </c>
      <c r="K182" s="76" t="s">
        <v>232</v>
      </c>
      <c r="L182" s="76">
        <v>8</v>
      </c>
      <c r="M182" s="76" t="s">
        <v>235</v>
      </c>
      <c r="BQ182" t="s">
        <v>21</v>
      </c>
      <c r="BR182">
        <v>1674</v>
      </c>
      <c r="BS182">
        <v>1</v>
      </c>
      <c r="BT182" s="2">
        <v>32035</v>
      </c>
      <c r="BU182" s="33">
        <f t="shared" si="10"/>
        <v>1987</v>
      </c>
      <c r="BX182">
        <v>10</v>
      </c>
      <c r="BY182" t="s">
        <v>211</v>
      </c>
      <c r="BZ182">
        <v>1.9E-2</v>
      </c>
      <c r="CA182">
        <f t="shared" si="11"/>
        <v>19</v>
      </c>
      <c r="CB182">
        <v>1</v>
      </c>
      <c r="CC182" t="s">
        <v>232</v>
      </c>
      <c r="CD182">
        <v>7</v>
      </c>
      <c r="CE182" t="s">
        <v>235</v>
      </c>
    </row>
    <row r="183" spans="1:83" x14ac:dyDescent="0.2">
      <c r="A183" s="76" t="s">
        <v>21</v>
      </c>
      <c r="B183" s="76">
        <v>1674</v>
      </c>
      <c r="C183" s="76">
        <v>1</v>
      </c>
      <c r="D183" s="77">
        <v>31972</v>
      </c>
      <c r="G183" s="257">
        <v>2</v>
      </c>
      <c r="H183" s="76" t="s">
        <v>211</v>
      </c>
      <c r="I183" s="76">
        <v>1.9E-2</v>
      </c>
      <c r="J183" s="76">
        <v>1</v>
      </c>
      <c r="K183" s="76" t="s">
        <v>232</v>
      </c>
      <c r="L183" s="76">
        <v>8</v>
      </c>
      <c r="M183" s="76" t="s">
        <v>235</v>
      </c>
      <c r="BQ183" t="s">
        <v>21</v>
      </c>
      <c r="BR183">
        <v>1674</v>
      </c>
      <c r="BS183">
        <v>1</v>
      </c>
      <c r="BT183" s="2">
        <v>32035</v>
      </c>
      <c r="BU183" s="33">
        <f t="shared" si="10"/>
        <v>1987</v>
      </c>
      <c r="BX183">
        <v>11</v>
      </c>
      <c r="BY183" t="s">
        <v>211</v>
      </c>
      <c r="BZ183">
        <v>2.4E-2</v>
      </c>
      <c r="CA183">
        <f t="shared" si="11"/>
        <v>24</v>
      </c>
      <c r="CB183">
        <v>1</v>
      </c>
      <c r="CC183" t="s">
        <v>232</v>
      </c>
      <c r="CD183">
        <v>7</v>
      </c>
      <c r="CE183" t="s">
        <v>235</v>
      </c>
    </row>
    <row r="184" spans="1:83" x14ac:dyDescent="0.2">
      <c r="A184" s="76" t="s">
        <v>21</v>
      </c>
      <c r="B184" s="76">
        <v>1674</v>
      </c>
      <c r="C184" s="76">
        <v>1</v>
      </c>
      <c r="D184" s="77">
        <v>31972</v>
      </c>
      <c r="G184" s="257">
        <v>4</v>
      </c>
      <c r="H184" s="76" t="s">
        <v>211</v>
      </c>
      <c r="I184" s="76">
        <v>3.2000000000000001E-2</v>
      </c>
      <c r="J184" s="76">
        <v>1</v>
      </c>
      <c r="K184" s="76" t="s">
        <v>232</v>
      </c>
      <c r="L184" s="76">
        <v>8</v>
      </c>
      <c r="M184" s="76" t="s">
        <v>235</v>
      </c>
      <c r="BQ184" t="s">
        <v>21</v>
      </c>
      <c r="BR184">
        <v>1674</v>
      </c>
      <c r="BS184">
        <v>1</v>
      </c>
      <c r="BT184" s="2">
        <v>32048</v>
      </c>
      <c r="BU184" s="33">
        <f t="shared" si="10"/>
        <v>1987</v>
      </c>
      <c r="BX184">
        <v>0</v>
      </c>
      <c r="BY184" t="s">
        <v>211</v>
      </c>
      <c r="BZ184">
        <v>2.4E-2</v>
      </c>
      <c r="CA184">
        <f t="shared" si="11"/>
        <v>24</v>
      </c>
      <c r="CB184">
        <v>1</v>
      </c>
      <c r="CC184" t="s">
        <v>232</v>
      </c>
      <c r="CD184">
        <v>8</v>
      </c>
      <c r="CE184" t="s">
        <v>235</v>
      </c>
    </row>
    <row r="185" spans="1:83" x14ac:dyDescent="0.2">
      <c r="A185" s="76" t="s">
        <v>21</v>
      </c>
      <c r="B185" s="76">
        <v>1674</v>
      </c>
      <c r="C185" s="76">
        <v>1</v>
      </c>
      <c r="D185" s="77">
        <v>31972</v>
      </c>
      <c r="G185" s="257">
        <v>6</v>
      </c>
      <c r="H185" s="76" t="s">
        <v>211</v>
      </c>
      <c r="I185" s="76">
        <v>3.5000000000000003E-2</v>
      </c>
      <c r="J185" s="76">
        <v>1</v>
      </c>
      <c r="K185" s="76" t="s">
        <v>232</v>
      </c>
      <c r="L185" s="76">
        <v>8</v>
      </c>
      <c r="M185" s="76" t="s">
        <v>235</v>
      </c>
      <c r="BQ185" t="s">
        <v>21</v>
      </c>
      <c r="BR185">
        <v>1674</v>
      </c>
      <c r="BS185">
        <v>1</v>
      </c>
      <c r="BT185" s="2">
        <v>32048</v>
      </c>
      <c r="BU185" s="33">
        <f t="shared" si="10"/>
        <v>1987</v>
      </c>
      <c r="BX185">
        <v>2</v>
      </c>
      <c r="BY185" t="s">
        <v>211</v>
      </c>
      <c r="BZ185">
        <v>2.4E-2</v>
      </c>
      <c r="CA185">
        <f t="shared" si="11"/>
        <v>24</v>
      </c>
      <c r="CB185">
        <v>1</v>
      </c>
      <c r="CC185" t="s">
        <v>232</v>
      </c>
      <c r="CD185">
        <v>8</v>
      </c>
      <c r="CE185" t="s">
        <v>235</v>
      </c>
    </row>
    <row r="186" spans="1:83" x14ac:dyDescent="0.2">
      <c r="A186" s="76" t="s">
        <v>21</v>
      </c>
      <c r="B186" s="76">
        <v>1674</v>
      </c>
      <c r="C186" s="76">
        <v>1</v>
      </c>
      <c r="D186" s="77">
        <v>31972</v>
      </c>
      <c r="G186" s="257">
        <v>8</v>
      </c>
      <c r="H186" s="76" t="s">
        <v>211</v>
      </c>
      <c r="I186" s="76">
        <v>3.5999999999999997E-2</v>
      </c>
      <c r="J186" s="76">
        <v>1</v>
      </c>
      <c r="K186" s="76" t="s">
        <v>232</v>
      </c>
      <c r="L186" s="76">
        <v>8</v>
      </c>
      <c r="M186" s="76" t="s">
        <v>235</v>
      </c>
      <c r="BQ186" t="s">
        <v>21</v>
      </c>
      <c r="BR186">
        <v>1674</v>
      </c>
      <c r="BS186">
        <v>1</v>
      </c>
      <c r="BT186" s="2">
        <v>32048</v>
      </c>
      <c r="BU186" s="33">
        <f t="shared" si="10"/>
        <v>1987</v>
      </c>
      <c r="BX186">
        <v>4</v>
      </c>
      <c r="BY186" t="s">
        <v>211</v>
      </c>
      <c r="BZ186">
        <v>2.5999999999999999E-2</v>
      </c>
      <c r="CA186">
        <f t="shared" si="11"/>
        <v>26</v>
      </c>
      <c r="CB186">
        <v>1</v>
      </c>
      <c r="CC186" t="s">
        <v>232</v>
      </c>
      <c r="CD186">
        <v>8</v>
      </c>
      <c r="CE186" t="s">
        <v>235</v>
      </c>
    </row>
    <row r="187" spans="1:83" x14ac:dyDescent="0.2">
      <c r="A187" s="76" t="s">
        <v>21</v>
      </c>
      <c r="B187" s="76">
        <v>1674</v>
      </c>
      <c r="C187" s="76">
        <v>1</v>
      </c>
      <c r="D187" s="77">
        <v>31972</v>
      </c>
      <c r="G187" s="257">
        <v>10</v>
      </c>
      <c r="H187" s="76" t="s">
        <v>211</v>
      </c>
      <c r="I187" s="76">
        <v>3.9E-2</v>
      </c>
      <c r="J187" s="76">
        <v>1</v>
      </c>
      <c r="K187" s="76" t="s">
        <v>232</v>
      </c>
      <c r="L187" s="76">
        <v>8</v>
      </c>
      <c r="M187" s="76" t="s">
        <v>235</v>
      </c>
      <c r="BQ187" t="s">
        <v>21</v>
      </c>
      <c r="BR187">
        <v>1674</v>
      </c>
      <c r="BS187">
        <v>1</v>
      </c>
      <c r="BT187" s="2">
        <v>32048</v>
      </c>
      <c r="BU187" s="33">
        <f t="shared" si="10"/>
        <v>1987</v>
      </c>
      <c r="BX187">
        <v>6</v>
      </c>
      <c r="BY187" t="s">
        <v>211</v>
      </c>
      <c r="BZ187">
        <v>2.3E-2</v>
      </c>
      <c r="CA187">
        <f t="shared" si="11"/>
        <v>23</v>
      </c>
      <c r="CB187">
        <v>1</v>
      </c>
      <c r="CC187" t="s">
        <v>232</v>
      </c>
      <c r="CD187">
        <v>8</v>
      </c>
      <c r="CE187" t="s">
        <v>235</v>
      </c>
    </row>
    <row r="188" spans="1:83" x14ac:dyDescent="0.2">
      <c r="A188" s="76" t="s">
        <v>21</v>
      </c>
      <c r="B188" s="76">
        <v>1674</v>
      </c>
      <c r="C188" s="76">
        <v>1</v>
      </c>
      <c r="D188" s="77">
        <v>31972</v>
      </c>
      <c r="G188" s="257">
        <v>12</v>
      </c>
      <c r="H188" s="76" t="s">
        <v>211</v>
      </c>
      <c r="I188" s="76">
        <v>3.6999999999999998E-2</v>
      </c>
      <c r="J188" s="76">
        <v>1</v>
      </c>
      <c r="K188" s="76" t="s">
        <v>232</v>
      </c>
      <c r="L188" s="76">
        <v>8</v>
      </c>
      <c r="M188" s="76" t="s">
        <v>235</v>
      </c>
      <c r="BQ188" t="s">
        <v>21</v>
      </c>
      <c r="BR188">
        <v>1674</v>
      </c>
      <c r="BS188">
        <v>1</v>
      </c>
      <c r="BT188" s="2">
        <v>32048</v>
      </c>
      <c r="BU188" s="33">
        <f t="shared" si="10"/>
        <v>1987</v>
      </c>
      <c r="BX188">
        <v>8</v>
      </c>
      <c r="BY188" t="s">
        <v>211</v>
      </c>
      <c r="BZ188">
        <v>2.4E-2</v>
      </c>
      <c r="CA188">
        <f t="shared" si="11"/>
        <v>24</v>
      </c>
      <c r="CB188">
        <v>1</v>
      </c>
      <c r="CC188" t="s">
        <v>232</v>
      </c>
      <c r="CD188">
        <v>8</v>
      </c>
      <c r="CE188" t="s">
        <v>235</v>
      </c>
    </row>
    <row r="189" spans="1:83" x14ac:dyDescent="0.2">
      <c r="A189" s="76" t="s">
        <v>21</v>
      </c>
      <c r="B189" s="76">
        <v>1674</v>
      </c>
      <c r="C189" s="76">
        <v>1</v>
      </c>
      <c r="D189" s="77">
        <v>31972</v>
      </c>
      <c r="G189" s="257">
        <v>13</v>
      </c>
      <c r="H189" s="76" t="s">
        <v>211</v>
      </c>
      <c r="I189" s="76">
        <v>3.5999999999999997E-2</v>
      </c>
      <c r="J189" s="76">
        <v>1</v>
      </c>
      <c r="K189" s="76" t="s">
        <v>232</v>
      </c>
      <c r="L189" s="76">
        <v>8</v>
      </c>
      <c r="M189" s="76" t="s">
        <v>235</v>
      </c>
      <c r="BQ189" t="s">
        <v>21</v>
      </c>
      <c r="BR189">
        <v>1674</v>
      </c>
      <c r="BS189">
        <v>1</v>
      </c>
      <c r="BT189" s="2">
        <v>32048</v>
      </c>
      <c r="BU189" s="33">
        <f t="shared" si="10"/>
        <v>1987</v>
      </c>
      <c r="BX189">
        <v>10</v>
      </c>
      <c r="BY189" t="s">
        <v>211</v>
      </c>
      <c r="BZ189">
        <v>2.5999999999999999E-2</v>
      </c>
      <c r="CA189">
        <f t="shared" si="11"/>
        <v>26</v>
      </c>
      <c r="CB189">
        <v>1</v>
      </c>
      <c r="CC189" t="s">
        <v>232</v>
      </c>
      <c r="CD189">
        <v>8</v>
      </c>
      <c r="CE189" t="s">
        <v>235</v>
      </c>
    </row>
    <row r="190" spans="1:83" x14ac:dyDescent="0.2">
      <c r="A190" s="76" t="s">
        <v>21</v>
      </c>
      <c r="B190" s="76">
        <v>1674</v>
      </c>
      <c r="C190" s="76">
        <v>1</v>
      </c>
      <c r="D190" s="77">
        <v>31987</v>
      </c>
      <c r="G190" s="257">
        <v>0</v>
      </c>
      <c r="H190" s="76" t="s">
        <v>211</v>
      </c>
      <c r="I190" s="76">
        <v>1.9E-2</v>
      </c>
      <c r="J190" s="76">
        <v>1</v>
      </c>
      <c r="K190" s="76" t="s">
        <v>232</v>
      </c>
      <c r="L190" s="76">
        <v>8</v>
      </c>
      <c r="M190" s="76" t="s">
        <v>235</v>
      </c>
      <c r="BQ190" t="s">
        <v>21</v>
      </c>
      <c r="BR190">
        <v>1674</v>
      </c>
      <c r="BS190">
        <v>1</v>
      </c>
      <c r="BT190" s="2">
        <v>32048</v>
      </c>
      <c r="BU190" s="33">
        <f t="shared" si="10"/>
        <v>1987</v>
      </c>
      <c r="BX190">
        <v>12</v>
      </c>
      <c r="BY190" t="s">
        <v>211</v>
      </c>
      <c r="BZ190">
        <v>2.5999999999999999E-2</v>
      </c>
      <c r="CA190">
        <f t="shared" si="11"/>
        <v>26</v>
      </c>
      <c r="CB190">
        <v>1</v>
      </c>
      <c r="CC190" t="s">
        <v>232</v>
      </c>
      <c r="CD190">
        <v>8</v>
      </c>
      <c r="CE190" t="s">
        <v>235</v>
      </c>
    </row>
    <row r="191" spans="1:83" x14ac:dyDescent="0.2">
      <c r="A191" s="76" t="s">
        <v>21</v>
      </c>
      <c r="B191" s="76">
        <v>1674</v>
      </c>
      <c r="C191" s="76">
        <v>1</v>
      </c>
      <c r="D191" s="77">
        <v>31987</v>
      </c>
      <c r="G191" s="257">
        <v>2</v>
      </c>
      <c r="H191" s="76" t="s">
        <v>211</v>
      </c>
      <c r="I191" s="76">
        <v>0.02</v>
      </c>
      <c r="J191" s="76">
        <v>1</v>
      </c>
      <c r="K191" s="76" t="s">
        <v>232</v>
      </c>
      <c r="L191" s="76">
        <v>8</v>
      </c>
      <c r="M191" s="76" t="s">
        <v>235</v>
      </c>
      <c r="BQ191" t="s">
        <v>21</v>
      </c>
      <c r="BR191">
        <v>1674</v>
      </c>
      <c r="BS191">
        <v>1</v>
      </c>
      <c r="BT191" s="2">
        <v>32048</v>
      </c>
      <c r="BU191" s="33">
        <f t="shared" si="10"/>
        <v>1987</v>
      </c>
      <c r="BX191">
        <v>13</v>
      </c>
      <c r="BY191" t="s">
        <v>211</v>
      </c>
      <c r="BZ191">
        <v>2.4E-2</v>
      </c>
      <c r="CA191">
        <f t="shared" si="11"/>
        <v>24</v>
      </c>
      <c r="CB191">
        <v>1</v>
      </c>
      <c r="CC191" t="s">
        <v>232</v>
      </c>
      <c r="CD191">
        <v>8</v>
      </c>
      <c r="CE191" t="s">
        <v>235</v>
      </c>
    </row>
    <row r="192" spans="1:83" x14ac:dyDescent="0.2">
      <c r="A192" s="76" t="s">
        <v>21</v>
      </c>
      <c r="B192" s="76">
        <v>1674</v>
      </c>
      <c r="C192" s="76">
        <v>1</v>
      </c>
      <c r="D192" s="77">
        <v>31987</v>
      </c>
      <c r="G192" s="257">
        <v>4</v>
      </c>
      <c r="H192" s="76" t="s">
        <v>211</v>
      </c>
      <c r="I192" s="76">
        <v>0.02</v>
      </c>
      <c r="J192" s="76">
        <v>1</v>
      </c>
      <c r="K192" s="76" t="s">
        <v>232</v>
      </c>
      <c r="L192" s="76">
        <v>8</v>
      </c>
      <c r="M192" s="76" t="s">
        <v>235</v>
      </c>
      <c r="BQ192" t="s">
        <v>21</v>
      </c>
      <c r="BR192">
        <v>1674</v>
      </c>
      <c r="BS192">
        <v>1</v>
      </c>
      <c r="BT192" s="2">
        <v>32065</v>
      </c>
      <c r="BU192" s="33">
        <f t="shared" si="10"/>
        <v>1987</v>
      </c>
      <c r="BX192">
        <v>0</v>
      </c>
      <c r="BY192" t="s">
        <v>211</v>
      </c>
      <c r="BZ192">
        <v>2.1000000000000001E-2</v>
      </c>
      <c r="CA192">
        <f t="shared" si="11"/>
        <v>21</v>
      </c>
      <c r="CB192">
        <v>1</v>
      </c>
      <c r="CC192" t="s">
        <v>232</v>
      </c>
      <c r="CD192">
        <v>7</v>
      </c>
      <c r="CE192" t="s">
        <v>235</v>
      </c>
    </row>
    <row r="193" spans="1:83" x14ac:dyDescent="0.2">
      <c r="A193" s="76" t="s">
        <v>21</v>
      </c>
      <c r="B193" s="76">
        <v>1674</v>
      </c>
      <c r="C193" s="76">
        <v>1</v>
      </c>
      <c r="D193" s="77">
        <v>31987</v>
      </c>
      <c r="G193" s="257">
        <v>6</v>
      </c>
      <c r="H193" s="76" t="s">
        <v>211</v>
      </c>
      <c r="I193" s="76">
        <v>1.7999999999999999E-2</v>
      </c>
      <c r="J193" s="76">
        <v>1</v>
      </c>
      <c r="K193" s="76" t="s">
        <v>232</v>
      </c>
      <c r="L193" s="76">
        <v>8</v>
      </c>
      <c r="M193" s="76" t="s">
        <v>235</v>
      </c>
      <c r="BQ193" t="s">
        <v>21</v>
      </c>
      <c r="BR193">
        <v>1674</v>
      </c>
      <c r="BS193">
        <v>1</v>
      </c>
      <c r="BT193" s="2">
        <v>32065</v>
      </c>
      <c r="BU193" s="33">
        <f t="shared" si="10"/>
        <v>1987</v>
      </c>
      <c r="BX193">
        <v>2</v>
      </c>
      <c r="BY193" t="s">
        <v>211</v>
      </c>
      <c r="BZ193">
        <v>2.1000000000000001E-2</v>
      </c>
      <c r="CA193">
        <f t="shared" si="11"/>
        <v>21</v>
      </c>
      <c r="CB193">
        <v>1</v>
      </c>
      <c r="CC193" t="s">
        <v>232</v>
      </c>
      <c r="CD193">
        <v>7</v>
      </c>
      <c r="CE193" t="s">
        <v>235</v>
      </c>
    </row>
    <row r="194" spans="1:83" x14ac:dyDescent="0.2">
      <c r="A194" s="76" t="s">
        <v>21</v>
      </c>
      <c r="B194" s="76">
        <v>1674</v>
      </c>
      <c r="C194" s="76">
        <v>1</v>
      </c>
      <c r="D194" s="77">
        <v>31987</v>
      </c>
      <c r="G194" s="257">
        <v>8</v>
      </c>
      <c r="H194" s="76" t="s">
        <v>211</v>
      </c>
      <c r="I194" s="76">
        <v>2.3E-2</v>
      </c>
      <c r="J194" s="76">
        <v>1</v>
      </c>
      <c r="K194" s="76" t="s">
        <v>232</v>
      </c>
      <c r="L194" s="76">
        <v>8</v>
      </c>
      <c r="M194" s="76" t="s">
        <v>235</v>
      </c>
      <c r="BQ194" t="s">
        <v>21</v>
      </c>
      <c r="BR194">
        <v>1674</v>
      </c>
      <c r="BS194">
        <v>1</v>
      </c>
      <c r="BT194" s="2">
        <v>32065</v>
      </c>
      <c r="BU194" s="33">
        <f t="shared" si="10"/>
        <v>1987</v>
      </c>
      <c r="BX194">
        <v>4</v>
      </c>
      <c r="BY194" t="s">
        <v>211</v>
      </c>
      <c r="BZ194">
        <v>2.4E-2</v>
      </c>
      <c r="CA194">
        <f t="shared" si="11"/>
        <v>24</v>
      </c>
      <c r="CB194">
        <v>1</v>
      </c>
      <c r="CC194" t="s">
        <v>232</v>
      </c>
      <c r="CD194">
        <v>7</v>
      </c>
      <c r="CE194" t="s">
        <v>235</v>
      </c>
    </row>
    <row r="195" spans="1:83" x14ac:dyDescent="0.2">
      <c r="A195" s="76" t="s">
        <v>21</v>
      </c>
      <c r="B195" s="76">
        <v>1674</v>
      </c>
      <c r="C195" s="76">
        <v>1</v>
      </c>
      <c r="D195" s="77">
        <v>31987</v>
      </c>
      <c r="G195" s="257">
        <v>10</v>
      </c>
      <c r="H195" s="76" t="s">
        <v>211</v>
      </c>
      <c r="I195" s="76">
        <v>2.7E-2</v>
      </c>
      <c r="J195" s="76">
        <v>1</v>
      </c>
      <c r="K195" s="76" t="s">
        <v>232</v>
      </c>
      <c r="L195" s="76">
        <v>8</v>
      </c>
      <c r="M195" s="76" t="s">
        <v>235</v>
      </c>
      <c r="BQ195" t="s">
        <v>21</v>
      </c>
      <c r="BR195">
        <v>1674</v>
      </c>
      <c r="BS195">
        <v>1</v>
      </c>
      <c r="BT195" s="2">
        <v>32065</v>
      </c>
      <c r="BU195" s="33">
        <f t="shared" si="10"/>
        <v>1987</v>
      </c>
      <c r="BX195">
        <v>6</v>
      </c>
      <c r="BY195" t="s">
        <v>211</v>
      </c>
      <c r="BZ195">
        <v>2.4E-2</v>
      </c>
      <c r="CA195">
        <f t="shared" si="11"/>
        <v>24</v>
      </c>
      <c r="CB195">
        <v>1</v>
      </c>
      <c r="CC195" t="s">
        <v>232</v>
      </c>
      <c r="CD195">
        <v>7</v>
      </c>
      <c r="CE195" t="s">
        <v>235</v>
      </c>
    </row>
    <row r="196" spans="1:83" x14ac:dyDescent="0.2">
      <c r="A196" s="76" t="s">
        <v>21</v>
      </c>
      <c r="B196" s="76">
        <v>1674</v>
      </c>
      <c r="C196" s="76">
        <v>1</v>
      </c>
      <c r="D196" s="77">
        <v>31987</v>
      </c>
      <c r="G196" s="257">
        <v>12</v>
      </c>
      <c r="H196" s="76" t="s">
        <v>211</v>
      </c>
      <c r="I196" s="76">
        <v>2.7E-2</v>
      </c>
      <c r="J196" s="76">
        <v>1</v>
      </c>
      <c r="K196" s="76" t="s">
        <v>232</v>
      </c>
      <c r="L196" s="76">
        <v>8</v>
      </c>
      <c r="M196" s="76" t="s">
        <v>235</v>
      </c>
      <c r="BQ196" t="s">
        <v>21</v>
      </c>
      <c r="BR196">
        <v>1674</v>
      </c>
      <c r="BS196">
        <v>1</v>
      </c>
      <c r="BT196" s="2">
        <v>32065</v>
      </c>
      <c r="BU196" s="33">
        <f t="shared" ref="BU196:BU259" si="12">YEAR(BT196)</f>
        <v>1987</v>
      </c>
      <c r="BX196">
        <v>8</v>
      </c>
      <c r="BY196" t="s">
        <v>211</v>
      </c>
      <c r="BZ196">
        <v>0.02</v>
      </c>
      <c r="CA196">
        <f t="shared" ref="CA196:CA259" si="13">BZ196*1000</f>
        <v>20</v>
      </c>
      <c r="CB196">
        <v>1</v>
      </c>
      <c r="CC196" t="s">
        <v>232</v>
      </c>
      <c r="CD196">
        <v>7</v>
      </c>
      <c r="CE196" t="s">
        <v>235</v>
      </c>
    </row>
    <row r="197" spans="1:83" x14ac:dyDescent="0.2">
      <c r="A197" s="76" t="s">
        <v>21</v>
      </c>
      <c r="B197" s="76">
        <v>1674</v>
      </c>
      <c r="C197" s="76">
        <v>1</v>
      </c>
      <c r="D197" s="77">
        <v>31987</v>
      </c>
      <c r="G197" s="257">
        <v>13</v>
      </c>
      <c r="H197" s="76" t="s">
        <v>211</v>
      </c>
      <c r="I197" s="76">
        <v>3.3000000000000002E-2</v>
      </c>
      <c r="J197" s="76">
        <v>1</v>
      </c>
      <c r="K197" s="76" t="s">
        <v>232</v>
      </c>
      <c r="L197" s="76">
        <v>8</v>
      </c>
      <c r="M197" s="76" t="s">
        <v>235</v>
      </c>
      <c r="BQ197" t="s">
        <v>21</v>
      </c>
      <c r="BR197">
        <v>1674</v>
      </c>
      <c r="BS197">
        <v>1</v>
      </c>
      <c r="BT197" s="2">
        <v>32065</v>
      </c>
      <c r="BU197" s="33">
        <f t="shared" si="12"/>
        <v>1987</v>
      </c>
      <c r="BX197">
        <v>10</v>
      </c>
      <c r="BY197" t="s">
        <v>211</v>
      </c>
      <c r="BZ197">
        <v>0.02</v>
      </c>
      <c r="CA197">
        <f t="shared" si="13"/>
        <v>20</v>
      </c>
      <c r="CB197">
        <v>1</v>
      </c>
      <c r="CC197" t="s">
        <v>232</v>
      </c>
      <c r="CD197">
        <v>7</v>
      </c>
      <c r="CE197" t="s">
        <v>235</v>
      </c>
    </row>
    <row r="198" spans="1:83" x14ac:dyDescent="0.2">
      <c r="A198" s="76" t="s">
        <v>21</v>
      </c>
      <c r="B198" s="76">
        <v>1674</v>
      </c>
      <c r="C198" s="76">
        <v>1</v>
      </c>
      <c r="D198" s="77">
        <v>32002</v>
      </c>
      <c r="G198" s="257">
        <v>0</v>
      </c>
      <c r="H198" s="76" t="s">
        <v>211</v>
      </c>
      <c r="I198" s="76">
        <v>1.7000000000000001E-2</v>
      </c>
      <c r="J198" s="76">
        <v>1</v>
      </c>
      <c r="K198" s="76" t="s">
        <v>232</v>
      </c>
      <c r="L198" s="76">
        <v>8</v>
      </c>
      <c r="M198" s="76" t="s">
        <v>235</v>
      </c>
      <c r="BQ198" t="s">
        <v>21</v>
      </c>
      <c r="BR198">
        <v>1674</v>
      </c>
      <c r="BS198">
        <v>1</v>
      </c>
      <c r="BT198" s="2">
        <v>32065</v>
      </c>
      <c r="BU198" s="33">
        <f t="shared" si="12"/>
        <v>1987</v>
      </c>
      <c r="BX198">
        <v>12</v>
      </c>
      <c r="BY198" t="s">
        <v>211</v>
      </c>
      <c r="BZ198">
        <v>2.5000000000000001E-2</v>
      </c>
      <c r="CA198">
        <f t="shared" si="13"/>
        <v>25</v>
      </c>
      <c r="CB198">
        <v>1</v>
      </c>
      <c r="CC198" t="s">
        <v>232</v>
      </c>
      <c r="CD198">
        <v>7</v>
      </c>
      <c r="CE198" t="s">
        <v>235</v>
      </c>
    </row>
    <row r="199" spans="1:83" x14ac:dyDescent="0.2">
      <c r="A199" s="76" t="s">
        <v>21</v>
      </c>
      <c r="B199" s="76">
        <v>1674</v>
      </c>
      <c r="C199" s="76">
        <v>1</v>
      </c>
      <c r="D199" s="77">
        <v>32002</v>
      </c>
      <c r="G199" s="257">
        <v>2</v>
      </c>
      <c r="H199" s="76" t="s">
        <v>211</v>
      </c>
      <c r="I199" s="76">
        <v>2.3E-2</v>
      </c>
      <c r="J199" s="76">
        <v>1</v>
      </c>
      <c r="K199" s="76" t="s">
        <v>232</v>
      </c>
      <c r="L199" s="76">
        <v>8</v>
      </c>
      <c r="M199" s="76" t="s">
        <v>235</v>
      </c>
      <c r="BQ199" t="s">
        <v>21</v>
      </c>
      <c r="BR199">
        <v>1674</v>
      </c>
      <c r="BS199">
        <v>1</v>
      </c>
      <c r="BT199" s="2">
        <v>32078</v>
      </c>
      <c r="BU199" s="33">
        <f t="shared" si="12"/>
        <v>1987</v>
      </c>
      <c r="BX199">
        <v>0</v>
      </c>
      <c r="BY199" t="s">
        <v>211</v>
      </c>
      <c r="BZ199">
        <v>2.1000000000000001E-2</v>
      </c>
      <c r="CA199">
        <f t="shared" si="13"/>
        <v>21</v>
      </c>
      <c r="CB199">
        <v>1</v>
      </c>
      <c r="CC199" t="s">
        <v>232</v>
      </c>
      <c r="CD199">
        <v>7</v>
      </c>
      <c r="CE199" t="s">
        <v>235</v>
      </c>
    </row>
    <row r="200" spans="1:83" x14ac:dyDescent="0.2">
      <c r="A200" s="76" t="s">
        <v>21</v>
      </c>
      <c r="B200" s="76">
        <v>1674</v>
      </c>
      <c r="C200" s="76">
        <v>1</v>
      </c>
      <c r="D200" s="77">
        <v>32002</v>
      </c>
      <c r="G200" s="257">
        <v>4</v>
      </c>
      <c r="H200" s="76" t="s">
        <v>211</v>
      </c>
      <c r="I200" s="76">
        <v>1.9E-2</v>
      </c>
      <c r="J200" s="76">
        <v>1</v>
      </c>
      <c r="K200" s="76" t="s">
        <v>232</v>
      </c>
      <c r="L200" s="76">
        <v>8</v>
      </c>
      <c r="M200" s="76" t="s">
        <v>235</v>
      </c>
      <c r="BQ200" t="s">
        <v>21</v>
      </c>
      <c r="BR200">
        <v>1674</v>
      </c>
      <c r="BS200">
        <v>1</v>
      </c>
      <c r="BT200" s="2">
        <v>32078</v>
      </c>
      <c r="BU200" s="33">
        <f t="shared" si="12"/>
        <v>1987</v>
      </c>
      <c r="BX200">
        <v>2</v>
      </c>
      <c r="BY200" t="s">
        <v>211</v>
      </c>
      <c r="BZ200">
        <v>2.1000000000000001E-2</v>
      </c>
      <c r="CA200">
        <f t="shared" si="13"/>
        <v>21</v>
      </c>
      <c r="CB200">
        <v>1</v>
      </c>
      <c r="CC200" t="s">
        <v>232</v>
      </c>
      <c r="CD200">
        <v>7</v>
      </c>
      <c r="CE200" t="s">
        <v>235</v>
      </c>
    </row>
    <row r="201" spans="1:83" x14ac:dyDescent="0.2">
      <c r="A201" s="76" t="s">
        <v>21</v>
      </c>
      <c r="B201" s="76">
        <v>1674</v>
      </c>
      <c r="C201" s="76">
        <v>1</v>
      </c>
      <c r="D201" s="77">
        <v>32002</v>
      </c>
      <c r="G201" s="257">
        <v>6</v>
      </c>
      <c r="H201" s="76" t="s">
        <v>211</v>
      </c>
      <c r="I201" s="76">
        <v>1.7999999999999999E-2</v>
      </c>
      <c r="J201" s="76">
        <v>1</v>
      </c>
      <c r="K201" s="76" t="s">
        <v>232</v>
      </c>
      <c r="L201" s="76">
        <v>8</v>
      </c>
      <c r="M201" s="76" t="s">
        <v>235</v>
      </c>
      <c r="BQ201" t="s">
        <v>21</v>
      </c>
      <c r="BR201">
        <v>1674</v>
      </c>
      <c r="BS201">
        <v>1</v>
      </c>
      <c r="BT201" s="2">
        <v>32078</v>
      </c>
      <c r="BU201" s="33">
        <f t="shared" si="12"/>
        <v>1987</v>
      </c>
      <c r="BX201">
        <v>4</v>
      </c>
      <c r="BY201" t="s">
        <v>211</v>
      </c>
      <c r="BZ201">
        <v>0.02</v>
      </c>
      <c r="CA201">
        <f t="shared" si="13"/>
        <v>20</v>
      </c>
      <c r="CB201">
        <v>1</v>
      </c>
      <c r="CC201" t="s">
        <v>232</v>
      </c>
      <c r="CD201">
        <v>7</v>
      </c>
      <c r="CE201" t="s">
        <v>235</v>
      </c>
    </row>
    <row r="202" spans="1:83" x14ac:dyDescent="0.2">
      <c r="A202" s="76" t="s">
        <v>21</v>
      </c>
      <c r="B202" s="76">
        <v>1674</v>
      </c>
      <c r="C202" s="76">
        <v>1</v>
      </c>
      <c r="D202" s="77">
        <v>32002</v>
      </c>
      <c r="G202" s="257">
        <v>8</v>
      </c>
      <c r="H202" s="76" t="s">
        <v>211</v>
      </c>
      <c r="I202" s="76">
        <v>1.7000000000000001E-2</v>
      </c>
      <c r="J202" s="76">
        <v>1</v>
      </c>
      <c r="K202" s="76" t="s">
        <v>232</v>
      </c>
      <c r="L202" s="76">
        <v>8</v>
      </c>
      <c r="M202" s="76" t="s">
        <v>235</v>
      </c>
      <c r="BQ202" t="s">
        <v>21</v>
      </c>
      <c r="BR202">
        <v>1674</v>
      </c>
      <c r="BS202">
        <v>1</v>
      </c>
      <c r="BT202" s="2">
        <v>32078</v>
      </c>
      <c r="BU202" s="33">
        <f t="shared" si="12"/>
        <v>1987</v>
      </c>
      <c r="BX202">
        <v>6</v>
      </c>
      <c r="BY202" t="s">
        <v>211</v>
      </c>
      <c r="BZ202">
        <v>2.1999999999999999E-2</v>
      </c>
      <c r="CA202">
        <f t="shared" si="13"/>
        <v>22</v>
      </c>
      <c r="CB202">
        <v>1</v>
      </c>
      <c r="CC202" t="s">
        <v>232</v>
      </c>
      <c r="CD202">
        <v>7</v>
      </c>
      <c r="CE202" t="s">
        <v>235</v>
      </c>
    </row>
    <row r="203" spans="1:83" x14ac:dyDescent="0.2">
      <c r="A203" s="76" t="s">
        <v>21</v>
      </c>
      <c r="B203" s="76">
        <v>1674</v>
      </c>
      <c r="C203" s="76">
        <v>1</v>
      </c>
      <c r="D203" s="77">
        <v>32002</v>
      </c>
      <c r="G203" s="257">
        <v>10</v>
      </c>
      <c r="H203" s="76" t="s">
        <v>211</v>
      </c>
      <c r="I203" s="76">
        <v>1.6E-2</v>
      </c>
      <c r="J203" s="76">
        <v>1</v>
      </c>
      <c r="K203" s="76" t="s">
        <v>232</v>
      </c>
      <c r="L203" s="76">
        <v>8</v>
      </c>
      <c r="M203" s="76" t="s">
        <v>235</v>
      </c>
      <c r="BQ203" t="s">
        <v>21</v>
      </c>
      <c r="BR203">
        <v>1674</v>
      </c>
      <c r="BS203">
        <v>1</v>
      </c>
      <c r="BT203" s="2">
        <v>32078</v>
      </c>
      <c r="BU203" s="33">
        <f t="shared" si="12"/>
        <v>1987</v>
      </c>
      <c r="BX203">
        <v>8</v>
      </c>
      <c r="BY203" t="s">
        <v>211</v>
      </c>
      <c r="BZ203">
        <v>2.1000000000000001E-2</v>
      </c>
      <c r="CA203">
        <f t="shared" si="13"/>
        <v>21</v>
      </c>
      <c r="CB203">
        <v>1</v>
      </c>
      <c r="CC203" t="s">
        <v>232</v>
      </c>
      <c r="CD203">
        <v>7</v>
      </c>
      <c r="CE203" t="s">
        <v>235</v>
      </c>
    </row>
    <row r="204" spans="1:83" x14ac:dyDescent="0.2">
      <c r="A204" s="76" t="s">
        <v>21</v>
      </c>
      <c r="B204" s="76">
        <v>1674</v>
      </c>
      <c r="C204" s="76">
        <v>1</v>
      </c>
      <c r="D204" s="77">
        <v>32002</v>
      </c>
      <c r="G204" s="257">
        <v>12</v>
      </c>
      <c r="H204" s="76" t="s">
        <v>211</v>
      </c>
      <c r="I204" s="76">
        <v>2.4E-2</v>
      </c>
      <c r="J204" s="76">
        <v>1</v>
      </c>
      <c r="K204" s="76" t="s">
        <v>232</v>
      </c>
      <c r="L204" s="76">
        <v>8</v>
      </c>
      <c r="M204" s="76" t="s">
        <v>235</v>
      </c>
      <c r="BQ204" t="s">
        <v>21</v>
      </c>
      <c r="BR204">
        <v>1674</v>
      </c>
      <c r="BS204">
        <v>1</v>
      </c>
      <c r="BT204" s="2">
        <v>32078</v>
      </c>
      <c r="BU204" s="33">
        <f t="shared" si="12"/>
        <v>1987</v>
      </c>
      <c r="BX204">
        <v>10</v>
      </c>
      <c r="BY204" t="s">
        <v>211</v>
      </c>
      <c r="BZ204">
        <v>2.1999999999999999E-2</v>
      </c>
      <c r="CA204">
        <f t="shared" si="13"/>
        <v>22</v>
      </c>
      <c r="CB204">
        <v>1</v>
      </c>
      <c r="CC204" t="s">
        <v>232</v>
      </c>
      <c r="CD204">
        <v>7</v>
      </c>
      <c r="CE204" t="s">
        <v>235</v>
      </c>
    </row>
    <row r="205" spans="1:83" x14ac:dyDescent="0.2">
      <c r="A205" s="76" t="s">
        <v>21</v>
      </c>
      <c r="B205" s="76">
        <v>1674</v>
      </c>
      <c r="C205" s="76">
        <v>1</v>
      </c>
      <c r="D205" s="77">
        <v>32002</v>
      </c>
      <c r="G205" s="257">
        <v>13</v>
      </c>
      <c r="H205" s="76" t="s">
        <v>211</v>
      </c>
      <c r="I205" s="76">
        <v>3.3000000000000002E-2</v>
      </c>
      <c r="J205" s="76">
        <v>1</v>
      </c>
      <c r="K205" s="76" t="s">
        <v>232</v>
      </c>
      <c r="L205" s="76">
        <v>8</v>
      </c>
      <c r="M205" s="76" t="s">
        <v>235</v>
      </c>
      <c r="BQ205" t="s">
        <v>21</v>
      </c>
      <c r="BR205">
        <v>1674</v>
      </c>
      <c r="BS205">
        <v>1</v>
      </c>
      <c r="BT205" s="2">
        <v>32078</v>
      </c>
      <c r="BU205" s="33">
        <f t="shared" si="12"/>
        <v>1987</v>
      </c>
      <c r="BX205">
        <v>12</v>
      </c>
      <c r="BY205" t="s">
        <v>211</v>
      </c>
      <c r="BZ205">
        <v>2.5999999999999999E-2</v>
      </c>
      <c r="CA205">
        <f t="shared" si="13"/>
        <v>26</v>
      </c>
      <c r="CB205">
        <v>1</v>
      </c>
      <c r="CC205" t="s">
        <v>232</v>
      </c>
      <c r="CD205">
        <v>7</v>
      </c>
      <c r="CE205" t="s">
        <v>235</v>
      </c>
    </row>
    <row r="206" spans="1:83" x14ac:dyDescent="0.2">
      <c r="A206" s="76" t="s">
        <v>21</v>
      </c>
      <c r="B206" s="76">
        <v>1674</v>
      </c>
      <c r="C206" s="76">
        <v>1</v>
      </c>
      <c r="D206" s="77">
        <v>32014</v>
      </c>
      <c r="G206" s="257">
        <v>0</v>
      </c>
      <c r="H206" s="76" t="s">
        <v>211</v>
      </c>
      <c r="I206" s="76">
        <v>2.1000000000000001E-2</v>
      </c>
      <c r="J206" s="76">
        <v>1</v>
      </c>
      <c r="K206" s="76" t="s">
        <v>232</v>
      </c>
      <c r="L206" s="76">
        <v>8</v>
      </c>
      <c r="M206" s="76" t="s">
        <v>235</v>
      </c>
      <c r="BQ206" t="s">
        <v>21</v>
      </c>
      <c r="BR206">
        <v>1674</v>
      </c>
      <c r="BS206">
        <v>1</v>
      </c>
      <c r="BT206" s="2">
        <v>32237</v>
      </c>
      <c r="BU206" s="33">
        <f t="shared" si="12"/>
        <v>1988</v>
      </c>
      <c r="BX206">
        <v>0</v>
      </c>
      <c r="BY206" t="s">
        <v>211</v>
      </c>
      <c r="BZ206">
        <v>1.0999999999999999E-2</v>
      </c>
      <c r="CA206">
        <f t="shared" si="13"/>
        <v>11</v>
      </c>
      <c r="CB206">
        <v>1</v>
      </c>
      <c r="CC206" t="s">
        <v>232</v>
      </c>
      <c r="CD206">
        <v>13</v>
      </c>
      <c r="CE206" t="s">
        <v>235</v>
      </c>
    </row>
    <row r="207" spans="1:83" x14ac:dyDescent="0.2">
      <c r="A207" s="76" t="s">
        <v>21</v>
      </c>
      <c r="B207" s="76">
        <v>1674</v>
      </c>
      <c r="C207" s="76">
        <v>1</v>
      </c>
      <c r="D207" s="77">
        <v>32014</v>
      </c>
      <c r="G207" s="257">
        <v>2</v>
      </c>
      <c r="H207" s="76" t="s">
        <v>211</v>
      </c>
      <c r="I207" s="76">
        <v>2.3E-2</v>
      </c>
      <c r="J207" s="76">
        <v>1</v>
      </c>
      <c r="K207" s="76" t="s">
        <v>232</v>
      </c>
      <c r="L207" s="76">
        <v>8</v>
      </c>
      <c r="M207" s="76" t="s">
        <v>235</v>
      </c>
      <c r="BQ207" t="s">
        <v>21</v>
      </c>
      <c r="BR207">
        <v>1674</v>
      </c>
      <c r="BS207">
        <v>1</v>
      </c>
      <c r="BT207" s="2">
        <v>32237</v>
      </c>
      <c r="BU207" s="33">
        <f t="shared" si="12"/>
        <v>1988</v>
      </c>
      <c r="BX207">
        <v>1</v>
      </c>
      <c r="BY207" t="s">
        <v>211</v>
      </c>
      <c r="BZ207">
        <v>0.01</v>
      </c>
      <c r="CA207">
        <f t="shared" si="13"/>
        <v>10</v>
      </c>
      <c r="CB207">
        <v>1</v>
      </c>
      <c r="CC207" t="s">
        <v>232</v>
      </c>
      <c r="CD207">
        <v>13</v>
      </c>
      <c r="CE207" t="s">
        <v>235</v>
      </c>
    </row>
    <row r="208" spans="1:83" x14ac:dyDescent="0.2">
      <c r="A208" s="76" t="s">
        <v>21</v>
      </c>
      <c r="B208" s="76">
        <v>1674</v>
      </c>
      <c r="C208" s="76">
        <v>1</v>
      </c>
      <c r="D208" s="77">
        <v>32014</v>
      </c>
      <c r="G208" s="257">
        <v>4</v>
      </c>
      <c r="H208" s="76" t="s">
        <v>211</v>
      </c>
      <c r="I208" s="76">
        <v>2.3E-2</v>
      </c>
      <c r="J208" s="76">
        <v>1</v>
      </c>
      <c r="K208" s="76" t="s">
        <v>232</v>
      </c>
      <c r="L208" s="76">
        <v>8</v>
      </c>
      <c r="M208" s="76" t="s">
        <v>235</v>
      </c>
      <c r="BQ208" t="s">
        <v>21</v>
      </c>
      <c r="BR208">
        <v>1674</v>
      </c>
      <c r="BS208">
        <v>1</v>
      </c>
      <c r="BT208" s="2">
        <v>32237</v>
      </c>
      <c r="BU208" s="33">
        <f t="shared" si="12"/>
        <v>1988</v>
      </c>
      <c r="BX208">
        <v>2</v>
      </c>
      <c r="BY208" t="s">
        <v>211</v>
      </c>
      <c r="BZ208">
        <v>8.9999999999999993E-3</v>
      </c>
      <c r="CA208">
        <f t="shared" si="13"/>
        <v>9</v>
      </c>
      <c r="CB208">
        <v>1</v>
      </c>
      <c r="CC208" t="s">
        <v>232</v>
      </c>
      <c r="CD208">
        <v>13</v>
      </c>
      <c r="CE208" t="s">
        <v>235</v>
      </c>
    </row>
    <row r="209" spans="1:83" x14ac:dyDescent="0.2">
      <c r="A209" s="76" t="s">
        <v>21</v>
      </c>
      <c r="B209" s="76">
        <v>1674</v>
      </c>
      <c r="C209" s="76">
        <v>1</v>
      </c>
      <c r="D209" s="77">
        <v>32014</v>
      </c>
      <c r="G209" s="257">
        <v>6</v>
      </c>
      <c r="H209" s="76" t="s">
        <v>211</v>
      </c>
      <c r="I209" s="76">
        <v>0.02</v>
      </c>
      <c r="J209" s="76">
        <v>1</v>
      </c>
      <c r="K209" s="76" t="s">
        <v>232</v>
      </c>
      <c r="L209" s="76">
        <v>8</v>
      </c>
      <c r="M209" s="76" t="s">
        <v>235</v>
      </c>
      <c r="BQ209" t="s">
        <v>21</v>
      </c>
      <c r="BR209">
        <v>1674</v>
      </c>
      <c r="BS209">
        <v>1</v>
      </c>
      <c r="BT209" s="2">
        <v>32237</v>
      </c>
      <c r="BU209" s="33">
        <f t="shared" si="12"/>
        <v>1988</v>
      </c>
      <c r="BX209">
        <v>3</v>
      </c>
      <c r="BY209" t="s">
        <v>211</v>
      </c>
      <c r="BZ209">
        <v>8.9999999999999993E-3</v>
      </c>
      <c r="CA209">
        <f t="shared" si="13"/>
        <v>9</v>
      </c>
      <c r="CB209">
        <v>1</v>
      </c>
      <c r="CC209" t="s">
        <v>232</v>
      </c>
      <c r="CD209">
        <v>13</v>
      </c>
      <c r="CE209" t="s">
        <v>235</v>
      </c>
    </row>
    <row r="210" spans="1:83" x14ac:dyDescent="0.2">
      <c r="A210" s="76" t="s">
        <v>21</v>
      </c>
      <c r="B210" s="76">
        <v>1674</v>
      </c>
      <c r="C210" s="76">
        <v>1</v>
      </c>
      <c r="D210" s="77">
        <v>32014</v>
      </c>
      <c r="G210" s="257">
        <v>8</v>
      </c>
      <c r="H210" s="76" t="s">
        <v>211</v>
      </c>
      <c r="I210" s="76">
        <v>2.1999999999999999E-2</v>
      </c>
      <c r="J210" s="76">
        <v>1</v>
      </c>
      <c r="K210" s="76" t="s">
        <v>232</v>
      </c>
      <c r="L210" s="76">
        <v>8</v>
      </c>
      <c r="M210" s="76" t="s">
        <v>235</v>
      </c>
      <c r="BQ210" t="s">
        <v>21</v>
      </c>
      <c r="BR210">
        <v>1674</v>
      </c>
      <c r="BS210">
        <v>1</v>
      </c>
      <c r="BT210" s="2">
        <v>32237</v>
      </c>
      <c r="BU210" s="33">
        <f t="shared" si="12"/>
        <v>1988</v>
      </c>
      <c r="BX210">
        <v>4</v>
      </c>
      <c r="BY210" t="s">
        <v>211</v>
      </c>
      <c r="BZ210">
        <v>8.9999999999999993E-3</v>
      </c>
      <c r="CA210">
        <f t="shared" si="13"/>
        <v>9</v>
      </c>
      <c r="CB210">
        <v>1</v>
      </c>
      <c r="CC210" t="s">
        <v>232</v>
      </c>
      <c r="CD210">
        <v>13</v>
      </c>
      <c r="CE210" t="s">
        <v>235</v>
      </c>
    </row>
    <row r="211" spans="1:83" x14ac:dyDescent="0.2">
      <c r="A211" s="76" t="s">
        <v>21</v>
      </c>
      <c r="B211" s="76">
        <v>1674</v>
      </c>
      <c r="C211" s="76">
        <v>1</v>
      </c>
      <c r="D211" s="77">
        <v>32014</v>
      </c>
      <c r="G211" s="257">
        <v>10</v>
      </c>
      <c r="H211" s="76" t="s">
        <v>211</v>
      </c>
      <c r="I211" s="76">
        <v>2.1999999999999999E-2</v>
      </c>
      <c r="J211" s="76">
        <v>1</v>
      </c>
      <c r="K211" s="76" t="s">
        <v>232</v>
      </c>
      <c r="L211" s="76">
        <v>8</v>
      </c>
      <c r="M211" s="76" t="s">
        <v>235</v>
      </c>
      <c r="BQ211" t="s">
        <v>21</v>
      </c>
      <c r="BR211">
        <v>1674</v>
      </c>
      <c r="BS211">
        <v>1</v>
      </c>
      <c r="BT211" s="2">
        <v>32237</v>
      </c>
      <c r="BU211" s="33">
        <f t="shared" si="12"/>
        <v>1988</v>
      </c>
      <c r="BX211">
        <v>5</v>
      </c>
      <c r="BY211" t="s">
        <v>211</v>
      </c>
      <c r="BZ211">
        <v>8.9999999999999993E-3</v>
      </c>
      <c r="CA211">
        <f t="shared" si="13"/>
        <v>9</v>
      </c>
      <c r="CB211">
        <v>1</v>
      </c>
      <c r="CC211" t="s">
        <v>232</v>
      </c>
      <c r="CD211">
        <v>13</v>
      </c>
      <c r="CE211" t="s">
        <v>235</v>
      </c>
    </row>
    <row r="212" spans="1:83" x14ac:dyDescent="0.2">
      <c r="A212" s="76" t="s">
        <v>21</v>
      </c>
      <c r="B212" s="76">
        <v>1674</v>
      </c>
      <c r="C212" s="76">
        <v>1</v>
      </c>
      <c r="D212" s="77">
        <v>32014</v>
      </c>
      <c r="G212" s="257">
        <v>12</v>
      </c>
      <c r="H212" s="76" t="s">
        <v>211</v>
      </c>
      <c r="I212" s="76">
        <v>2.1000000000000001E-2</v>
      </c>
      <c r="J212" s="76">
        <v>1</v>
      </c>
      <c r="K212" s="76" t="s">
        <v>232</v>
      </c>
      <c r="L212" s="76">
        <v>8</v>
      </c>
      <c r="M212" s="76" t="s">
        <v>235</v>
      </c>
      <c r="BQ212" t="s">
        <v>21</v>
      </c>
      <c r="BR212">
        <v>1674</v>
      </c>
      <c r="BS212">
        <v>1</v>
      </c>
      <c r="BT212" s="2">
        <v>32237</v>
      </c>
      <c r="BU212" s="33">
        <f t="shared" si="12"/>
        <v>1988</v>
      </c>
      <c r="BX212">
        <v>6</v>
      </c>
      <c r="BY212" t="s">
        <v>211</v>
      </c>
      <c r="BZ212">
        <v>0.01</v>
      </c>
      <c r="CA212">
        <f t="shared" si="13"/>
        <v>10</v>
      </c>
      <c r="CB212">
        <v>1</v>
      </c>
      <c r="CC212" t="s">
        <v>232</v>
      </c>
      <c r="CD212">
        <v>13</v>
      </c>
      <c r="CE212" t="s">
        <v>235</v>
      </c>
    </row>
    <row r="213" spans="1:83" x14ac:dyDescent="0.2">
      <c r="A213" s="76" t="s">
        <v>21</v>
      </c>
      <c r="B213" s="76">
        <v>1674</v>
      </c>
      <c r="C213" s="76">
        <v>1</v>
      </c>
      <c r="D213" s="77">
        <v>32014</v>
      </c>
      <c r="G213" s="257">
        <v>13</v>
      </c>
      <c r="H213" s="76" t="s">
        <v>211</v>
      </c>
      <c r="I213" s="76">
        <v>2.3E-2</v>
      </c>
      <c r="J213" s="76">
        <v>1</v>
      </c>
      <c r="K213" s="76" t="s">
        <v>232</v>
      </c>
      <c r="L213" s="76">
        <v>8</v>
      </c>
      <c r="M213" s="76" t="s">
        <v>235</v>
      </c>
      <c r="BQ213" t="s">
        <v>21</v>
      </c>
      <c r="BR213">
        <v>1674</v>
      </c>
      <c r="BS213">
        <v>1</v>
      </c>
      <c r="BT213" s="2">
        <v>32237</v>
      </c>
      <c r="BU213" s="33">
        <f t="shared" si="12"/>
        <v>1988</v>
      </c>
      <c r="BX213">
        <v>7</v>
      </c>
      <c r="BY213" t="s">
        <v>211</v>
      </c>
      <c r="BZ213">
        <v>0.01</v>
      </c>
      <c r="CA213">
        <f t="shared" si="13"/>
        <v>10</v>
      </c>
      <c r="CB213">
        <v>1</v>
      </c>
      <c r="CC213" t="s">
        <v>232</v>
      </c>
      <c r="CD213">
        <v>13</v>
      </c>
      <c r="CE213" t="s">
        <v>235</v>
      </c>
    </row>
    <row r="214" spans="1:83" x14ac:dyDescent="0.2">
      <c r="A214" s="76" t="s">
        <v>21</v>
      </c>
      <c r="B214" s="76">
        <v>1674</v>
      </c>
      <c r="C214" s="76">
        <v>1</v>
      </c>
      <c r="D214" s="77">
        <v>32035</v>
      </c>
      <c r="G214" s="257">
        <v>0</v>
      </c>
      <c r="H214" s="76" t="s">
        <v>211</v>
      </c>
      <c r="I214" s="76">
        <v>1.9E-2</v>
      </c>
      <c r="J214" s="76">
        <v>1</v>
      </c>
      <c r="K214" s="76" t="s">
        <v>232</v>
      </c>
      <c r="L214" s="76">
        <v>7</v>
      </c>
      <c r="M214" s="76" t="s">
        <v>235</v>
      </c>
      <c r="BQ214" t="s">
        <v>21</v>
      </c>
      <c r="BR214">
        <v>1674</v>
      </c>
      <c r="BS214">
        <v>1</v>
      </c>
      <c r="BT214" s="2">
        <v>32237</v>
      </c>
      <c r="BU214" s="33">
        <f t="shared" si="12"/>
        <v>1988</v>
      </c>
      <c r="BX214">
        <v>8</v>
      </c>
      <c r="BY214" t="s">
        <v>211</v>
      </c>
      <c r="BZ214">
        <v>1.2E-2</v>
      </c>
      <c r="CA214">
        <f t="shared" si="13"/>
        <v>12</v>
      </c>
      <c r="CB214">
        <v>1</v>
      </c>
      <c r="CC214" t="s">
        <v>232</v>
      </c>
      <c r="CD214">
        <v>13</v>
      </c>
      <c r="CE214" t="s">
        <v>235</v>
      </c>
    </row>
    <row r="215" spans="1:83" x14ac:dyDescent="0.2">
      <c r="A215" s="76" t="s">
        <v>21</v>
      </c>
      <c r="B215" s="76">
        <v>1674</v>
      </c>
      <c r="C215" s="76">
        <v>1</v>
      </c>
      <c r="D215" s="77">
        <v>32035</v>
      </c>
      <c r="G215" s="257">
        <v>2</v>
      </c>
      <c r="H215" s="76" t="s">
        <v>211</v>
      </c>
      <c r="I215" s="76">
        <v>1.7999999999999999E-2</v>
      </c>
      <c r="J215" s="76">
        <v>1</v>
      </c>
      <c r="K215" s="76" t="s">
        <v>232</v>
      </c>
      <c r="L215" s="76">
        <v>7</v>
      </c>
      <c r="M215" s="76" t="s">
        <v>235</v>
      </c>
      <c r="BQ215" t="s">
        <v>21</v>
      </c>
      <c r="BR215">
        <v>1674</v>
      </c>
      <c r="BS215">
        <v>1</v>
      </c>
      <c r="BT215" s="2">
        <v>32237</v>
      </c>
      <c r="BU215" s="33">
        <f t="shared" si="12"/>
        <v>1988</v>
      </c>
      <c r="BX215">
        <v>9</v>
      </c>
      <c r="BY215" t="s">
        <v>211</v>
      </c>
      <c r="BZ215">
        <v>1.0999999999999999E-2</v>
      </c>
      <c r="CA215">
        <f t="shared" si="13"/>
        <v>11</v>
      </c>
      <c r="CB215">
        <v>1</v>
      </c>
      <c r="CC215" t="s">
        <v>232</v>
      </c>
      <c r="CD215">
        <v>13</v>
      </c>
      <c r="CE215" t="s">
        <v>235</v>
      </c>
    </row>
    <row r="216" spans="1:83" x14ac:dyDescent="0.2">
      <c r="A216" s="76" t="s">
        <v>21</v>
      </c>
      <c r="B216" s="76">
        <v>1674</v>
      </c>
      <c r="C216" s="76">
        <v>1</v>
      </c>
      <c r="D216" s="77">
        <v>32035</v>
      </c>
      <c r="G216" s="257">
        <v>4</v>
      </c>
      <c r="H216" s="76" t="s">
        <v>211</v>
      </c>
      <c r="I216" s="76">
        <v>1.6E-2</v>
      </c>
      <c r="J216" s="76">
        <v>1</v>
      </c>
      <c r="K216" s="76" t="s">
        <v>232</v>
      </c>
      <c r="L216" s="76">
        <v>7</v>
      </c>
      <c r="M216" s="76" t="s">
        <v>235</v>
      </c>
      <c r="BQ216" t="s">
        <v>21</v>
      </c>
      <c r="BR216">
        <v>1674</v>
      </c>
      <c r="BS216">
        <v>1</v>
      </c>
      <c r="BT216" s="2">
        <v>32237</v>
      </c>
      <c r="BU216" s="33">
        <f t="shared" si="12"/>
        <v>1988</v>
      </c>
      <c r="BX216">
        <v>10</v>
      </c>
      <c r="BY216" t="s">
        <v>211</v>
      </c>
      <c r="BZ216">
        <v>1.2E-2</v>
      </c>
      <c r="CA216">
        <f t="shared" si="13"/>
        <v>12</v>
      </c>
      <c r="CB216">
        <v>1</v>
      </c>
      <c r="CC216" t="s">
        <v>232</v>
      </c>
      <c r="CD216">
        <v>13</v>
      </c>
      <c r="CE216" t="s">
        <v>235</v>
      </c>
    </row>
    <row r="217" spans="1:83" x14ac:dyDescent="0.2">
      <c r="A217" s="76" t="s">
        <v>21</v>
      </c>
      <c r="B217" s="76">
        <v>1674</v>
      </c>
      <c r="C217" s="76">
        <v>1</v>
      </c>
      <c r="D217" s="77">
        <v>32035</v>
      </c>
      <c r="G217" s="257">
        <v>6</v>
      </c>
      <c r="H217" s="76" t="s">
        <v>211</v>
      </c>
      <c r="I217" s="76">
        <v>0.02</v>
      </c>
      <c r="J217" s="76">
        <v>1</v>
      </c>
      <c r="K217" s="76" t="s">
        <v>232</v>
      </c>
      <c r="L217" s="76">
        <v>7</v>
      </c>
      <c r="M217" s="76" t="s">
        <v>235</v>
      </c>
      <c r="BQ217" t="s">
        <v>21</v>
      </c>
      <c r="BR217">
        <v>1674</v>
      </c>
      <c r="BS217">
        <v>1</v>
      </c>
      <c r="BT217" s="2">
        <v>32237</v>
      </c>
      <c r="BU217" s="33">
        <f t="shared" si="12"/>
        <v>1988</v>
      </c>
      <c r="BX217">
        <v>11</v>
      </c>
      <c r="BY217" t="s">
        <v>211</v>
      </c>
      <c r="BZ217">
        <v>1.2999999999999999E-2</v>
      </c>
      <c r="CA217">
        <f t="shared" si="13"/>
        <v>13</v>
      </c>
      <c r="CB217">
        <v>1</v>
      </c>
      <c r="CC217" t="s">
        <v>232</v>
      </c>
      <c r="CD217">
        <v>13</v>
      </c>
      <c r="CE217" t="s">
        <v>235</v>
      </c>
    </row>
    <row r="218" spans="1:83" x14ac:dyDescent="0.2">
      <c r="A218" s="76" t="s">
        <v>21</v>
      </c>
      <c r="B218" s="76">
        <v>1674</v>
      </c>
      <c r="C218" s="76">
        <v>1</v>
      </c>
      <c r="D218" s="77">
        <v>32035</v>
      </c>
      <c r="G218" s="257">
        <v>8</v>
      </c>
      <c r="H218" s="76" t="s">
        <v>211</v>
      </c>
      <c r="I218" s="76">
        <v>1.9E-2</v>
      </c>
      <c r="J218" s="76">
        <v>1</v>
      </c>
      <c r="K218" s="76" t="s">
        <v>232</v>
      </c>
      <c r="L218" s="76">
        <v>7</v>
      </c>
      <c r="M218" s="76" t="s">
        <v>235</v>
      </c>
      <c r="BQ218" t="s">
        <v>21</v>
      </c>
      <c r="BR218">
        <v>1674</v>
      </c>
      <c r="BS218">
        <v>1</v>
      </c>
      <c r="BT218" s="2">
        <v>32237</v>
      </c>
      <c r="BU218" s="33">
        <f t="shared" si="12"/>
        <v>1988</v>
      </c>
      <c r="BX218">
        <v>12</v>
      </c>
      <c r="BY218" t="s">
        <v>211</v>
      </c>
      <c r="BZ218">
        <v>1.2E-2</v>
      </c>
      <c r="CA218">
        <f t="shared" si="13"/>
        <v>12</v>
      </c>
      <c r="CB218">
        <v>1</v>
      </c>
      <c r="CC218" t="s">
        <v>232</v>
      </c>
      <c r="CD218">
        <v>13</v>
      </c>
      <c r="CE218" t="s">
        <v>235</v>
      </c>
    </row>
    <row r="219" spans="1:83" x14ac:dyDescent="0.2">
      <c r="A219" s="76" t="s">
        <v>21</v>
      </c>
      <c r="B219" s="76">
        <v>1674</v>
      </c>
      <c r="C219" s="76">
        <v>1</v>
      </c>
      <c r="D219" s="77">
        <v>32035</v>
      </c>
      <c r="G219" s="257">
        <v>10</v>
      </c>
      <c r="H219" s="76" t="s">
        <v>211</v>
      </c>
      <c r="I219" s="76">
        <v>1.9E-2</v>
      </c>
      <c r="J219" s="76">
        <v>1</v>
      </c>
      <c r="K219" s="76" t="s">
        <v>232</v>
      </c>
      <c r="L219" s="76">
        <v>7</v>
      </c>
      <c r="M219" s="76" t="s">
        <v>235</v>
      </c>
      <c r="BQ219" t="s">
        <v>21</v>
      </c>
      <c r="BR219">
        <v>1674</v>
      </c>
      <c r="BS219">
        <v>1</v>
      </c>
      <c r="BT219" s="2">
        <v>32277</v>
      </c>
      <c r="BU219" s="33">
        <f t="shared" si="12"/>
        <v>1988</v>
      </c>
      <c r="BX219">
        <v>1</v>
      </c>
      <c r="BY219" t="s">
        <v>211</v>
      </c>
      <c r="BZ219">
        <v>1.4E-2</v>
      </c>
      <c r="CA219">
        <f t="shared" si="13"/>
        <v>14</v>
      </c>
      <c r="CB219">
        <v>1</v>
      </c>
      <c r="CC219" t="s">
        <v>232</v>
      </c>
      <c r="CD219">
        <v>7</v>
      </c>
      <c r="CE219" t="s">
        <v>235</v>
      </c>
    </row>
    <row r="220" spans="1:83" x14ac:dyDescent="0.2">
      <c r="A220" s="76" t="s">
        <v>21</v>
      </c>
      <c r="B220" s="76">
        <v>1674</v>
      </c>
      <c r="C220" s="76">
        <v>1</v>
      </c>
      <c r="D220" s="77">
        <v>32035</v>
      </c>
      <c r="G220" s="257">
        <v>11</v>
      </c>
      <c r="H220" s="76" t="s">
        <v>211</v>
      </c>
      <c r="I220" s="76">
        <v>2.4E-2</v>
      </c>
      <c r="J220" s="76">
        <v>1</v>
      </c>
      <c r="K220" s="76" t="s">
        <v>232</v>
      </c>
      <c r="L220" s="76">
        <v>7</v>
      </c>
      <c r="M220" s="76" t="s">
        <v>235</v>
      </c>
      <c r="BQ220" t="s">
        <v>21</v>
      </c>
      <c r="BR220">
        <v>1674</v>
      </c>
      <c r="BS220">
        <v>1</v>
      </c>
      <c r="BT220" s="2">
        <v>32277</v>
      </c>
      <c r="BU220" s="33">
        <f t="shared" si="12"/>
        <v>1988</v>
      </c>
      <c r="BX220">
        <v>3</v>
      </c>
      <c r="BY220" t="s">
        <v>211</v>
      </c>
      <c r="BZ220">
        <v>1.4E-2</v>
      </c>
      <c r="CA220">
        <f t="shared" si="13"/>
        <v>14</v>
      </c>
      <c r="CB220">
        <v>1</v>
      </c>
      <c r="CC220" t="s">
        <v>232</v>
      </c>
      <c r="CD220">
        <v>7</v>
      </c>
      <c r="CE220" t="s">
        <v>235</v>
      </c>
    </row>
    <row r="221" spans="1:83" x14ac:dyDescent="0.2">
      <c r="A221" s="76" t="s">
        <v>21</v>
      </c>
      <c r="B221" s="76">
        <v>1674</v>
      </c>
      <c r="C221" s="76">
        <v>1</v>
      </c>
      <c r="D221" s="77">
        <v>32048</v>
      </c>
      <c r="G221" s="257">
        <v>0</v>
      </c>
      <c r="H221" s="76" t="s">
        <v>211</v>
      </c>
      <c r="I221" s="76">
        <v>2.4E-2</v>
      </c>
      <c r="J221" s="76">
        <v>1</v>
      </c>
      <c r="K221" s="76" t="s">
        <v>232</v>
      </c>
      <c r="L221" s="76">
        <v>8</v>
      </c>
      <c r="M221" s="76" t="s">
        <v>235</v>
      </c>
      <c r="BQ221" t="s">
        <v>21</v>
      </c>
      <c r="BR221">
        <v>1674</v>
      </c>
      <c r="BS221">
        <v>1</v>
      </c>
      <c r="BT221" s="2">
        <v>32277</v>
      </c>
      <c r="BU221" s="33">
        <f t="shared" si="12"/>
        <v>1988</v>
      </c>
      <c r="BX221">
        <v>5</v>
      </c>
      <c r="BY221" t="s">
        <v>211</v>
      </c>
      <c r="BZ221">
        <v>1.2999999999999999E-2</v>
      </c>
      <c r="CA221">
        <f t="shared" si="13"/>
        <v>13</v>
      </c>
      <c r="CB221">
        <v>1</v>
      </c>
      <c r="CC221" t="s">
        <v>232</v>
      </c>
      <c r="CD221">
        <v>7</v>
      </c>
      <c r="CE221" t="s">
        <v>235</v>
      </c>
    </row>
    <row r="222" spans="1:83" x14ac:dyDescent="0.2">
      <c r="A222" s="76" t="s">
        <v>21</v>
      </c>
      <c r="B222" s="76">
        <v>1674</v>
      </c>
      <c r="C222" s="76">
        <v>1</v>
      </c>
      <c r="D222" s="77">
        <v>32048</v>
      </c>
      <c r="G222" s="257">
        <v>2</v>
      </c>
      <c r="H222" s="76" t="s">
        <v>211</v>
      </c>
      <c r="I222" s="76">
        <v>2.4E-2</v>
      </c>
      <c r="J222" s="76">
        <v>1</v>
      </c>
      <c r="K222" s="76" t="s">
        <v>232</v>
      </c>
      <c r="L222" s="76">
        <v>8</v>
      </c>
      <c r="M222" s="76" t="s">
        <v>235</v>
      </c>
      <c r="BQ222" t="s">
        <v>21</v>
      </c>
      <c r="BR222">
        <v>1674</v>
      </c>
      <c r="BS222">
        <v>1</v>
      </c>
      <c r="BT222" s="2">
        <v>32277</v>
      </c>
      <c r="BU222" s="33">
        <f t="shared" si="12"/>
        <v>1988</v>
      </c>
      <c r="BX222">
        <v>7</v>
      </c>
      <c r="BY222" t="s">
        <v>211</v>
      </c>
      <c r="BZ222">
        <v>1.2E-2</v>
      </c>
      <c r="CA222">
        <f t="shared" si="13"/>
        <v>12</v>
      </c>
      <c r="CB222">
        <v>1</v>
      </c>
      <c r="CC222" t="s">
        <v>232</v>
      </c>
      <c r="CD222">
        <v>7</v>
      </c>
      <c r="CE222" t="s">
        <v>235</v>
      </c>
    </row>
    <row r="223" spans="1:83" x14ac:dyDescent="0.2">
      <c r="A223" s="76" t="s">
        <v>21</v>
      </c>
      <c r="B223" s="76">
        <v>1674</v>
      </c>
      <c r="C223" s="76">
        <v>1</v>
      </c>
      <c r="D223" s="77">
        <v>32048</v>
      </c>
      <c r="G223" s="257">
        <v>4</v>
      </c>
      <c r="H223" s="76" t="s">
        <v>211</v>
      </c>
      <c r="I223" s="76">
        <v>2.5999999999999999E-2</v>
      </c>
      <c r="J223" s="76">
        <v>1</v>
      </c>
      <c r="K223" s="76" t="s">
        <v>232</v>
      </c>
      <c r="L223" s="76">
        <v>8</v>
      </c>
      <c r="M223" s="76" t="s">
        <v>235</v>
      </c>
      <c r="BQ223" t="s">
        <v>21</v>
      </c>
      <c r="BR223">
        <v>1674</v>
      </c>
      <c r="BS223">
        <v>1</v>
      </c>
      <c r="BT223" s="2">
        <v>32277</v>
      </c>
      <c r="BU223" s="33">
        <f t="shared" si="12"/>
        <v>1988</v>
      </c>
      <c r="BX223">
        <v>9</v>
      </c>
      <c r="BY223" t="s">
        <v>211</v>
      </c>
      <c r="BZ223">
        <v>1.2999999999999999E-2</v>
      </c>
      <c r="CA223">
        <f t="shared" si="13"/>
        <v>13</v>
      </c>
      <c r="CB223">
        <v>1</v>
      </c>
      <c r="CC223" t="s">
        <v>232</v>
      </c>
      <c r="CD223">
        <v>7</v>
      </c>
      <c r="CE223" t="s">
        <v>235</v>
      </c>
    </row>
    <row r="224" spans="1:83" x14ac:dyDescent="0.2">
      <c r="A224" s="76" t="s">
        <v>21</v>
      </c>
      <c r="B224" s="76">
        <v>1674</v>
      </c>
      <c r="C224" s="76">
        <v>1</v>
      </c>
      <c r="D224" s="77">
        <v>32048</v>
      </c>
      <c r="G224" s="257">
        <v>6</v>
      </c>
      <c r="H224" s="76" t="s">
        <v>211</v>
      </c>
      <c r="I224" s="76">
        <v>2.3E-2</v>
      </c>
      <c r="J224" s="76">
        <v>1</v>
      </c>
      <c r="K224" s="76" t="s">
        <v>232</v>
      </c>
      <c r="L224" s="76">
        <v>8</v>
      </c>
      <c r="M224" s="76" t="s">
        <v>235</v>
      </c>
      <c r="BQ224" t="s">
        <v>21</v>
      </c>
      <c r="BR224">
        <v>1674</v>
      </c>
      <c r="BS224">
        <v>1</v>
      </c>
      <c r="BT224" s="2">
        <v>32277</v>
      </c>
      <c r="BU224" s="33">
        <f t="shared" si="12"/>
        <v>1988</v>
      </c>
      <c r="BX224">
        <v>11</v>
      </c>
      <c r="BY224" t="s">
        <v>211</v>
      </c>
      <c r="BZ224">
        <v>1.2999999999999999E-2</v>
      </c>
      <c r="CA224">
        <f t="shared" si="13"/>
        <v>13</v>
      </c>
      <c r="CB224">
        <v>1</v>
      </c>
      <c r="CC224" t="s">
        <v>232</v>
      </c>
      <c r="CD224">
        <v>7</v>
      </c>
      <c r="CE224" t="s">
        <v>235</v>
      </c>
    </row>
    <row r="225" spans="1:83" x14ac:dyDescent="0.2">
      <c r="A225" s="76" t="s">
        <v>21</v>
      </c>
      <c r="B225" s="76">
        <v>1674</v>
      </c>
      <c r="C225" s="76">
        <v>1</v>
      </c>
      <c r="D225" s="77">
        <v>32048</v>
      </c>
      <c r="G225" s="257">
        <v>8</v>
      </c>
      <c r="H225" s="76" t="s">
        <v>211</v>
      </c>
      <c r="I225" s="76">
        <v>2.4E-2</v>
      </c>
      <c r="J225" s="76">
        <v>1</v>
      </c>
      <c r="K225" s="76" t="s">
        <v>232</v>
      </c>
      <c r="L225" s="76">
        <v>8</v>
      </c>
      <c r="M225" s="76" t="s">
        <v>235</v>
      </c>
      <c r="BQ225" t="s">
        <v>21</v>
      </c>
      <c r="BR225">
        <v>1674</v>
      </c>
      <c r="BS225">
        <v>1</v>
      </c>
      <c r="BT225" s="2">
        <v>32277</v>
      </c>
      <c r="BU225" s="33">
        <f t="shared" si="12"/>
        <v>1988</v>
      </c>
      <c r="BX225">
        <v>13</v>
      </c>
      <c r="BY225" t="s">
        <v>211</v>
      </c>
      <c r="BZ225">
        <v>1.4E-2</v>
      </c>
      <c r="CA225">
        <f t="shared" si="13"/>
        <v>14</v>
      </c>
      <c r="CB225">
        <v>1</v>
      </c>
      <c r="CC225" t="s">
        <v>232</v>
      </c>
      <c r="CD225">
        <v>7</v>
      </c>
      <c r="CE225" t="s">
        <v>235</v>
      </c>
    </row>
    <row r="226" spans="1:83" x14ac:dyDescent="0.2">
      <c r="A226" s="76" t="s">
        <v>21</v>
      </c>
      <c r="B226" s="76">
        <v>1674</v>
      </c>
      <c r="C226" s="76">
        <v>1</v>
      </c>
      <c r="D226" s="77">
        <v>32048</v>
      </c>
      <c r="G226" s="257">
        <v>10</v>
      </c>
      <c r="H226" s="76" t="s">
        <v>211</v>
      </c>
      <c r="I226" s="76">
        <v>2.5999999999999999E-2</v>
      </c>
      <c r="J226" s="76">
        <v>1</v>
      </c>
      <c r="K226" s="76" t="s">
        <v>232</v>
      </c>
      <c r="L226" s="76">
        <v>8</v>
      </c>
      <c r="M226" s="76" t="s">
        <v>235</v>
      </c>
      <c r="BQ226" t="s">
        <v>21</v>
      </c>
      <c r="BR226">
        <v>1674</v>
      </c>
      <c r="BS226">
        <v>1</v>
      </c>
      <c r="BT226" s="2">
        <v>32296</v>
      </c>
      <c r="BU226" s="33">
        <f t="shared" si="12"/>
        <v>1988</v>
      </c>
      <c r="BX226">
        <v>1</v>
      </c>
      <c r="BY226" t="s">
        <v>211</v>
      </c>
      <c r="BZ226">
        <v>1.7999999999999999E-2</v>
      </c>
      <c r="CA226">
        <f t="shared" si="13"/>
        <v>18</v>
      </c>
      <c r="CB226">
        <v>1</v>
      </c>
      <c r="CC226" t="s">
        <v>232</v>
      </c>
      <c r="CD226">
        <v>6</v>
      </c>
      <c r="CE226" t="s">
        <v>235</v>
      </c>
    </row>
    <row r="227" spans="1:83" x14ac:dyDescent="0.2">
      <c r="A227" s="76" t="s">
        <v>21</v>
      </c>
      <c r="B227" s="76">
        <v>1674</v>
      </c>
      <c r="C227" s="76">
        <v>1</v>
      </c>
      <c r="D227" s="77">
        <v>32048</v>
      </c>
      <c r="G227" s="257">
        <v>12</v>
      </c>
      <c r="H227" s="76" t="s">
        <v>211</v>
      </c>
      <c r="I227" s="76">
        <v>2.5999999999999999E-2</v>
      </c>
      <c r="J227" s="76">
        <v>1</v>
      </c>
      <c r="K227" s="76" t="s">
        <v>232</v>
      </c>
      <c r="L227" s="76">
        <v>8</v>
      </c>
      <c r="M227" s="76" t="s">
        <v>235</v>
      </c>
      <c r="BQ227" t="s">
        <v>21</v>
      </c>
      <c r="BR227">
        <v>1674</v>
      </c>
      <c r="BS227">
        <v>1</v>
      </c>
      <c r="BT227" s="2">
        <v>32296</v>
      </c>
      <c r="BU227" s="33">
        <f t="shared" si="12"/>
        <v>1988</v>
      </c>
      <c r="BX227">
        <v>3</v>
      </c>
      <c r="BY227" t="s">
        <v>211</v>
      </c>
      <c r="BZ227">
        <v>2.5999999999999999E-2</v>
      </c>
      <c r="CA227">
        <f t="shared" si="13"/>
        <v>26</v>
      </c>
      <c r="CB227">
        <v>1</v>
      </c>
      <c r="CC227" t="s">
        <v>232</v>
      </c>
      <c r="CD227">
        <v>6</v>
      </c>
      <c r="CE227" t="s">
        <v>235</v>
      </c>
    </row>
    <row r="228" spans="1:83" x14ac:dyDescent="0.2">
      <c r="A228" s="76" t="s">
        <v>21</v>
      </c>
      <c r="B228" s="76">
        <v>1674</v>
      </c>
      <c r="C228" s="76">
        <v>1</v>
      </c>
      <c r="D228" s="77">
        <v>32048</v>
      </c>
      <c r="G228" s="257">
        <v>13</v>
      </c>
      <c r="H228" s="76" t="s">
        <v>211</v>
      </c>
      <c r="I228" s="76">
        <v>2.4E-2</v>
      </c>
      <c r="J228" s="76">
        <v>1</v>
      </c>
      <c r="K228" s="76" t="s">
        <v>232</v>
      </c>
      <c r="L228" s="76">
        <v>8</v>
      </c>
      <c r="M228" s="76" t="s">
        <v>235</v>
      </c>
      <c r="BQ228" t="s">
        <v>21</v>
      </c>
      <c r="BR228">
        <v>1674</v>
      </c>
      <c r="BS228">
        <v>1</v>
      </c>
      <c r="BT228" s="2">
        <v>32296</v>
      </c>
      <c r="BU228" s="33">
        <f t="shared" si="12"/>
        <v>1988</v>
      </c>
      <c r="BX228">
        <v>5</v>
      </c>
      <c r="BY228" t="s">
        <v>211</v>
      </c>
      <c r="BZ228">
        <v>1.6E-2</v>
      </c>
      <c r="CA228">
        <f t="shared" si="13"/>
        <v>16</v>
      </c>
      <c r="CB228">
        <v>1</v>
      </c>
      <c r="CC228" t="s">
        <v>232</v>
      </c>
      <c r="CD228">
        <v>6</v>
      </c>
      <c r="CE228" t="s">
        <v>235</v>
      </c>
    </row>
    <row r="229" spans="1:83" x14ac:dyDescent="0.2">
      <c r="A229" s="76" t="s">
        <v>21</v>
      </c>
      <c r="B229" s="76">
        <v>1674</v>
      </c>
      <c r="C229" s="76">
        <v>1</v>
      </c>
      <c r="D229" s="77">
        <v>32065</v>
      </c>
      <c r="G229" s="257">
        <v>0</v>
      </c>
      <c r="H229" s="76" t="s">
        <v>211</v>
      </c>
      <c r="I229" s="76">
        <v>2.1000000000000001E-2</v>
      </c>
      <c r="J229" s="76">
        <v>1</v>
      </c>
      <c r="K229" s="76" t="s">
        <v>232</v>
      </c>
      <c r="L229" s="76">
        <v>7</v>
      </c>
      <c r="M229" s="76" t="s">
        <v>235</v>
      </c>
      <c r="BQ229" t="s">
        <v>21</v>
      </c>
      <c r="BR229">
        <v>1674</v>
      </c>
      <c r="BS229">
        <v>1</v>
      </c>
      <c r="BT229" s="2">
        <v>32296</v>
      </c>
      <c r="BU229" s="33">
        <f t="shared" si="12"/>
        <v>1988</v>
      </c>
      <c r="BX229">
        <v>7</v>
      </c>
      <c r="BY229" t="s">
        <v>211</v>
      </c>
      <c r="BZ229">
        <v>2.3E-2</v>
      </c>
      <c r="CA229">
        <f t="shared" si="13"/>
        <v>23</v>
      </c>
      <c r="CB229">
        <v>1</v>
      </c>
      <c r="CC229" t="s">
        <v>232</v>
      </c>
      <c r="CD229">
        <v>6</v>
      </c>
      <c r="CE229" t="s">
        <v>235</v>
      </c>
    </row>
    <row r="230" spans="1:83" x14ac:dyDescent="0.2">
      <c r="A230" s="76" t="s">
        <v>21</v>
      </c>
      <c r="B230" s="76">
        <v>1674</v>
      </c>
      <c r="C230" s="76">
        <v>1</v>
      </c>
      <c r="D230" s="77">
        <v>32065</v>
      </c>
      <c r="G230" s="257">
        <v>2</v>
      </c>
      <c r="H230" s="76" t="s">
        <v>211</v>
      </c>
      <c r="I230" s="76">
        <v>2.1000000000000001E-2</v>
      </c>
      <c r="J230" s="76">
        <v>1</v>
      </c>
      <c r="K230" s="76" t="s">
        <v>232</v>
      </c>
      <c r="L230" s="76">
        <v>7</v>
      </c>
      <c r="M230" s="76" t="s">
        <v>235</v>
      </c>
      <c r="BQ230" t="s">
        <v>21</v>
      </c>
      <c r="BR230">
        <v>1674</v>
      </c>
      <c r="BS230">
        <v>1</v>
      </c>
      <c r="BT230" s="2">
        <v>32296</v>
      </c>
      <c r="BU230" s="33">
        <f t="shared" si="12"/>
        <v>1988</v>
      </c>
      <c r="BX230">
        <v>9</v>
      </c>
      <c r="BY230" t="s">
        <v>211</v>
      </c>
      <c r="BZ230">
        <v>1.7000000000000001E-2</v>
      </c>
      <c r="CA230">
        <f t="shared" si="13"/>
        <v>17</v>
      </c>
      <c r="CB230">
        <v>1</v>
      </c>
      <c r="CC230" t="s">
        <v>232</v>
      </c>
      <c r="CD230">
        <v>6</v>
      </c>
      <c r="CE230" t="s">
        <v>235</v>
      </c>
    </row>
    <row r="231" spans="1:83" x14ac:dyDescent="0.2">
      <c r="A231" s="76" t="s">
        <v>21</v>
      </c>
      <c r="B231" s="76">
        <v>1674</v>
      </c>
      <c r="C231" s="76">
        <v>1</v>
      </c>
      <c r="D231" s="77">
        <v>32065</v>
      </c>
      <c r="G231" s="257">
        <v>4</v>
      </c>
      <c r="H231" s="76" t="s">
        <v>211</v>
      </c>
      <c r="I231" s="76">
        <v>2.4E-2</v>
      </c>
      <c r="J231" s="76">
        <v>1</v>
      </c>
      <c r="K231" s="76" t="s">
        <v>232</v>
      </c>
      <c r="L231" s="76">
        <v>7</v>
      </c>
      <c r="M231" s="76" t="s">
        <v>235</v>
      </c>
      <c r="BQ231" t="s">
        <v>21</v>
      </c>
      <c r="BR231">
        <v>1674</v>
      </c>
      <c r="BS231">
        <v>1</v>
      </c>
      <c r="BT231" s="2">
        <v>32296</v>
      </c>
      <c r="BU231" s="33">
        <f t="shared" si="12"/>
        <v>1988</v>
      </c>
      <c r="BX231">
        <v>11</v>
      </c>
      <c r="BY231" t="s">
        <v>211</v>
      </c>
      <c r="BZ231">
        <v>1.9E-2</v>
      </c>
      <c r="CA231">
        <f t="shared" si="13"/>
        <v>19</v>
      </c>
      <c r="CB231">
        <v>1</v>
      </c>
      <c r="CC231" t="s">
        <v>232</v>
      </c>
      <c r="CD231">
        <v>6</v>
      </c>
      <c r="CE231" t="s">
        <v>235</v>
      </c>
    </row>
    <row r="232" spans="1:83" x14ac:dyDescent="0.2">
      <c r="A232" s="76" t="s">
        <v>21</v>
      </c>
      <c r="B232" s="76">
        <v>1674</v>
      </c>
      <c r="C232" s="76">
        <v>1</v>
      </c>
      <c r="D232" s="77">
        <v>32065</v>
      </c>
      <c r="G232" s="257">
        <v>6</v>
      </c>
      <c r="H232" s="76" t="s">
        <v>211</v>
      </c>
      <c r="I232" s="76">
        <v>2.4E-2</v>
      </c>
      <c r="J232" s="76">
        <v>1</v>
      </c>
      <c r="K232" s="76" t="s">
        <v>232</v>
      </c>
      <c r="L232" s="76">
        <v>7</v>
      </c>
      <c r="M232" s="76" t="s">
        <v>235</v>
      </c>
      <c r="BQ232" t="s">
        <v>21</v>
      </c>
      <c r="BR232">
        <v>1674</v>
      </c>
      <c r="BS232">
        <v>1</v>
      </c>
      <c r="BT232" s="2">
        <v>32310</v>
      </c>
      <c r="BU232" s="33">
        <f t="shared" si="12"/>
        <v>1988</v>
      </c>
      <c r="BX232">
        <v>1</v>
      </c>
      <c r="BY232" t="s">
        <v>211</v>
      </c>
      <c r="BZ232">
        <v>1.7000000000000001E-2</v>
      </c>
      <c r="CA232">
        <f t="shared" si="13"/>
        <v>17</v>
      </c>
      <c r="CB232">
        <v>1</v>
      </c>
      <c r="CC232" t="s">
        <v>232</v>
      </c>
      <c r="CD232">
        <v>6</v>
      </c>
      <c r="CE232" t="s">
        <v>235</v>
      </c>
    </row>
    <row r="233" spans="1:83" x14ac:dyDescent="0.2">
      <c r="A233" s="76" t="s">
        <v>21</v>
      </c>
      <c r="B233" s="76">
        <v>1674</v>
      </c>
      <c r="C233" s="76">
        <v>1</v>
      </c>
      <c r="D233" s="77">
        <v>32065</v>
      </c>
      <c r="G233" s="257">
        <v>8</v>
      </c>
      <c r="H233" s="76" t="s">
        <v>211</v>
      </c>
      <c r="I233" s="76">
        <v>0.02</v>
      </c>
      <c r="J233" s="76">
        <v>1</v>
      </c>
      <c r="K233" s="76" t="s">
        <v>232</v>
      </c>
      <c r="L233" s="76">
        <v>7</v>
      </c>
      <c r="M233" s="76" t="s">
        <v>235</v>
      </c>
      <c r="BQ233" t="s">
        <v>21</v>
      </c>
      <c r="BR233">
        <v>1674</v>
      </c>
      <c r="BS233">
        <v>1</v>
      </c>
      <c r="BT233" s="2">
        <v>32310</v>
      </c>
      <c r="BU233" s="33">
        <f t="shared" si="12"/>
        <v>1988</v>
      </c>
      <c r="BX233">
        <v>3</v>
      </c>
      <c r="BY233" t="s">
        <v>211</v>
      </c>
      <c r="BZ233">
        <v>1.4999999999999999E-2</v>
      </c>
      <c r="CA233">
        <f t="shared" si="13"/>
        <v>15</v>
      </c>
      <c r="CB233">
        <v>1</v>
      </c>
      <c r="CC233" t="s">
        <v>232</v>
      </c>
      <c r="CD233">
        <v>6</v>
      </c>
      <c r="CE233" t="s">
        <v>235</v>
      </c>
    </row>
    <row r="234" spans="1:83" x14ac:dyDescent="0.2">
      <c r="A234" s="76" t="s">
        <v>21</v>
      </c>
      <c r="B234" s="76">
        <v>1674</v>
      </c>
      <c r="C234" s="76">
        <v>1</v>
      </c>
      <c r="D234" s="77">
        <v>32065</v>
      </c>
      <c r="G234" s="257">
        <v>10</v>
      </c>
      <c r="H234" s="76" t="s">
        <v>211</v>
      </c>
      <c r="I234" s="76">
        <v>0.02</v>
      </c>
      <c r="J234" s="76">
        <v>1</v>
      </c>
      <c r="K234" s="76" t="s">
        <v>232</v>
      </c>
      <c r="L234" s="76">
        <v>7</v>
      </c>
      <c r="M234" s="76" t="s">
        <v>235</v>
      </c>
      <c r="BQ234" t="s">
        <v>21</v>
      </c>
      <c r="BR234">
        <v>1674</v>
      </c>
      <c r="BS234">
        <v>1</v>
      </c>
      <c r="BT234" s="2">
        <v>32310</v>
      </c>
      <c r="BU234" s="33">
        <f t="shared" si="12"/>
        <v>1988</v>
      </c>
      <c r="BX234">
        <v>5</v>
      </c>
      <c r="BY234" t="s">
        <v>211</v>
      </c>
      <c r="BZ234">
        <v>1.6E-2</v>
      </c>
      <c r="CA234">
        <f t="shared" si="13"/>
        <v>16</v>
      </c>
      <c r="CB234">
        <v>1</v>
      </c>
      <c r="CC234" t="s">
        <v>232</v>
      </c>
      <c r="CD234">
        <v>6</v>
      </c>
      <c r="CE234" t="s">
        <v>235</v>
      </c>
    </row>
    <row r="235" spans="1:83" x14ac:dyDescent="0.2">
      <c r="A235" s="76" t="s">
        <v>21</v>
      </c>
      <c r="B235" s="76">
        <v>1674</v>
      </c>
      <c r="C235" s="76">
        <v>1</v>
      </c>
      <c r="D235" s="77">
        <v>32065</v>
      </c>
      <c r="G235" s="257">
        <v>12</v>
      </c>
      <c r="H235" s="76" t="s">
        <v>211</v>
      </c>
      <c r="I235" s="76">
        <v>2.5000000000000001E-2</v>
      </c>
      <c r="J235" s="76">
        <v>1</v>
      </c>
      <c r="K235" s="76" t="s">
        <v>232</v>
      </c>
      <c r="L235" s="76">
        <v>7</v>
      </c>
      <c r="M235" s="76" t="s">
        <v>235</v>
      </c>
      <c r="BQ235" t="s">
        <v>21</v>
      </c>
      <c r="BR235">
        <v>1674</v>
      </c>
      <c r="BS235">
        <v>1</v>
      </c>
      <c r="BT235" s="2">
        <v>32310</v>
      </c>
      <c r="BU235" s="33">
        <f t="shared" si="12"/>
        <v>1988</v>
      </c>
      <c r="BX235">
        <v>7</v>
      </c>
      <c r="BY235" t="s">
        <v>211</v>
      </c>
      <c r="BZ235">
        <v>1.2E-2</v>
      </c>
      <c r="CA235">
        <f t="shared" si="13"/>
        <v>12</v>
      </c>
      <c r="CB235">
        <v>1</v>
      </c>
      <c r="CC235" t="s">
        <v>232</v>
      </c>
      <c r="CD235">
        <v>6</v>
      </c>
      <c r="CE235" t="s">
        <v>235</v>
      </c>
    </row>
    <row r="236" spans="1:83" x14ac:dyDescent="0.2">
      <c r="A236" s="76" t="s">
        <v>21</v>
      </c>
      <c r="B236" s="76">
        <v>1674</v>
      </c>
      <c r="C236" s="76">
        <v>1</v>
      </c>
      <c r="D236" s="77">
        <v>32078</v>
      </c>
      <c r="G236" s="257">
        <v>0</v>
      </c>
      <c r="H236" s="76" t="s">
        <v>211</v>
      </c>
      <c r="I236" s="76">
        <v>2.1000000000000001E-2</v>
      </c>
      <c r="J236" s="76">
        <v>1</v>
      </c>
      <c r="K236" s="76" t="s">
        <v>232</v>
      </c>
      <c r="L236" s="76">
        <v>7</v>
      </c>
      <c r="M236" s="76" t="s">
        <v>235</v>
      </c>
      <c r="BQ236" t="s">
        <v>21</v>
      </c>
      <c r="BR236">
        <v>1674</v>
      </c>
      <c r="BS236">
        <v>1</v>
      </c>
      <c r="BT236" s="2">
        <v>32310</v>
      </c>
      <c r="BU236" s="33">
        <f t="shared" si="12"/>
        <v>1988</v>
      </c>
      <c r="BX236">
        <v>9</v>
      </c>
      <c r="BY236" t="s">
        <v>211</v>
      </c>
      <c r="BZ236">
        <v>1.2999999999999999E-2</v>
      </c>
      <c r="CA236">
        <f t="shared" si="13"/>
        <v>13</v>
      </c>
      <c r="CB236">
        <v>1</v>
      </c>
      <c r="CC236" t="s">
        <v>232</v>
      </c>
      <c r="CD236">
        <v>6</v>
      </c>
      <c r="CE236" t="s">
        <v>235</v>
      </c>
    </row>
    <row r="237" spans="1:83" x14ac:dyDescent="0.2">
      <c r="A237" s="76" t="s">
        <v>21</v>
      </c>
      <c r="B237" s="76">
        <v>1674</v>
      </c>
      <c r="C237" s="76">
        <v>1</v>
      </c>
      <c r="D237" s="77">
        <v>32078</v>
      </c>
      <c r="G237" s="257">
        <v>2</v>
      </c>
      <c r="H237" s="76" t="s">
        <v>211</v>
      </c>
      <c r="I237" s="76">
        <v>2.1000000000000001E-2</v>
      </c>
      <c r="J237" s="76">
        <v>1</v>
      </c>
      <c r="K237" s="76" t="s">
        <v>232</v>
      </c>
      <c r="L237" s="76">
        <v>7</v>
      </c>
      <c r="M237" s="76" t="s">
        <v>235</v>
      </c>
      <c r="BQ237" t="s">
        <v>21</v>
      </c>
      <c r="BR237">
        <v>1674</v>
      </c>
      <c r="BS237">
        <v>1</v>
      </c>
      <c r="BT237" s="2">
        <v>32310</v>
      </c>
      <c r="BU237" s="33">
        <f t="shared" si="12"/>
        <v>1988</v>
      </c>
      <c r="BX237">
        <v>11</v>
      </c>
      <c r="BY237" t="s">
        <v>211</v>
      </c>
      <c r="BZ237">
        <v>1.2999999999999999E-2</v>
      </c>
      <c r="CA237">
        <f t="shared" si="13"/>
        <v>13</v>
      </c>
      <c r="CB237">
        <v>1</v>
      </c>
      <c r="CC237" t="s">
        <v>232</v>
      </c>
      <c r="CD237">
        <v>6</v>
      </c>
      <c r="CE237" t="s">
        <v>235</v>
      </c>
    </row>
    <row r="238" spans="1:83" x14ac:dyDescent="0.2">
      <c r="A238" s="76" t="s">
        <v>21</v>
      </c>
      <c r="B238" s="76">
        <v>1674</v>
      </c>
      <c r="C238" s="76">
        <v>1</v>
      </c>
      <c r="D238" s="77">
        <v>32078</v>
      </c>
      <c r="G238" s="257">
        <v>4</v>
      </c>
      <c r="H238" s="76" t="s">
        <v>211</v>
      </c>
      <c r="I238" s="76">
        <v>0.02</v>
      </c>
      <c r="J238" s="76">
        <v>1</v>
      </c>
      <c r="K238" s="76" t="s">
        <v>232</v>
      </c>
      <c r="L238" s="76">
        <v>7</v>
      </c>
      <c r="M238" s="76" t="s">
        <v>235</v>
      </c>
      <c r="BQ238" t="s">
        <v>21</v>
      </c>
      <c r="BR238">
        <v>1674</v>
      </c>
      <c r="BS238">
        <v>1</v>
      </c>
      <c r="BT238" s="2">
        <v>32322</v>
      </c>
      <c r="BU238" s="33">
        <f t="shared" si="12"/>
        <v>1988</v>
      </c>
      <c r="BX238">
        <v>1</v>
      </c>
      <c r="BY238" t="s">
        <v>211</v>
      </c>
      <c r="BZ238">
        <v>2.8000000000000001E-2</v>
      </c>
      <c r="CA238">
        <f t="shared" si="13"/>
        <v>28</v>
      </c>
      <c r="CB238">
        <v>1</v>
      </c>
      <c r="CC238" t="s">
        <v>232</v>
      </c>
      <c r="CD238">
        <v>6</v>
      </c>
      <c r="CE238" t="s">
        <v>235</v>
      </c>
    </row>
    <row r="239" spans="1:83" x14ac:dyDescent="0.2">
      <c r="A239" s="76" t="s">
        <v>21</v>
      </c>
      <c r="B239" s="76">
        <v>1674</v>
      </c>
      <c r="C239" s="76">
        <v>1</v>
      </c>
      <c r="D239" s="77">
        <v>32078</v>
      </c>
      <c r="G239" s="257">
        <v>6</v>
      </c>
      <c r="H239" s="76" t="s">
        <v>211</v>
      </c>
      <c r="I239" s="76">
        <v>2.1999999999999999E-2</v>
      </c>
      <c r="J239" s="76">
        <v>1</v>
      </c>
      <c r="K239" s="76" t="s">
        <v>232</v>
      </c>
      <c r="L239" s="76">
        <v>7</v>
      </c>
      <c r="M239" s="76" t="s">
        <v>235</v>
      </c>
      <c r="BQ239" t="s">
        <v>21</v>
      </c>
      <c r="BR239">
        <v>1674</v>
      </c>
      <c r="BS239">
        <v>1</v>
      </c>
      <c r="BT239" s="2">
        <v>32322</v>
      </c>
      <c r="BU239" s="33">
        <f t="shared" si="12"/>
        <v>1988</v>
      </c>
      <c r="BX239">
        <v>3</v>
      </c>
      <c r="BY239" t="s">
        <v>211</v>
      </c>
      <c r="BZ239">
        <v>2.4E-2</v>
      </c>
      <c r="CA239">
        <f t="shared" si="13"/>
        <v>24</v>
      </c>
      <c r="CB239">
        <v>1</v>
      </c>
      <c r="CC239" t="s">
        <v>232</v>
      </c>
      <c r="CD239">
        <v>6</v>
      </c>
      <c r="CE239" t="s">
        <v>235</v>
      </c>
    </row>
    <row r="240" spans="1:83" x14ac:dyDescent="0.2">
      <c r="A240" s="76" t="s">
        <v>21</v>
      </c>
      <c r="B240" s="76">
        <v>1674</v>
      </c>
      <c r="C240" s="76">
        <v>1</v>
      </c>
      <c r="D240" s="77">
        <v>32078</v>
      </c>
      <c r="G240" s="257">
        <v>8</v>
      </c>
      <c r="H240" s="76" t="s">
        <v>211</v>
      </c>
      <c r="I240" s="76">
        <v>2.1000000000000001E-2</v>
      </c>
      <c r="J240" s="76">
        <v>1</v>
      </c>
      <c r="K240" s="76" t="s">
        <v>232</v>
      </c>
      <c r="L240" s="76">
        <v>7</v>
      </c>
      <c r="M240" s="76" t="s">
        <v>235</v>
      </c>
      <c r="BQ240" t="s">
        <v>21</v>
      </c>
      <c r="BR240">
        <v>1674</v>
      </c>
      <c r="BS240">
        <v>1</v>
      </c>
      <c r="BT240" s="2">
        <v>32322</v>
      </c>
      <c r="BU240" s="33">
        <f t="shared" si="12"/>
        <v>1988</v>
      </c>
      <c r="BX240">
        <v>5</v>
      </c>
      <c r="BY240" t="s">
        <v>211</v>
      </c>
      <c r="BZ240">
        <v>2.5999999999999999E-2</v>
      </c>
      <c r="CA240">
        <f t="shared" si="13"/>
        <v>26</v>
      </c>
      <c r="CB240">
        <v>1</v>
      </c>
      <c r="CC240" t="s">
        <v>232</v>
      </c>
      <c r="CD240">
        <v>6</v>
      </c>
      <c r="CE240" t="s">
        <v>235</v>
      </c>
    </row>
    <row r="241" spans="1:83" x14ac:dyDescent="0.2">
      <c r="A241" s="76" t="s">
        <v>21</v>
      </c>
      <c r="B241" s="76">
        <v>1674</v>
      </c>
      <c r="C241" s="76">
        <v>1</v>
      </c>
      <c r="D241" s="77">
        <v>32078</v>
      </c>
      <c r="G241" s="257">
        <v>10</v>
      </c>
      <c r="H241" s="76" t="s">
        <v>211</v>
      </c>
      <c r="I241" s="76">
        <v>2.1999999999999999E-2</v>
      </c>
      <c r="J241" s="76">
        <v>1</v>
      </c>
      <c r="K241" s="76" t="s">
        <v>232</v>
      </c>
      <c r="L241" s="76">
        <v>7</v>
      </c>
      <c r="M241" s="76" t="s">
        <v>235</v>
      </c>
      <c r="BQ241" t="s">
        <v>21</v>
      </c>
      <c r="BR241">
        <v>1674</v>
      </c>
      <c r="BS241">
        <v>1</v>
      </c>
      <c r="BT241" s="2">
        <v>32322</v>
      </c>
      <c r="BU241" s="33">
        <f t="shared" si="12"/>
        <v>1988</v>
      </c>
      <c r="BX241">
        <v>7</v>
      </c>
      <c r="BY241" t="s">
        <v>211</v>
      </c>
      <c r="BZ241">
        <v>2.5000000000000001E-2</v>
      </c>
      <c r="CA241">
        <f t="shared" si="13"/>
        <v>25</v>
      </c>
      <c r="CB241">
        <v>1</v>
      </c>
      <c r="CC241" t="s">
        <v>232</v>
      </c>
      <c r="CD241">
        <v>6</v>
      </c>
      <c r="CE241" t="s">
        <v>235</v>
      </c>
    </row>
    <row r="242" spans="1:83" x14ac:dyDescent="0.2">
      <c r="A242" s="76" t="s">
        <v>21</v>
      </c>
      <c r="B242" s="76">
        <v>1674</v>
      </c>
      <c r="C242" s="76">
        <v>1</v>
      </c>
      <c r="D242" s="77">
        <v>32078</v>
      </c>
      <c r="G242" s="257">
        <v>12</v>
      </c>
      <c r="H242" s="76" t="s">
        <v>211</v>
      </c>
      <c r="I242" s="76">
        <v>2.5999999999999999E-2</v>
      </c>
      <c r="J242" s="76">
        <v>1</v>
      </c>
      <c r="K242" s="76" t="s">
        <v>232</v>
      </c>
      <c r="L242" s="76">
        <v>7</v>
      </c>
      <c r="M242" s="76" t="s">
        <v>235</v>
      </c>
      <c r="BQ242" t="s">
        <v>21</v>
      </c>
      <c r="BR242">
        <v>1674</v>
      </c>
      <c r="BS242">
        <v>1</v>
      </c>
      <c r="BT242" s="2">
        <v>32322</v>
      </c>
      <c r="BU242" s="33">
        <f t="shared" si="12"/>
        <v>1988</v>
      </c>
      <c r="BX242">
        <v>9</v>
      </c>
      <c r="BY242" t="s">
        <v>211</v>
      </c>
      <c r="BZ242">
        <v>0.03</v>
      </c>
      <c r="CA242" s="212">
        <f t="shared" si="13"/>
        <v>30</v>
      </c>
      <c r="CB242">
        <v>1</v>
      </c>
      <c r="CC242" t="s">
        <v>232</v>
      </c>
      <c r="CD242">
        <v>6</v>
      </c>
      <c r="CE242" t="s">
        <v>235</v>
      </c>
    </row>
    <row r="243" spans="1:83" x14ac:dyDescent="0.2">
      <c r="A243" s="76" t="s">
        <v>21</v>
      </c>
      <c r="B243" s="76">
        <v>1674</v>
      </c>
      <c r="C243" s="76">
        <v>1</v>
      </c>
      <c r="D243" s="77">
        <v>32237</v>
      </c>
      <c r="G243" s="257">
        <v>0</v>
      </c>
      <c r="H243" s="76" t="s">
        <v>211</v>
      </c>
      <c r="I243" s="76">
        <v>1.0999999999999999E-2</v>
      </c>
      <c r="J243" s="76">
        <v>1</v>
      </c>
      <c r="K243" s="76" t="s">
        <v>232</v>
      </c>
      <c r="L243" s="76">
        <v>13</v>
      </c>
      <c r="M243" s="76" t="s">
        <v>235</v>
      </c>
      <c r="BQ243" t="s">
        <v>21</v>
      </c>
      <c r="BR243">
        <v>1674</v>
      </c>
      <c r="BS243">
        <v>1</v>
      </c>
      <c r="BT243" s="2">
        <v>32322</v>
      </c>
      <c r="BU243" s="33">
        <f t="shared" si="12"/>
        <v>1988</v>
      </c>
      <c r="BX243">
        <v>11</v>
      </c>
      <c r="BY243" t="s">
        <v>211</v>
      </c>
      <c r="BZ243">
        <v>3.5000000000000003E-2</v>
      </c>
      <c r="CA243" s="212">
        <f t="shared" si="13"/>
        <v>35</v>
      </c>
      <c r="CB243">
        <v>1</v>
      </c>
      <c r="CC243" t="s">
        <v>232</v>
      </c>
      <c r="CD243">
        <v>6</v>
      </c>
      <c r="CE243" t="s">
        <v>235</v>
      </c>
    </row>
    <row r="244" spans="1:83" x14ac:dyDescent="0.2">
      <c r="A244" s="76" t="s">
        <v>21</v>
      </c>
      <c r="B244" s="76">
        <v>1674</v>
      </c>
      <c r="C244" s="76">
        <v>1</v>
      </c>
      <c r="D244" s="77">
        <v>32237</v>
      </c>
      <c r="G244" s="257">
        <v>1</v>
      </c>
      <c r="H244" s="76" t="s">
        <v>211</v>
      </c>
      <c r="I244" s="76">
        <v>0.01</v>
      </c>
      <c r="J244" s="76">
        <v>1</v>
      </c>
      <c r="K244" s="76" t="s">
        <v>232</v>
      </c>
      <c r="L244" s="76">
        <v>13</v>
      </c>
      <c r="M244" s="76" t="s">
        <v>235</v>
      </c>
      <c r="BQ244" t="s">
        <v>21</v>
      </c>
      <c r="BR244">
        <v>1674</v>
      </c>
      <c r="BS244">
        <v>1</v>
      </c>
      <c r="BT244" s="2">
        <v>32344</v>
      </c>
      <c r="BU244" s="33">
        <f t="shared" si="12"/>
        <v>1988</v>
      </c>
      <c r="BX244">
        <v>1</v>
      </c>
      <c r="BY244" t="s">
        <v>211</v>
      </c>
      <c r="BZ244">
        <v>3.2000000000000001E-2</v>
      </c>
      <c r="CA244">
        <f t="shared" si="13"/>
        <v>32</v>
      </c>
      <c r="CB244">
        <v>1</v>
      </c>
      <c r="CC244" t="s">
        <v>232</v>
      </c>
      <c r="CD244">
        <v>7</v>
      </c>
      <c r="CE244" t="s">
        <v>235</v>
      </c>
    </row>
    <row r="245" spans="1:83" x14ac:dyDescent="0.2">
      <c r="A245" s="76" t="s">
        <v>21</v>
      </c>
      <c r="B245" s="76">
        <v>1674</v>
      </c>
      <c r="C245" s="76">
        <v>1</v>
      </c>
      <c r="D245" s="77">
        <v>32237</v>
      </c>
      <c r="G245" s="257">
        <v>2</v>
      </c>
      <c r="H245" s="76" t="s">
        <v>211</v>
      </c>
      <c r="I245" s="76">
        <v>8.9999999999999993E-3</v>
      </c>
      <c r="J245" s="76">
        <v>1</v>
      </c>
      <c r="K245" s="76" t="s">
        <v>232</v>
      </c>
      <c r="L245" s="76">
        <v>13</v>
      </c>
      <c r="M245" s="76" t="s">
        <v>235</v>
      </c>
      <c r="BQ245" t="s">
        <v>21</v>
      </c>
      <c r="BR245">
        <v>1674</v>
      </c>
      <c r="BS245">
        <v>1</v>
      </c>
      <c r="BT245" s="2">
        <v>32344</v>
      </c>
      <c r="BU245" s="33">
        <f t="shared" si="12"/>
        <v>1988</v>
      </c>
      <c r="BX245">
        <v>3</v>
      </c>
      <c r="BY245" t="s">
        <v>211</v>
      </c>
      <c r="BZ245">
        <v>0.03</v>
      </c>
      <c r="CA245">
        <f t="shared" si="13"/>
        <v>30</v>
      </c>
      <c r="CB245">
        <v>1</v>
      </c>
      <c r="CC245" t="s">
        <v>232</v>
      </c>
      <c r="CD245">
        <v>7</v>
      </c>
      <c r="CE245" t="s">
        <v>235</v>
      </c>
    </row>
    <row r="246" spans="1:83" x14ac:dyDescent="0.2">
      <c r="A246" s="76" t="s">
        <v>21</v>
      </c>
      <c r="B246" s="76">
        <v>1674</v>
      </c>
      <c r="C246" s="76">
        <v>1</v>
      </c>
      <c r="D246" s="77">
        <v>32237</v>
      </c>
      <c r="G246" s="257">
        <v>3</v>
      </c>
      <c r="H246" s="76" t="s">
        <v>211</v>
      </c>
      <c r="I246" s="76">
        <v>8.9999999999999993E-3</v>
      </c>
      <c r="J246" s="76">
        <v>1</v>
      </c>
      <c r="K246" s="76" t="s">
        <v>232</v>
      </c>
      <c r="L246" s="76">
        <v>13</v>
      </c>
      <c r="M246" s="76" t="s">
        <v>235</v>
      </c>
      <c r="BQ246" t="s">
        <v>21</v>
      </c>
      <c r="BR246">
        <v>1674</v>
      </c>
      <c r="BS246">
        <v>1</v>
      </c>
      <c r="BT246" s="2">
        <v>32344</v>
      </c>
      <c r="BU246" s="33">
        <f t="shared" si="12"/>
        <v>1988</v>
      </c>
      <c r="BX246">
        <v>5</v>
      </c>
      <c r="BY246" t="s">
        <v>211</v>
      </c>
      <c r="BZ246">
        <v>2.3E-2</v>
      </c>
      <c r="CA246">
        <f t="shared" si="13"/>
        <v>23</v>
      </c>
      <c r="CB246">
        <v>1</v>
      </c>
      <c r="CC246" t="s">
        <v>232</v>
      </c>
      <c r="CD246">
        <v>7</v>
      </c>
      <c r="CE246" t="s">
        <v>235</v>
      </c>
    </row>
    <row r="247" spans="1:83" x14ac:dyDescent="0.2">
      <c r="A247" s="76" t="s">
        <v>21</v>
      </c>
      <c r="B247" s="76">
        <v>1674</v>
      </c>
      <c r="C247" s="76">
        <v>1</v>
      </c>
      <c r="D247" s="77">
        <v>32237</v>
      </c>
      <c r="G247" s="257">
        <v>4</v>
      </c>
      <c r="H247" s="76" t="s">
        <v>211</v>
      </c>
      <c r="I247" s="76">
        <v>8.9999999999999993E-3</v>
      </c>
      <c r="J247" s="76">
        <v>1</v>
      </c>
      <c r="K247" s="76" t="s">
        <v>232</v>
      </c>
      <c r="L247" s="76">
        <v>13</v>
      </c>
      <c r="M247" s="76" t="s">
        <v>235</v>
      </c>
      <c r="BQ247" t="s">
        <v>21</v>
      </c>
      <c r="BR247">
        <v>1674</v>
      </c>
      <c r="BS247">
        <v>1</v>
      </c>
      <c r="BT247" s="2">
        <v>32344</v>
      </c>
      <c r="BU247" s="33">
        <f t="shared" si="12"/>
        <v>1988</v>
      </c>
      <c r="BX247">
        <v>7</v>
      </c>
      <c r="BY247" t="s">
        <v>211</v>
      </c>
      <c r="BZ247">
        <v>2.9000000000000001E-2</v>
      </c>
      <c r="CA247">
        <f t="shared" si="13"/>
        <v>29</v>
      </c>
      <c r="CB247">
        <v>1</v>
      </c>
      <c r="CC247" t="s">
        <v>232</v>
      </c>
      <c r="CD247">
        <v>7</v>
      </c>
      <c r="CE247" t="s">
        <v>235</v>
      </c>
    </row>
    <row r="248" spans="1:83" x14ac:dyDescent="0.2">
      <c r="A248" s="76" t="s">
        <v>21</v>
      </c>
      <c r="B248" s="76">
        <v>1674</v>
      </c>
      <c r="C248" s="76">
        <v>1</v>
      </c>
      <c r="D248" s="77">
        <v>32237</v>
      </c>
      <c r="G248" s="257">
        <v>5</v>
      </c>
      <c r="H248" s="76" t="s">
        <v>211</v>
      </c>
      <c r="I248" s="76">
        <v>8.9999999999999993E-3</v>
      </c>
      <c r="J248" s="76">
        <v>1</v>
      </c>
      <c r="K248" s="76" t="s">
        <v>232</v>
      </c>
      <c r="L248" s="76">
        <v>13</v>
      </c>
      <c r="M248" s="76" t="s">
        <v>235</v>
      </c>
      <c r="BQ248" t="s">
        <v>21</v>
      </c>
      <c r="BR248">
        <v>1674</v>
      </c>
      <c r="BS248">
        <v>1</v>
      </c>
      <c r="BT248" s="2">
        <v>32344</v>
      </c>
      <c r="BU248" s="33">
        <f t="shared" si="12"/>
        <v>1988</v>
      </c>
      <c r="BX248">
        <v>9</v>
      </c>
      <c r="BY248" t="s">
        <v>211</v>
      </c>
      <c r="BZ248">
        <v>2.5999999999999999E-2</v>
      </c>
      <c r="CA248">
        <f t="shared" si="13"/>
        <v>26</v>
      </c>
      <c r="CB248">
        <v>1</v>
      </c>
      <c r="CC248" t="s">
        <v>232</v>
      </c>
      <c r="CD248">
        <v>7</v>
      </c>
      <c r="CE248" t="s">
        <v>235</v>
      </c>
    </row>
    <row r="249" spans="1:83" x14ac:dyDescent="0.2">
      <c r="A249" s="76" t="s">
        <v>21</v>
      </c>
      <c r="B249" s="76">
        <v>1674</v>
      </c>
      <c r="C249" s="76">
        <v>1</v>
      </c>
      <c r="D249" s="77">
        <v>32237</v>
      </c>
      <c r="G249" s="257">
        <v>6</v>
      </c>
      <c r="H249" s="76" t="s">
        <v>211</v>
      </c>
      <c r="I249" s="76">
        <v>0.01</v>
      </c>
      <c r="J249" s="76">
        <v>1</v>
      </c>
      <c r="K249" s="76" t="s">
        <v>232</v>
      </c>
      <c r="L249" s="76">
        <v>13</v>
      </c>
      <c r="M249" s="76" t="s">
        <v>235</v>
      </c>
      <c r="BQ249" t="s">
        <v>21</v>
      </c>
      <c r="BR249">
        <v>1674</v>
      </c>
      <c r="BS249">
        <v>1</v>
      </c>
      <c r="BT249" s="2">
        <v>32344</v>
      </c>
      <c r="BU249" s="33">
        <f t="shared" si="12"/>
        <v>1988</v>
      </c>
      <c r="BX249">
        <v>11</v>
      </c>
      <c r="BY249" t="s">
        <v>211</v>
      </c>
      <c r="BZ249">
        <v>2.5000000000000001E-2</v>
      </c>
      <c r="CA249">
        <f t="shared" si="13"/>
        <v>25</v>
      </c>
      <c r="CB249">
        <v>1</v>
      </c>
      <c r="CC249" t="s">
        <v>232</v>
      </c>
      <c r="CD249">
        <v>7</v>
      </c>
      <c r="CE249" t="s">
        <v>235</v>
      </c>
    </row>
    <row r="250" spans="1:83" x14ac:dyDescent="0.2">
      <c r="A250" s="76" t="s">
        <v>21</v>
      </c>
      <c r="B250" s="76">
        <v>1674</v>
      </c>
      <c r="C250" s="76">
        <v>1</v>
      </c>
      <c r="D250" s="77">
        <v>32237</v>
      </c>
      <c r="G250" s="257">
        <v>7</v>
      </c>
      <c r="H250" s="76" t="s">
        <v>211</v>
      </c>
      <c r="I250" s="76">
        <v>0.01</v>
      </c>
      <c r="J250" s="76">
        <v>1</v>
      </c>
      <c r="K250" s="76" t="s">
        <v>232</v>
      </c>
      <c r="L250" s="76">
        <v>13</v>
      </c>
      <c r="M250" s="76" t="s">
        <v>235</v>
      </c>
      <c r="BQ250" t="s">
        <v>21</v>
      </c>
      <c r="BR250">
        <v>1674</v>
      </c>
      <c r="BS250">
        <v>1</v>
      </c>
      <c r="BT250" s="2">
        <v>32344</v>
      </c>
      <c r="BU250" s="33">
        <f t="shared" si="12"/>
        <v>1988</v>
      </c>
      <c r="BX250">
        <v>12</v>
      </c>
      <c r="BY250" t="s">
        <v>211</v>
      </c>
      <c r="BZ250">
        <v>2.8000000000000001E-2</v>
      </c>
      <c r="CA250">
        <f t="shared" si="13"/>
        <v>28</v>
      </c>
      <c r="CB250">
        <v>1</v>
      </c>
      <c r="CC250" t="s">
        <v>232</v>
      </c>
      <c r="CD250">
        <v>7</v>
      </c>
      <c r="CE250" t="s">
        <v>235</v>
      </c>
    </row>
    <row r="251" spans="1:83" x14ac:dyDescent="0.2">
      <c r="A251" s="76" t="s">
        <v>21</v>
      </c>
      <c r="B251" s="76">
        <v>1674</v>
      </c>
      <c r="C251" s="76">
        <v>1</v>
      </c>
      <c r="D251" s="77">
        <v>32237</v>
      </c>
      <c r="G251" s="257">
        <v>8</v>
      </c>
      <c r="H251" s="76" t="s">
        <v>211</v>
      </c>
      <c r="I251" s="76">
        <v>1.2E-2</v>
      </c>
      <c r="J251" s="76">
        <v>1</v>
      </c>
      <c r="K251" s="76" t="s">
        <v>232</v>
      </c>
      <c r="L251" s="76">
        <v>13</v>
      </c>
      <c r="M251" s="76" t="s">
        <v>235</v>
      </c>
      <c r="BQ251" t="s">
        <v>21</v>
      </c>
      <c r="BR251">
        <v>1674</v>
      </c>
      <c r="BS251">
        <v>1</v>
      </c>
      <c r="BT251" s="2">
        <v>32357</v>
      </c>
      <c r="BU251" s="33">
        <f t="shared" si="12"/>
        <v>1988</v>
      </c>
      <c r="BX251">
        <v>1</v>
      </c>
      <c r="BY251" t="s">
        <v>211</v>
      </c>
      <c r="BZ251">
        <v>2.5000000000000001E-2</v>
      </c>
      <c r="CA251">
        <f t="shared" si="13"/>
        <v>25</v>
      </c>
      <c r="CB251">
        <v>1</v>
      </c>
      <c r="CC251" t="s">
        <v>232</v>
      </c>
      <c r="CD251">
        <v>9</v>
      </c>
      <c r="CE251" t="s">
        <v>235</v>
      </c>
    </row>
    <row r="252" spans="1:83" x14ac:dyDescent="0.2">
      <c r="A252" s="76" t="s">
        <v>21</v>
      </c>
      <c r="B252" s="76">
        <v>1674</v>
      </c>
      <c r="C252" s="76">
        <v>1</v>
      </c>
      <c r="D252" s="77">
        <v>32237</v>
      </c>
      <c r="G252" s="257">
        <v>9</v>
      </c>
      <c r="H252" s="76" t="s">
        <v>211</v>
      </c>
      <c r="I252" s="76">
        <v>1.0999999999999999E-2</v>
      </c>
      <c r="J252" s="76">
        <v>1</v>
      </c>
      <c r="K252" s="76" t="s">
        <v>232</v>
      </c>
      <c r="L252" s="76">
        <v>13</v>
      </c>
      <c r="M252" s="76" t="s">
        <v>235</v>
      </c>
      <c r="BQ252" t="s">
        <v>21</v>
      </c>
      <c r="BR252">
        <v>1674</v>
      </c>
      <c r="BS252">
        <v>1</v>
      </c>
      <c r="BT252" s="2">
        <v>32357</v>
      </c>
      <c r="BU252" s="33">
        <f t="shared" si="12"/>
        <v>1988</v>
      </c>
      <c r="BX252">
        <v>3</v>
      </c>
      <c r="BY252" t="s">
        <v>211</v>
      </c>
      <c r="BZ252">
        <v>0.02</v>
      </c>
      <c r="CA252">
        <f t="shared" si="13"/>
        <v>20</v>
      </c>
      <c r="CB252">
        <v>1</v>
      </c>
      <c r="CC252" t="s">
        <v>232</v>
      </c>
      <c r="CD252">
        <v>9</v>
      </c>
      <c r="CE252" t="s">
        <v>235</v>
      </c>
    </row>
    <row r="253" spans="1:83" x14ac:dyDescent="0.2">
      <c r="A253" s="76" t="s">
        <v>21</v>
      </c>
      <c r="B253" s="76">
        <v>1674</v>
      </c>
      <c r="C253" s="76">
        <v>1</v>
      </c>
      <c r="D253" s="77">
        <v>32237</v>
      </c>
      <c r="G253" s="257">
        <v>10</v>
      </c>
      <c r="H253" s="76" t="s">
        <v>211</v>
      </c>
      <c r="I253" s="76">
        <v>1.2E-2</v>
      </c>
      <c r="J253" s="76">
        <v>1</v>
      </c>
      <c r="K253" s="76" t="s">
        <v>232</v>
      </c>
      <c r="L253" s="76">
        <v>13</v>
      </c>
      <c r="M253" s="76" t="s">
        <v>235</v>
      </c>
      <c r="BQ253" t="s">
        <v>21</v>
      </c>
      <c r="BR253">
        <v>1674</v>
      </c>
      <c r="BS253">
        <v>1</v>
      </c>
      <c r="BT253" s="2">
        <v>32357</v>
      </c>
      <c r="BU253" s="33">
        <f t="shared" si="12"/>
        <v>1988</v>
      </c>
      <c r="BX253">
        <v>5</v>
      </c>
      <c r="BY253" t="s">
        <v>211</v>
      </c>
      <c r="BZ253">
        <v>2.7E-2</v>
      </c>
      <c r="CA253">
        <f t="shared" si="13"/>
        <v>27</v>
      </c>
      <c r="CB253">
        <v>1</v>
      </c>
      <c r="CC253" t="s">
        <v>232</v>
      </c>
      <c r="CD253">
        <v>9</v>
      </c>
      <c r="CE253" t="s">
        <v>235</v>
      </c>
    </row>
    <row r="254" spans="1:83" x14ac:dyDescent="0.2">
      <c r="A254" s="76" t="s">
        <v>21</v>
      </c>
      <c r="B254" s="76">
        <v>1674</v>
      </c>
      <c r="C254" s="76">
        <v>1</v>
      </c>
      <c r="D254" s="77">
        <v>32237</v>
      </c>
      <c r="G254" s="257">
        <v>11</v>
      </c>
      <c r="H254" s="76" t="s">
        <v>211</v>
      </c>
      <c r="I254" s="76">
        <v>1.2999999999999999E-2</v>
      </c>
      <c r="J254" s="76">
        <v>1</v>
      </c>
      <c r="K254" s="76" t="s">
        <v>232</v>
      </c>
      <c r="L254" s="76">
        <v>13</v>
      </c>
      <c r="M254" s="76" t="s">
        <v>235</v>
      </c>
      <c r="BQ254" t="s">
        <v>21</v>
      </c>
      <c r="BR254">
        <v>1674</v>
      </c>
      <c r="BS254">
        <v>1</v>
      </c>
      <c r="BT254" s="2">
        <v>32357</v>
      </c>
      <c r="BU254" s="33">
        <f t="shared" si="12"/>
        <v>1988</v>
      </c>
      <c r="BX254">
        <v>7</v>
      </c>
      <c r="BY254" t="s">
        <v>211</v>
      </c>
      <c r="BZ254">
        <v>2.1999999999999999E-2</v>
      </c>
      <c r="CA254">
        <f t="shared" si="13"/>
        <v>22</v>
      </c>
      <c r="CB254">
        <v>1</v>
      </c>
      <c r="CC254" t="s">
        <v>232</v>
      </c>
      <c r="CD254">
        <v>9</v>
      </c>
      <c r="CE254" t="s">
        <v>235</v>
      </c>
    </row>
    <row r="255" spans="1:83" x14ac:dyDescent="0.2">
      <c r="A255" s="76" t="s">
        <v>21</v>
      </c>
      <c r="B255" s="76">
        <v>1674</v>
      </c>
      <c r="C255" s="76">
        <v>1</v>
      </c>
      <c r="D255" s="77">
        <v>32237</v>
      </c>
      <c r="G255" s="257">
        <v>12</v>
      </c>
      <c r="H255" s="76" t="s">
        <v>211</v>
      </c>
      <c r="I255" s="76">
        <v>1.2E-2</v>
      </c>
      <c r="J255" s="76">
        <v>1</v>
      </c>
      <c r="K255" s="76" t="s">
        <v>232</v>
      </c>
      <c r="L255" s="76">
        <v>13</v>
      </c>
      <c r="M255" s="76" t="s">
        <v>235</v>
      </c>
      <c r="BQ255" t="s">
        <v>21</v>
      </c>
      <c r="BR255">
        <v>1674</v>
      </c>
      <c r="BS255">
        <v>1</v>
      </c>
      <c r="BT255" s="2">
        <v>32357</v>
      </c>
      <c r="BU255" s="33">
        <f t="shared" si="12"/>
        <v>1988</v>
      </c>
      <c r="BX255">
        <v>9</v>
      </c>
      <c r="BY255" t="s">
        <v>211</v>
      </c>
      <c r="BZ255">
        <v>1.7999999999999999E-2</v>
      </c>
      <c r="CA255">
        <f t="shared" si="13"/>
        <v>18</v>
      </c>
      <c r="CB255">
        <v>1</v>
      </c>
      <c r="CC255" t="s">
        <v>232</v>
      </c>
      <c r="CD255">
        <v>9</v>
      </c>
      <c r="CE255" t="s">
        <v>235</v>
      </c>
    </row>
    <row r="256" spans="1:83" x14ac:dyDescent="0.2">
      <c r="A256" s="76" t="s">
        <v>21</v>
      </c>
      <c r="B256" s="76">
        <v>1674</v>
      </c>
      <c r="C256" s="76">
        <v>1</v>
      </c>
      <c r="D256" s="77">
        <v>32277</v>
      </c>
      <c r="G256" s="257">
        <v>1</v>
      </c>
      <c r="H256" s="76" t="s">
        <v>211</v>
      </c>
      <c r="I256" s="76">
        <v>1.4E-2</v>
      </c>
      <c r="J256" s="76">
        <v>1</v>
      </c>
      <c r="K256" s="76" t="s">
        <v>232</v>
      </c>
      <c r="L256" s="76">
        <v>7</v>
      </c>
      <c r="M256" s="76" t="s">
        <v>235</v>
      </c>
      <c r="BQ256" t="s">
        <v>21</v>
      </c>
      <c r="BR256">
        <v>1674</v>
      </c>
      <c r="BS256">
        <v>1</v>
      </c>
      <c r="BT256" s="2">
        <v>32357</v>
      </c>
      <c r="BU256" s="33">
        <f t="shared" si="12"/>
        <v>1988</v>
      </c>
      <c r="BX256">
        <v>10</v>
      </c>
      <c r="BY256" t="s">
        <v>211</v>
      </c>
      <c r="BZ256">
        <v>1.7999999999999999E-2</v>
      </c>
      <c r="CA256">
        <f t="shared" si="13"/>
        <v>18</v>
      </c>
      <c r="CB256">
        <v>1</v>
      </c>
      <c r="CC256" t="s">
        <v>232</v>
      </c>
      <c r="CD256">
        <v>9</v>
      </c>
      <c r="CE256" t="s">
        <v>235</v>
      </c>
    </row>
    <row r="257" spans="1:83" x14ac:dyDescent="0.2">
      <c r="A257" s="76" t="s">
        <v>21</v>
      </c>
      <c r="B257" s="76">
        <v>1674</v>
      </c>
      <c r="C257" s="76">
        <v>1</v>
      </c>
      <c r="D257" s="77">
        <v>32277</v>
      </c>
      <c r="G257" s="257">
        <v>3</v>
      </c>
      <c r="H257" s="76" t="s">
        <v>211</v>
      </c>
      <c r="I257" s="76">
        <v>1.4E-2</v>
      </c>
      <c r="J257" s="76">
        <v>1</v>
      </c>
      <c r="K257" s="76" t="s">
        <v>232</v>
      </c>
      <c r="L257" s="76">
        <v>7</v>
      </c>
      <c r="M257" s="76" t="s">
        <v>235</v>
      </c>
      <c r="BQ257" t="s">
        <v>21</v>
      </c>
      <c r="BR257">
        <v>1674</v>
      </c>
      <c r="BS257">
        <v>1</v>
      </c>
      <c r="BT257" s="2">
        <v>32357</v>
      </c>
      <c r="BU257" s="33">
        <f t="shared" si="12"/>
        <v>1988</v>
      </c>
      <c r="BX257">
        <v>11</v>
      </c>
      <c r="BY257" t="s">
        <v>211</v>
      </c>
      <c r="BZ257">
        <v>2.1000000000000001E-2</v>
      </c>
      <c r="CA257">
        <f t="shared" si="13"/>
        <v>21</v>
      </c>
      <c r="CB257">
        <v>1</v>
      </c>
      <c r="CC257" t="s">
        <v>232</v>
      </c>
      <c r="CD257">
        <v>9</v>
      </c>
      <c r="CE257" t="s">
        <v>235</v>
      </c>
    </row>
    <row r="258" spans="1:83" x14ac:dyDescent="0.2">
      <c r="A258" s="76" t="s">
        <v>21</v>
      </c>
      <c r="B258" s="76">
        <v>1674</v>
      </c>
      <c r="C258" s="76">
        <v>1</v>
      </c>
      <c r="D258" s="77">
        <v>32277</v>
      </c>
      <c r="G258" s="257">
        <v>5</v>
      </c>
      <c r="H258" s="76" t="s">
        <v>211</v>
      </c>
      <c r="I258" s="76">
        <v>1.2999999999999999E-2</v>
      </c>
      <c r="J258" s="76">
        <v>1</v>
      </c>
      <c r="K258" s="76" t="s">
        <v>232</v>
      </c>
      <c r="L258" s="76">
        <v>7</v>
      </c>
      <c r="M258" s="76" t="s">
        <v>235</v>
      </c>
      <c r="BQ258" t="s">
        <v>21</v>
      </c>
      <c r="BR258">
        <v>1674</v>
      </c>
      <c r="BS258">
        <v>1</v>
      </c>
      <c r="BT258" s="2">
        <v>32357</v>
      </c>
      <c r="BU258" s="33">
        <f t="shared" si="12"/>
        <v>1988</v>
      </c>
      <c r="BX258">
        <v>12</v>
      </c>
      <c r="BY258" t="s">
        <v>211</v>
      </c>
      <c r="BZ258">
        <v>0.02</v>
      </c>
      <c r="CA258">
        <f t="shared" si="13"/>
        <v>20</v>
      </c>
      <c r="CB258">
        <v>1</v>
      </c>
      <c r="CC258" t="s">
        <v>232</v>
      </c>
      <c r="CD258">
        <v>9</v>
      </c>
      <c r="CE258" t="s">
        <v>235</v>
      </c>
    </row>
    <row r="259" spans="1:83" x14ac:dyDescent="0.2">
      <c r="A259" s="76" t="s">
        <v>21</v>
      </c>
      <c r="B259" s="76">
        <v>1674</v>
      </c>
      <c r="C259" s="76">
        <v>1</v>
      </c>
      <c r="D259" s="77">
        <v>32277</v>
      </c>
      <c r="G259" s="257">
        <v>7</v>
      </c>
      <c r="H259" s="76" t="s">
        <v>211</v>
      </c>
      <c r="I259" s="76">
        <v>1.2E-2</v>
      </c>
      <c r="J259" s="76">
        <v>1</v>
      </c>
      <c r="K259" s="76" t="s">
        <v>232</v>
      </c>
      <c r="L259" s="76">
        <v>7</v>
      </c>
      <c r="M259" s="76" t="s">
        <v>235</v>
      </c>
      <c r="BQ259" t="s">
        <v>21</v>
      </c>
      <c r="BR259">
        <v>1674</v>
      </c>
      <c r="BS259">
        <v>1</v>
      </c>
      <c r="BT259" s="2">
        <v>32357</v>
      </c>
      <c r="BU259" s="33">
        <f t="shared" si="12"/>
        <v>1988</v>
      </c>
      <c r="BX259">
        <v>13</v>
      </c>
      <c r="BY259" t="s">
        <v>211</v>
      </c>
      <c r="BZ259">
        <v>0.02</v>
      </c>
      <c r="CA259">
        <f t="shared" si="13"/>
        <v>20</v>
      </c>
      <c r="CB259">
        <v>1</v>
      </c>
      <c r="CC259" t="s">
        <v>232</v>
      </c>
      <c r="CD259">
        <v>9</v>
      </c>
      <c r="CE259" t="s">
        <v>235</v>
      </c>
    </row>
    <row r="260" spans="1:83" x14ac:dyDescent="0.2">
      <c r="A260" s="76" t="s">
        <v>21</v>
      </c>
      <c r="B260" s="76">
        <v>1674</v>
      </c>
      <c r="C260" s="76">
        <v>1</v>
      </c>
      <c r="D260" s="77">
        <v>32277</v>
      </c>
      <c r="G260" s="257">
        <v>9</v>
      </c>
      <c r="H260" s="76" t="s">
        <v>211</v>
      </c>
      <c r="I260" s="76">
        <v>1.2999999999999999E-2</v>
      </c>
      <c r="J260" s="76">
        <v>1</v>
      </c>
      <c r="K260" s="76" t="s">
        <v>232</v>
      </c>
      <c r="L260" s="76">
        <v>7</v>
      </c>
      <c r="M260" s="76" t="s">
        <v>235</v>
      </c>
      <c r="BQ260" t="s">
        <v>21</v>
      </c>
      <c r="BR260">
        <v>1674</v>
      </c>
      <c r="BS260">
        <v>1</v>
      </c>
      <c r="BT260" s="2">
        <v>32422</v>
      </c>
      <c r="BU260" s="33">
        <f t="shared" ref="BU260:BU323" si="14">YEAR(BT260)</f>
        <v>1988</v>
      </c>
      <c r="BX260">
        <v>1</v>
      </c>
      <c r="BY260" t="s">
        <v>211</v>
      </c>
      <c r="BZ260">
        <v>1.9E-2</v>
      </c>
      <c r="CA260">
        <f t="shared" ref="CA260:CA323" si="15">BZ260*1000</f>
        <v>19</v>
      </c>
      <c r="CB260">
        <v>1</v>
      </c>
      <c r="CC260" t="s">
        <v>232</v>
      </c>
      <c r="CD260">
        <v>6</v>
      </c>
      <c r="CE260" t="s">
        <v>235</v>
      </c>
    </row>
    <row r="261" spans="1:83" x14ac:dyDescent="0.2">
      <c r="A261" s="76" t="s">
        <v>21</v>
      </c>
      <c r="B261" s="76">
        <v>1674</v>
      </c>
      <c r="C261" s="76">
        <v>1</v>
      </c>
      <c r="D261" s="77">
        <v>32277</v>
      </c>
      <c r="G261" s="257">
        <v>11</v>
      </c>
      <c r="H261" s="76" t="s">
        <v>211</v>
      </c>
      <c r="I261" s="76">
        <v>1.2999999999999999E-2</v>
      </c>
      <c r="J261" s="76">
        <v>1</v>
      </c>
      <c r="K261" s="76" t="s">
        <v>232</v>
      </c>
      <c r="L261" s="76">
        <v>7</v>
      </c>
      <c r="M261" s="76" t="s">
        <v>235</v>
      </c>
      <c r="BQ261" t="s">
        <v>21</v>
      </c>
      <c r="BR261">
        <v>1674</v>
      </c>
      <c r="BS261">
        <v>1</v>
      </c>
      <c r="BT261" s="2">
        <v>32422</v>
      </c>
      <c r="BU261" s="33">
        <f t="shared" si="14"/>
        <v>1988</v>
      </c>
      <c r="BX261">
        <v>3</v>
      </c>
      <c r="BY261" t="s">
        <v>211</v>
      </c>
      <c r="BZ261">
        <v>2.1000000000000001E-2</v>
      </c>
      <c r="CA261">
        <f t="shared" si="15"/>
        <v>21</v>
      </c>
      <c r="CB261">
        <v>1</v>
      </c>
      <c r="CC261" t="s">
        <v>232</v>
      </c>
      <c r="CD261">
        <v>6</v>
      </c>
      <c r="CE261" t="s">
        <v>235</v>
      </c>
    </row>
    <row r="262" spans="1:83" x14ac:dyDescent="0.2">
      <c r="A262" s="76" t="s">
        <v>21</v>
      </c>
      <c r="B262" s="76">
        <v>1674</v>
      </c>
      <c r="C262" s="76">
        <v>1</v>
      </c>
      <c r="D262" s="77">
        <v>32277</v>
      </c>
      <c r="G262" s="257">
        <v>13</v>
      </c>
      <c r="H262" s="76" t="s">
        <v>211</v>
      </c>
      <c r="I262" s="76">
        <v>1.4E-2</v>
      </c>
      <c r="J262" s="76">
        <v>1</v>
      </c>
      <c r="K262" s="76" t="s">
        <v>232</v>
      </c>
      <c r="L262" s="76">
        <v>7</v>
      </c>
      <c r="M262" s="76" t="s">
        <v>235</v>
      </c>
      <c r="BQ262" t="s">
        <v>21</v>
      </c>
      <c r="BR262">
        <v>1674</v>
      </c>
      <c r="BS262">
        <v>1</v>
      </c>
      <c r="BT262" s="2">
        <v>32422</v>
      </c>
      <c r="BU262" s="33">
        <f t="shared" si="14"/>
        <v>1988</v>
      </c>
      <c r="BX262">
        <v>5</v>
      </c>
      <c r="BY262" t="s">
        <v>211</v>
      </c>
      <c r="BZ262">
        <v>2.1000000000000001E-2</v>
      </c>
      <c r="CA262">
        <f t="shared" si="15"/>
        <v>21</v>
      </c>
      <c r="CB262">
        <v>1</v>
      </c>
      <c r="CC262" t="s">
        <v>232</v>
      </c>
      <c r="CD262">
        <v>6</v>
      </c>
      <c r="CE262" t="s">
        <v>235</v>
      </c>
    </row>
    <row r="263" spans="1:83" x14ac:dyDescent="0.2">
      <c r="A263" s="76" t="s">
        <v>21</v>
      </c>
      <c r="B263" s="76">
        <v>1674</v>
      </c>
      <c r="C263" s="76">
        <v>1</v>
      </c>
      <c r="D263" s="77">
        <v>32296</v>
      </c>
      <c r="G263" s="257">
        <v>1</v>
      </c>
      <c r="H263" s="76" t="s">
        <v>211</v>
      </c>
      <c r="I263" s="76">
        <v>1.7999999999999999E-2</v>
      </c>
      <c r="J263" s="76">
        <v>1</v>
      </c>
      <c r="K263" s="76" t="s">
        <v>232</v>
      </c>
      <c r="L263" s="76">
        <v>6</v>
      </c>
      <c r="M263" s="76" t="s">
        <v>235</v>
      </c>
      <c r="BQ263" t="s">
        <v>21</v>
      </c>
      <c r="BR263">
        <v>1674</v>
      </c>
      <c r="BS263">
        <v>1</v>
      </c>
      <c r="BT263" s="2">
        <v>32422</v>
      </c>
      <c r="BU263" s="33">
        <f t="shared" si="14"/>
        <v>1988</v>
      </c>
      <c r="BX263">
        <v>7</v>
      </c>
      <c r="BY263" t="s">
        <v>211</v>
      </c>
      <c r="BZ263">
        <v>1.7000000000000001E-2</v>
      </c>
      <c r="CA263">
        <f t="shared" si="15"/>
        <v>17</v>
      </c>
      <c r="CB263">
        <v>1</v>
      </c>
      <c r="CC263" t="s">
        <v>232</v>
      </c>
      <c r="CD263">
        <v>6</v>
      </c>
      <c r="CE263" t="s">
        <v>235</v>
      </c>
    </row>
    <row r="264" spans="1:83" x14ac:dyDescent="0.2">
      <c r="A264" s="76" t="s">
        <v>21</v>
      </c>
      <c r="B264" s="76">
        <v>1674</v>
      </c>
      <c r="C264" s="76">
        <v>1</v>
      </c>
      <c r="D264" s="77">
        <v>32296</v>
      </c>
      <c r="G264" s="257">
        <v>3</v>
      </c>
      <c r="H264" s="76" t="s">
        <v>211</v>
      </c>
      <c r="I264" s="76">
        <v>2.5999999999999999E-2</v>
      </c>
      <c r="J264" s="76">
        <v>1</v>
      </c>
      <c r="K264" s="76" t="s">
        <v>232</v>
      </c>
      <c r="L264" s="76">
        <v>6</v>
      </c>
      <c r="M264" s="76" t="s">
        <v>235</v>
      </c>
      <c r="BQ264" t="s">
        <v>21</v>
      </c>
      <c r="BR264">
        <v>1674</v>
      </c>
      <c r="BS264">
        <v>1</v>
      </c>
      <c r="BT264" s="2">
        <v>32422</v>
      </c>
      <c r="BU264" s="33">
        <f t="shared" si="14"/>
        <v>1988</v>
      </c>
      <c r="BX264">
        <v>9</v>
      </c>
      <c r="BY264" t="s">
        <v>211</v>
      </c>
      <c r="BZ264">
        <v>1.6E-2</v>
      </c>
      <c r="CA264">
        <f t="shared" si="15"/>
        <v>16</v>
      </c>
      <c r="CB264">
        <v>1</v>
      </c>
      <c r="CC264" t="s">
        <v>232</v>
      </c>
      <c r="CD264">
        <v>6</v>
      </c>
      <c r="CE264" t="s">
        <v>235</v>
      </c>
    </row>
    <row r="265" spans="1:83" x14ac:dyDescent="0.2">
      <c r="A265" s="76" t="s">
        <v>21</v>
      </c>
      <c r="B265" s="76">
        <v>1674</v>
      </c>
      <c r="C265" s="76">
        <v>1</v>
      </c>
      <c r="D265" s="77">
        <v>32296</v>
      </c>
      <c r="G265" s="257">
        <v>5</v>
      </c>
      <c r="H265" s="76" t="s">
        <v>211</v>
      </c>
      <c r="I265" s="76">
        <v>1.6E-2</v>
      </c>
      <c r="J265" s="76">
        <v>1</v>
      </c>
      <c r="K265" s="76" t="s">
        <v>232</v>
      </c>
      <c r="L265" s="76">
        <v>6</v>
      </c>
      <c r="M265" s="76" t="s">
        <v>235</v>
      </c>
      <c r="BQ265" t="s">
        <v>21</v>
      </c>
      <c r="BR265">
        <v>1674</v>
      </c>
      <c r="BS265">
        <v>1</v>
      </c>
      <c r="BT265" s="2">
        <v>32422</v>
      </c>
      <c r="BU265" s="33">
        <f t="shared" si="14"/>
        <v>1988</v>
      </c>
      <c r="BX265">
        <v>11</v>
      </c>
      <c r="BY265" t="s">
        <v>211</v>
      </c>
      <c r="BZ265">
        <v>1.7000000000000001E-2</v>
      </c>
      <c r="CA265">
        <f t="shared" si="15"/>
        <v>17</v>
      </c>
      <c r="CB265">
        <v>1</v>
      </c>
      <c r="CC265" t="s">
        <v>232</v>
      </c>
      <c r="CD265">
        <v>6</v>
      </c>
      <c r="CE265" t="s">
        <v>235</v>
      </c>
    </row>
    <row r="266" spans="1:83" x14ac:dyDescent="0.2">
      <c r="A266" s="76" t="s">
        <v>21</v>
      </c>
      <c r="B266" s="76">
        <v>1674</v>
      </c>
      <c r="C266" s="76">
        <v>1</v>
      </c>
      <c r="D266" s="77">
        <v>32296</v>
      </c>
      <c r="G266" s="257">
        <v>7</v>
      </c>
      <c r="H266" s="76" t="s">
        <v>211</v>
      </c>
      <c r="I266" s="76">
        <v>2.3E-2</v>
      </c>
      <c r="J266" s="76">
        <v>1</v>
      </c>
      <c r="K266" s="76" t="s">
        <v>232</v>
      </c>
      <c r="L266" s="76">
        <v>6</v>
      </c>
      <c r="M266" s="76" t="s">
        <v>235</v>
      </c>
      <c r="BQ266" t="s">
        <v>21</v>
      </c>
      <c r="BR266">
        <v>1674</v>
      </c>
      <c r="BS266">
        <v>1</v>
      </c>
      <c r="BT266" s="2">
        <v>32582</v>
      </c>
      <c r="BU266" s="33">
        <f t="shared" si="14"/>
        <v>1989</v>
      </c>
      <c r="BX266">
        <v>1</v>
      </c>
      <c r="BY266" t="s">
        <v>211</v>
      </c>
      <c r="BZ266">
        <v>0.01</v>
      </c>
      <c r="CA266">
        <f t="shared" si="15"/>
        <v>10</v>
      </c>
      <c r="CB266">
        <v>1</v>
      </c>
      <c r="CC266" t="s">
        <v>232</v>
      </c>
      <c r="CD266">
        <v>12</v>
      </c>
      <c r="CE266" t="s">
        <v>235</v>
      </c>
    </row>
    <row r="267" spans="1:83" x14ac:dyDescent="0.2">
      <c r="A267" s="76" t="s">
        <v>21</v>
      </c>
      <c r="B267" s="76">
        <v>1674</v>
      </c>
      <c r="C267" s="76">
        <v>1</v>
      </c>
      <c r="D267" s="77">
        <v>32296</v>
      </c>
      <c r="G267" s="257">
        <v>9</v>
      </c>
      <c r="H267" s="76" t="s">
        <v>211</v>
      </c>
      <c r="I267" s="76">
        <v>1.7000000000000001E-2</v>
      </c>
      <c r="J267" s="76">
        <v>1</v>
      </c>
      <c r="K267" s="76" t="s">
        <v>232</v>
      </c>
      <c r="L267" s="76">
        <v>6</v>
      </c>
      <c r="M267" s="76" t="s">
        <v>235</v>
      </c>
      <c r="BQ267" t="s">
        <v>21</v>
      </c>
      <c r="BR267">
        <v>1674</v>
      </c>
      <c r="BS267">
        <v>1</v>
      </c>
      <c r="BT267" s="2">
        <v>32582</v>
      </c>
      <c r="BU267" s="33">
        <f t="shared" si="14"/>
        <v>1989</v>
      </c>
      <c r="BX267">
        <v>2</v>
      </c>
      <c r="BY267" t="s">
        <v>211</v>
      </c>
      <c r="BZ267">
        <v>1.6E-2</v>
      </c>
      <c r="CA267">
        <f t="shared" si="15"/>
        <v>16</v>
      </c>
      <c r="CB267">
        <v>1</v>
      </c>
      <c r="CC267" t="s">
        <v>232</v>
      </c>
      <c r="CD267">
        <v>12</v>
      </c>
      <c r="CE267" t="s">
        <v>235</v>
      </c>
    </row>
    <row r="268" spans="1:83" x14ac:dyDescent="0.2">
      <c r="A268" s="76" t="s">
        <v>21</v>
      </c>
      <c r="B268" s="76">
        <v>1674</v>
      </c>
      <c r="C268" s="76">
        <v>1</v>
      </c>
      <c r="D268" s="77">
        <v>32296</v>
      </c>
      <c r="G268" s="257">
        <v>11</v>
      </c>
      <c r="H268" s="76" t="s">
        <v>211</v>
      </c>
      <c r="I268" s="76">
        <v>1.9E-2</v>
      </c>
      <c r="J268" s="76">
        <v>1</v>
      </c>
      <c r="K268" s="76" t="s">
        <v>232</v>
      </c>
      <c r="L268" s="76">
        <v>6</v>
      </c>
      <c r="M268" s="76" t="s">
        <v>235</v>
      </c>
      <c r="BQ268" t="s">
        <v>21</v>
      </c>
      <c r="BR268">
        <v>1674</v>
      </c>
      <c r="BS268">
        <v>1</v>
      </c>
      <c r="BT268" s="2">
        <v>32582</v>
      </c>
      <c r="BU268" s="33">
        <f t="shared" si="14"/>
        <v>1989</v>
      </c>
      <c r="BX268">
        <v>3</v>
      </c>
      <c r="BY268" t="s">
        <v>211</v>
      </c>
      <c r="BZ268">
        <v>2.8000000000000001E-2</v>
      </c>
      <c r="CA268">
        <f t="shared" si="15"/>
        <v>28</v>
      </c>
      <c r="CB268">
        <v>1</v>
      </c>
      <c r="CC268" t="s">
        <v>232</v>
      </c>
      <c r="CD268">
        <v>12</v>
      </c>
      <c r="CE268" t="s">
        <v>235</v>
      </c>
    </row>
    <row r="269" spans="1:83" x14ac:dyDescent="0.2">
      <c r="A269" s="76" t="s">
        <v>21</v>
      </c>
      <c r="B269" s="76">
        <v>1674</v>
      </c>
      <c r="C269" s="76">
        <v>1</v>
      </c>
      <c r="D269" s="77">
        <v>32310</v>
      </c>
      <c r="G269" s="257">
        <v>1</v>
      </c>
      <c r="H269" s="76" t="s">
        <v>211</v>
      </c>
      <c r="I269" s="76">
        <v>1.7000000000000001E-2</v>
      </c>
      <c r="J269" s="76">
        <v>1</v>
      </c>
      <c r="K269" s="76" t="s">
        <v>232</v>
      </c>
      <c r="L269" s="76">
        <v>6</v>
      </c>
      <c r="M269" s="76" t="s">
        <v>235</v>
      </c>
      <c r="BQ269" t="s">
        <v>21</v>
      </c>
      <c r="BR269">
        <v>1674</v>
      </c>
      <c r="BS269">
        <v>1</v>
      </c>
      <c r="BT269" s="2">
        <v>32582</v>
      </c>
      <c r="BU269" s="33">
        <f t="shared" si="14"/>
        <v>1989</v>
      </c>
      <c r="BX269">
        <v>4</v>
      </c>
      <c r="BY269" t="s">
        <v>211</v>
      </c>
      <c r="BZ269">
        <v>2E-3</v>
      </c>
      <c r="CA269">
        <f t="shared" si="15"/>
        <v>2</v>
      </c>
      <c r="CB269">
        <v>1</v>
      </c>
      <c r="CC269" t="s">
        <v>232</v>
      </c>
      <c r="CD269">
        <v>12</v>
      </c>
      <c r="CE269" t="s">
        <v>235</v>
      </c>
    </row>
    <row r="270" spans="1:83" x14ac:dyDescent="0.2">
      <c r="A270" s="76" t="s">
        <v>21</v>
      </c>
      <c r="B270" s="76">
        <v>1674</v>
      </c>
      <c r="C270" s="76">
        <v>1</v>
      </c>
      <c r="D270" s="77">
        <v>32310</v>
      </c>
      <c r="G270" s="257">
        <v>3</v>
      </c>
      <c r="H270" s="76" t="s">
        <v>211</v>
      </c>
      <c r="I270" s="76">
        <v>1.4999999999999999E-2</v>
      </c>
      <c r="J270" s="76">
        <v>1</v>
      </c>
      <c r="K270" s="76" t="s">
        <v>232</v>
      </c>
      <c r="L270" s="76">
        <v>6</v>
      </c>
      <c r="M270" s="76" t="s">
        <v>235</v>
      </c>
      <c r="BQ270" t="s">
        <v>21</v>
      </c>
      <c r="BR270">
        <v>1674</v>
      </c>
      <c r="BS270">
        <v>1</v>
      </c>
      <c r="BT270" s="2">
        <v>32582</v>
      </c>
      <c r="BU270" s="33">
        <f t="shared" si="14"/>
        <v>1989</v>
      </c>
      <c r="BX270">
        <v>5</v>
      </c>
      <c r="BY270" t="s">
        <v>211</v>
      </c>
      <c r="BZ270">
        <v>3.0000000000000001E-3</v>
      </c>
      <c r="CA270">
        <f t="shared" si="15"/>
        <v>3</v>
      </c>
      <c r="CB270">
        <v>1</v>
      </c>
      <c r="CC270" t="s">
        <v>232</v>
      </c>
      <c r="CD270">
        <v>12</v>
      </c>
      <c r="CE270" t="s">
        <v>235</v>
      </c>
    </row>
    <row r="271" spans="1:83" x14ac:dyDescent="0.2">
      <c r="A271" s="76" t="s">
        <v>21</v>
      </c>
      <c r="B271" s="76">
        <v>1674</v>
      </c>
      <c r="C271" s="76">
        <v>1</v>
      </c>
      <c r="D271" s="77">
        <v>32310</v>
      </c>
      <c r="G271" s="257">
        <v>5</v>
      </c>
      <c r="H271" s="76" t="s">
        <v>211</v>
      </c>
      <c r="I271" s="76">
        <v>1.6E-2</v>
      </c>
      <c r="J271" s="76">
        <v>1</v>
      </c>
      <c r="K271" s="76" t="s">
        <v>232</v>
      </c>
      <c r="L271" s="76">
        <v>6</v>
      </c>
      <c r="M271" s="76" t="s">
        <v>235</v>
      </c>
      <c r="BQ271" t="s">
        <v>21</v>
      </c>
      <c r="BR271">
        <v>1674</v>
      </c>
      <c r="BS271">
        <v>1</v>
      </c>
      <c r="BT271" s="2">
        <v>32582</v>
      </c>
      <c r="BU271" s="33">
        <f t="shared" si="14"/>
        <v>1989</v>
      </c>
      <c r="BX271">
        <v>6</v>
      </c>
      <c r="BY271" t="s">
        <v>211</v>
      </c>
      <c r="BZ271">
        <v>0.01</v>
      </c>
      <c r="CA271">
        <f t="shared" si="15"/>
        <v>10</v>
      </c>
      <c r="CB271">
        <v>1</v>
      </c>
      <c r="CC271" t="s">
        <v>232</v>
      </c>
      <c r="CD271">
        <v>12</v>
      </c>
      <c r="CE271" t="s">
        <v>235</v>
      </c>
    </row>
    <row r="272" spans="1:83" x14ac:dyDescent="0.2">
      <c r="A272" s="76" t="s">
        <v>21</v>
      </c>
      <c r="B272" s="76">
        <v>1674</v>
      </c>
      <c r="C272" s="76">
        <v>1</v>
      </c>
      <c r="D272" s="77">
        <v>32310</v>
      </c>
      <c r="G272" s="257">
        <v>7</v>
      </c>
      <c r="H272" s="76" t="s">
        <v>211</v>
      </c>
      <c r="I272" s="76">
        <v>1.2E-2</v>
      </c>
      <c r="J272" s="76">
        <v>1</v>
      </c>
      <c r="K272" s="76" t="s">
        <v>232</v>
      </c>
      <c r="L272" s="76">
        <v>6</v>
      </c>
      <c r="M272" s="76" t="s">
        <v>235</v>
      </c>
      <c r="BQ272" t="s">
        <v>21</v>
      </c>
      <c r="BR272">
        <v>1674</v>
      </c>
      <c r="BS272">
        <v>1</v>
      </c>
      <c r="BT272" s="2">
        <v>32582</v>
      </c>
      <c r="BU272" s="33">
        <f t="shared" si="14"/>
        <v>1989</v>
      </c>
      <c r="BX272">
        <v>7</v>
      </c>
      <c r="BY272" t="s">
        <v>211</v>
      </c>
      <c r="BZ272">
        <v>2E-3</v>
      </c>
      <c r="CA272">
        <f t="shared" si="15"/>
        <v>2</v>
      </c>
      <c r="CB272">
        <v>1</v>
      </c>
      <c r="CC272" t="s">
        <v>232</v>
      </c>
      <c r="CD272">
        <v>12</v>
      </c>
      <c r="CE272" t="s">
        <v>235</v>
      </c>
    </row>
    <row r="273" spans="1:83" x14ac:dyDescent="0.2">
      <c r="A273" s="76" t="s">
        <v>21</v>
      </c>
      <c r="B273" s="76">
        <v>1674</v>
      </c>
      <c r="C273" s="76">
        <v>1</v>
      </c>
      <c r="D273" s="77">
        <v>32310</v>
      </c>
      <c r="G273" s="257">
        <v>9</v>
      </c>
      <c r="H273" s="76" t="s">
        <v>211</v>
      </c>
      <c r="I273" s="76">
        <v>1.2999999999999999E-2</v>
      </c>
      <c r="J273" s="76">
        <v>1</v>
      </c>
      <c r="K273" s="76" t="s">
        <v>232</v>
      </c>
      <c r="L273" s="76">
        <v>6</v>
      </c>
      <c r="M273" s="76" t="s">
        <v>235</v>
      </c>
      <c r="BQ273" t="s">
        <v>21</v>
      </c>
      <c r="BR273">
        <v>1674</v>
      </c>
      <c r="BS273">
        <v>1</v>
      </c>
      <c r="BT273" s="2">
        <v>32582</v>
      </c>
      <c r="BU273" s="33">
        <f t="shared" si="14"/>
        <v>1989</v>
      </c>
      <c r="BX273">
        <v>8</v>
      </c>
      <c r="BY273" t="s">
        <v>211</v>
      </c>
      <c r="BZ273">
        <v>2E-3</v>
      </c>
      <c r="CA273">
        <f t="shared" si="15"/>
        <v>2</v>
      </c>
      <c r="CB273">
        <v>1</v>
      </c>
      <c r="CC273" t="s">
        <v>232</v>
      </c>
      <c r="CD273">
        <v>12</v>
      </c>
      <c r="CE273" t="s">
        <v>235</v>
      </c>
    </row>
    <row r="274" spans="1:83" x14ac:dyDescent="0.2">
      <c r="A274" s="76" t="s">
        <v>21</v>
      </c>
      <c r="B274" s="76">
        <v>1674</v>
      </c>
      <c r="C274" s="76">
        <v>1</v>
      </c>
      <c r="D274" s="77">
        <v>32310</v>
      </c>
      <c r="G274" s="257">
        <v>11</v>
      </c>
      <c r="H274" s="76" t="s">
        <v>211</v>
      </c>
      <c r="I274" s="76">
        <v>1.2999999999999999E-2</v>
      </c>
      <c r="J274" s="76">
        <v>1</v>
      </c>
      <c r="K274" s="76" t="s">
        <v>232</v>
      </c>
      <c r="L274" s="76">
        <v>6</v>
      </c>
      <c r="M274" s="76" t="s">
        <v>235</v>
      </c>
      <c r="BQ274" t="s">
        <v>21</v>
      </c>
      <c r="BR274">
        <v>1674</v>
      </c>
      <c r="BS274">
        <v>1</v>
      </c>
      <c r="BT274" s="2">
        <v>32582</v>
      </c>
      <c r="BU274" s="33">
        <f t="shared" si="14"/>
        <v>1989</v>
      </c>
      <c r="BX274">
        <v>9</v>
      </c>
      <c r="BY274" t="s">
        <v>211</v>
      </c>
      <c r="BZ274">
        <v>4.0000000000000001E-3</v>
      </c>
      <c r="CA274">
        <f t="shared" si="15"/>
        <v>4</v>
      </c>
      <c r="CB274">
        <v>1</v>
      </c>
      <c r="CC274" t="s">
        <v>232</v>
      </c>
      <c r="CD274">
        <v>12</v>
      </c>
      <c r="CE274" t="s">
        <v>235</v>
      </c>
    </row>
    <row r="275" spans="1:83" x14ac:dyDescent="0.2">
      <c r="A275" s="76" t="s">
        <v>21</v>
      </c>
      <c r="B275" s="76">
        <v>1674</v>
      </c>
      <c r="C275" s="76">
        <v>1</v>
      </c>
      <c r="D275" s="77">
        <v>32322</v>
      </c>
      <c r="G275" s="257">
        <v>1</v>
      </c>
      <c r="H275" s="76" t="s">
        <v>211</v>
      </c>
      <c r="I275" s="76">
        <v>2.8000000000000001E-2</v>
      </c>
      <c r="J275" s="76">
        <v>1</v>
      </c>
      <c r="K275" s="76" t="s">
        <v>232</v>
      </c>
      <c r="L275" s="76">
        <v>6</v>
      </c>
      <c r="M275" s="76" t="s">
        <v>235</v>
      </c>
      <c r="BQ275" t="s">
        <v>21</v>
      </c>
      <c r="BR275">
        <v>1674</v>
      </c>
      <c r="BS275">
        <v>1</v>
      </c>
      <c r="BT275" s="2">
        <v>32582</v>
      </c>
      <c r="BU275" s="33">
        <f t="shared" si="14"/>
        <v>1989</v>
      </c>
      <c r="BX275">
        <v>10</v>
      </c>
      <c r="BY275" t="s">
        <v>211</v>
      </c>
      <c r="BZ275">
        <v>3.0000000000000001E-3</v>
      </c>
      <c r="CA275">
        <f t="shared" si="15"/>
        <v>3</v>
      </c>
      <c r="CB275">
        <v>1</v>
      </c>
      <c r="CC275" t="s">
        <v>232</v>
      </c>
      <c r="CD275">
        <v>12</v>
      </c>
      <c r="CE275" t="s">
        <v>235</v>
      </c>
    </row>
    <row r="276" spans="1:83" x14ac:dyDescent="0.2">
      <c r="A276" s="76" t="s">
        <v>21</v>
      </c>
      <c r="B276" s="76">
        <v>1674</v>
      </c>
      <c r="C276" s="76">
        <v>1</v>
      </c>
      <c r="D276" s="77">
        <v>32322</v>
      </c>
      <c r="G276" s="257">
        <v>3</v>
      </c>
      <c r="H276" s="76" t="s">
        <v>211</v>
      </c>
      <c r="I276" s="76">
        <v>2.4E-2</v>
      </c>
      <c r="J276" s="76">
        <v>1</v>
      </c>
      <c r="K276" s="76" t="s">
        <v>232</v>
      </c>
      <c r="L276" s="76">
        <v>6</v>
      </c>
      <c r="M276" s="76" t="s">
        <v>235</v>
      </c>
      <c r="BQ276" t="s">
        <v>21</v>
      </c>
      <c r="BR276">
        <v>1674</v>
      </c>
      <c r="BS276">
        <v>1</v>
      </c>
      <c r="BT276" s="2">
        <v>32582</v>
      </c>
      <c r="BU276" s="33">
        <f t="shared" si="14"/>
        <v>1989</v>
      </c>
      <c r="BX276">
        <v>11</v>
      </c>
      <c r="BY276" t="s">
        <v>211</v>
      </c>
      <c r="BZ276">
        <v>2E-3</v>
      </c>
      <c r="CA276">
        <f t="shared" si="15"/>
        <v>2</v>
      </c>
      <c r="CB276">
        <v>1</v>
      </c>
      <c r="CC276" t="s">
        <v>232</v>
      </c>
      <c r="CD276">
        <v>12</v>
      </c>
      <c r="CE276" t="s">
        <v>235</v>
      </c>
    </row>
    <row r="277" spans="1:83" x14ac:dyDescent="0.2">
      <c r="A277" s="76" t="s">
        <v>21</v>
      </c>
      <c r="B277" s="76">
        <v>1674</v>
      </c>
      <c r="C277" s="76">
        <v>1</v>
      </c>
      <c r="D277" s="77">
        <v>32322</v>
      </c>
      <c r="G277" s="257">
        <v>5</v>
      </c>
      <c r="H277" s="76" t="s">
        <v>211</v>
      </c>
      <c r="I277" s="76">
        <v>2.5999999999999999E-2</v>
      </c>
      <c r="J277" s="76">
        <v>1</v>
      </c>
      <c r="K277" s="76" t="s">
        <v>232</v>
      </c>
      <c r="L277" s="76">
        <v>6</v>
      </c>
      <c r="M277" s="76" t="s">
        <v>235</v>
      </c>
      <c r="BQ277" t="s">
        <v>21</v>
      </c>
      <c r="BR277">
        <v>1674</v>
      </c>
      <c r="BS277">
        <v>1</v>
      </c>
      <c r="BT277" s="2">
        <v>32582</v>
      </c>
      <c r="BU277" s="33">
        <f t="shared" si="14"/>
        <v>1989</v>
      </c>
      <c r="BX277">
        <v>11.5</v>
      </c>
      <c r="BY277" t="s">
        <v>211</v>
      </c>
      <c r="BZ277">
        <v>3.0000000000000001E-3</v>
      </c>
      <c r="CA277">
        <f t="shared" si="15"/>
        <v>3</v>
      </c>
      <c r="CB277">
        <v>1</v>
      </c>
      <c r="CC277" t="s">
        <v>232</v>
      </c>
      <c r="CD277">
        <v>12</v>
      </c>
      <c r="CE277" t="s">
        <v>235</v>
      </c>
    </row>
    <row r="278" spans="1:83" x14ac:dyDescent="0.2">
      <c r="A278" s="76" t="s">
        <v>21</v>
      </c>
      <c r="B278" s="76">
        <v>1674</v>
      </c>
      <c r="C278" s="76">
        <v>1</v>
      </c>
      <c r="D278" s="77">
        <v>32322</v>
      </c>
      <c r="G278" s="257">
        <v>7</v>
      </c>
      <c r="H278" s="76" t="s">
        <v>211</v>
      </c>
      <c r="I278" s="76">
        <v>2.5000000000000001E-2</v>
      </c>
      <c r="J278" s="76">
        <v>1</v>
      </c>
      <c r="K278" s="76" t="s">
        <v>232</v>
      </c>
      <c r="L278" s="76">
        <v>6</v>
      </c>
      <c r="M278" s="76" t="s">
        <v>235</v>
      </c>
      <c r="BQ278" t="s">
        <v>21</v>
      </c>
      <c r="BR278">
        <v>1674</v>
      </c>
      <c r="BS278">
        <v>1</v>
      </c>
      <c r="BT278" s="2">
        <v>32646</v>
      </c>
      <c r="BU278" s="33">
        <f t="shared" si="14"/>
        <v>1989</v>
      </c>
      <c r="BX278">
        <v>1</v>
      </c>
      <c r="BY278" t="s">
        <v>211</v>
      </c>
      <c r="BZ278">
        <v>1.2999999999999999E-2</v>
      </c>
      <c r="CA278">
        <f t="shared" si="15"/>
        <v>13</v>
      </c>
      <c r="CB278">
        <v>1</v>
      </c>
      <c r="CC278" t="s">
        <v>232</v>
      </c>
      <c r="CD278">
        <v>12</v>
      </c>
      <c r="CE278" t="s">
        <v>235</v>
      </c>
    </row>
    <row r="279" spans="1:83" x14ac:dyDescent="0.2">
      <c r="A279" s="76" t="s">
        <v>21</v>
      </c>
      <c r="B279" s="76">
        <v>1674</v>
      </c>
      <c r="C279" s="76">
        <v>1</v>
      </c>
      <c r="D279" s="77">
        <v>32322</v>
      </c>
      <c r="G279" s="257">
        <v>9</v>
      </c>
      <c r="H279" s="76" t="s">
        <v>211</v>
      </c>
      <c r="I279" s="76">
        <v>0.03</v>
      </c>
      <c r="J279" s="76">
        <v>1</v>
      </c>
      <c r="K279" s="76" t="s">
        <v>232</v>
      </c>
      <c r="L279" s="76">
        <v>6</v>
      </c>
      <c r="M279" s="76" t="s">
        <v>235</v>
      </c>
      <c r="BQ279" t="s">
        <v>21</v>
      </c>
      <c r="BR279">
        <v>1674</v>
      </c>
      <c r="BS279">
        <v>1</v>
      </c>
      <c r="BT279" s="2">
        <v>32646</v>
      </c>
      <c r="BU279" s="33">
        <f t="shared" si="14"/>
        <v>1989</v>
      </c>
      <c r="BX279">
        <v>2</v>
      </c>
      <c r="BY279" t="s">
        <v>211</v>
      </c>
      <c r="BZ279">
        <v>1.4E-2</v>
      </c>
      <c r="CA279">
        <f t="shared" si="15"/>
        <v>14</v>
      </c>
      <c r="CB279">
        <v>1</v>
      </c>
      <c r="CC279" t="s">
        <v>232</v>
      </c>
      <c r="CD279">
        <v>12</v>
      </c>
      <c r="CE279" t="s">
        <v>235</v>
      </c>
    </row>
    <row r="280" spans="1:83" x14ac:dyDescent="0.2">
      <c r="A280" s="76" t="s">
        <v>21</v>
      </c>
      <c r="B280" s="76">
        <v>1674</v>
      </c>
      <c r="C280" s="76">
        <v>1</v>
      </c>
      <c r="D280" s="77">
        <v>32322</v>
      </c>
      <c r="G280" s="257">
        <v>11</v>
      </c>
      <c r="H280" s="76" t="s">
        <v>211</v>
      </c>
      <c r="I280" s="76">
        <v>3.5000000000000003E-2</v>
      </c>
      <c r="J280" s="76">
        <v>1</v>
      </c>
      <c r="K280" s="76" t="s">
        <v>232</v>
      </c>
      <c r="L280" s="76">
        <v>6</v>
      </c>
      <c r="M280" s="76" t="s">
        <v>235</v>
      </c>
      <c r="BQ280" t="s">
        <v>21</v>
      </c>
      <c r="BR280">
        <v>1674</v>
      </c>
      <c r="BS280">
        <v>1</v>
      </c>
      <c r="BT280" s="2">
        <v>32646</v>
      </c>
      <c r="BU280" s="33">
        <f t="shared" si="14"/>
        <v>1989</v>
      </c>
      <c r="BX280">
        <v>3</v>
      </c>
      <c r="BY280" t="s">
        <v>211</v>
      </c>
      <c r="BZ280">
        <v>1.2999999999999999E-2</v>
      </c>
      <c r="CA280">
        <f t="shared" si="15"/>
        <v>13</v>
      </c>
      <c r="CB280">
        <v>1</v>
      </c>
      <c r="CC280" t="s">
        <v>232</v>
      </c>
      <c r="CD280">
        <v>12</v>
      </c>
      <c r="CE280" t="s">
        <v>235</v>
      </c>
    </row>
    <row r="281" spans="1:83" x14ac:dyDescent="0.2">
      <c r="A281" s="76" t="s">
        <v>21</v>
      </c>
      <c r="B281" s="76">
        <v>1674</v>
      </c>
      <c r="C281" s="76">
        <v>1</v>
      </c>
      <c r="D281" s="77">
        <v>32344</v>
      </c>
      <c r="G281" s="257">
        <v>1</v>
      </c>
      <c r="H281" s="76" t="s">
        <v>211</v>
      </c>
      <c r="I281" s="76">
        <v>3.2000000000000001E-2</v>
      </c>
      <c r="J281" s="76">
        <v>1</v>
      </c>
      <c r="K281" s="76" t="s">
        <v>232</v>
      </c>
      <c r="L281" s="76">
        <v>7</v>
      </c>
      <c r="M281" s="76" t="s">
        <v>235</v>
      </c>
      <c r="BQ281" t="s">
        <v>21</v>
      </c>
      <c r="BR281">
        <v>1674</v>
      </c>
      <c r="BS281">
        <v>1</v>
      </c>
      <c r="BT281" s="2">
        <v>32646</v>
      </c>
      <c r="BU281" s="33">
        <f t="shared" si="14"/>
        <v>1989</v>
      </c>
      <c r="BX281">
        <v>4</v>
      </c>
      <c r="BY281" t="s">
        <v>211</v>
      </c>
      <c r="BZ281">
        <v>1.2999999999999999E-2</v>
      </c>
      <c r="CA281">
        <f t="shared" si="15"/>
        <v>13</v>
      </c>
      <c r="CB281">
        <v>1</v>
      </c>
      <c r="CC281" t="s">
        <v>232</v>
      </c>
      <c r="CD281">
        <v>12</v>
      </c>
      <c r="CE281" t="s">
        <v>235</v>
      </c>
    </row>
    <row r="282" spans="1:83" x14ac:dyDescent="0.2">
      <c r="A282" s="76" t="s">
        <v>21</v>
      </c>
      <c r="B282" s="76">
        <v>1674</v>
      </c>
      <c r="C282" s="76">
        <v>1</v>
      </c>
      <c r="D282" s="77">
        <v>32344</v>
      </c>
      <c r="G282" s="257">
        <v>3</v>
      </c>
      <c r="H282" s="76" t="s">
        <v>211</v>
      </c>
      <c r="I282" s="76">
        <v>0.03</v>
      </c>
      <c r="J282" s="76">
        <v>1</v>
      </c>
      <c r="K282" s="76" t="s">
        <v>232</v>
      </c>
      <c r="L282" s="76">
        <v>7</v>
      </c>
      <c r="M282" s="76" t="s">
        <v>235</v>
      </c>
      <c r="BQ282" t="s">
        <v>21</v>
      </c>
      <c r="BR282">
        <v>1674</v>
      </c>
      <c r="BS282">
        <v>1</v>
      </c>
      <c r="BT282" s="2">
        <v>32646</v>
      </c>
      <c r="BU282" s="33">
        <f t="shared" si="14"/>
        <v>1989</v>
      </c>
      <c r="BX282">
        <v>5</v>
      </c>
      <c r="BY282" t="s">
        <v>211</v>
      </c>
      <c r="BZ282">
        <v>1.2E-2</v>
      </c>
      <c r="CA282">
        <f t="shared" si="15"/>
        <v>12</v>
      </c>
      <c r="CB282">
        <v>1</v>
      </c>
      <c r="CC282" t="s">
        <v>232</v>
      </c>
      <c r="CD282">
        <v>12</v>
      </c>
      <c r="CE282" t="s">
        <v>235</v>
      </c>
    </row>
    <row r="283" spans="1:83" x14ac:dyDescent="0.2">
      <c r="A283" s="76" t="s">
        <v>21</v>
      </c>
      <c r="B283" s="76">
        <v>1674</v>
      </c>
      <c r="C283" s="76">
        <v>1</v>
      </c>
      <c r="D283" s="77">
        <v>32344</v>
      </c>
      <c r="G283" s="257">
        <v>5</v>
      </c>
      <c r="H283" s="76" t="s">
        <v>211</v>
      </c>
      <c r="I283" s="76">
        <v>2.3E-2</v>
      </c>
      <c r="J283" s="76">
        <v>1</v>
      </c>
      <c r="K283" s="76" t="s">
        <v>232</v>
      </c>
      <c r="L283" s="76">
        <v>7</v>
      </c>
      <c r="M283" s="76" t="s">
        <v>235</v>
      </c>
      <c r="BQ283" t="s">
        <v>21</v>
      </c>
      <c r="BR283">
        <v>1674</v>
      </c>
      <c r="BS283">
        <v>1</v>
      </c>
      <c r="BT283" s="2">
        <v>32646</v>
      </c>
      <c r="BU283" s="33">
        <f t="shared" si="14"/>
        <v>1989</v>
      </c>
      <c r="BX283">
        <v>6</v>
      </c>
      <c r="BY283" t="s">
        <v>211</v>
      </c>
      <c r="BZ283">
        <v>1.2999999999999999E-2</v>
      </c>
      <c r="CA283">
        <f t="shared" si="15"/>
        <v>13</v>
      </c>
      <c r="CB283">
        <v>1</v>
      </c>
      <c r="CC283" t="s">
        <v>232</v>
      </c>
      <c r="CD283">
        <v>12</v>
      </c>
      <c r="CE283" t="s">
        <v>235</v>
      </c>
    </row>
    <row r="284" spans="1:83" x14ac:dyDescent="0.2">
      <c r="A284" s="76" t="s">
        <v>21</v>
      </c>
      <c r="B284" s="76">
        <v>1674</v>
      </c>
      <c r="C284" s="76">
        <v>1</v>
      </c>
      <c r="D284" s="77">
        <v>32344</v>
      </c>
      <c r="G284" s="257">
        <v>7</v>
      </c>
      <c r="H284" s="76" t="s">
        <v>211</v>
      </c>
      <c r="I284" s="76">
        <v>2.9000000000000001E-2</v>
      </c>
      <c r="J284" s="76">
        <v>1</v>
      </c>
      <c r="K284" s="76" t="s">
        <v>232</v>
      </c>
      <c r="L284" s="76">
        <v>7</v>
      </c>
      <c r="M284" s="76" t="s">
        <v>235</v>
      </c>
      <c r="BQ284" t="s">
        <v>21</v>
      </c>
      <c r="BR284">
        <v>1674</v>
      </c>
      <c r="BS284">
        <v>1</v>
      </c>
      <c r="BT284" s="2">
        <v>32646</v>
      </c>
      <c r="BU284" s="33">
        <f t="shared" si="14"/>
        <v>1989</v>
      </c>
      <c r="BX284">
        <v>7</v>
      </c>
      <c r="BY284" t="s">
        <v>211</v>
      </c>
      <c r="BZ284">
        <v>1.2E-2</v>
      </c>
      <c r="CA284">
        <f t="shared" si="15"/>
        <v>12</v>
      </c>
      <c r="CB284">
        <v>1</v>
      </c>
      <c r="CC284" t="s">
        <v>232</v>
      </c>
      <c r="CD284">
        <v>12</v>
      </c>
      <c r="CE284" t="s">
        <v>235</v>
      </c>
    </row>
    <row r="285" spans="1:83" x14ac:dyDescent="0.2">
      <c r="A285" s="76" t="s">
        <v>21</v>
      </c>
      <c r="B285" s="76">
        <v>1674</v>
      </c>
      <c r="C285" s="76">
        <v>1</v>
      </c>
      <c r="D285" s="77">
        <v>32344</v>
      </c>
      <c r="G285" s="257">
        <v>9</v>
      </c>
      <c r="H285" s="76" t="s">
        <v>211</v>
      </c>
      <c r="I285" s="76">
        <v>2.5999999999999999E-2</v>
      </c>
      <c r="J285" s="76">
        <v>1</v>
      </c>
      <c r="K285" s="76" t="s">
        <v>232</v>
      </c>
      <c r="L285" s="76">
        <v>7</v>
      </c>
      <c r="M285" s="76" t="s">
        <v>235</v>
      </c>
      <c r="BQ285" t="s">
        <v>21</v>
      </c>
      <c r="BR285">
        <v>1674</v>
      </c>
      <c r="BS285">
        <v>1</v>
      </c>
      <c r="BT285" s="2">
        <v>32646</v>
      </c>
      <c r="BU285" s="33">
        <f t="shared" si="14"/>
        <v>1989</v>
      </c>
      <c r="BX285">
        <v>8</v>
      </c>
      <c r="BY285" t="s">
        <v>211</v>
      </c>
      <c r="BZ285">
        <v>1.2999999999999999E-2</v>
      </c>
      <c r="CA285">
        <f t="shared" si="15"/>
        <v>13</v>
      </c>
      <c r="CB285">
        <v>1</v>
      </c>
      <c r="CC285" t="s">
        <v>232</v>
      </c>
      <c r="CD285">
        <v>12</v>
      </c>
      <c r="CE285" t="s">
        <v>235</v>
      </c>
    </row>
    <row r="286" spans="1:83" x14ac:dyDescent="0.2">
      <c r="A286" s="76" t="s">
        <v>21</v>
      </c>
      <c r="B286" s="76">
        <v>1674</v>
      </c>
      <c r="C286" s="76">
        <v>1</v>
      </c>
      <c r="D286" s="77">
        <v>32344</v>
      </c>
      <c r="G286" s="257">
        <v>11</v>
      </c>
      <c r="H286" s="76" t="s">
        <v>211</v>
      </c>
      <c r="I286" s="76">
        <v>2.5000000000000001E-2</v>
      </c>
      <c r="J286" s="76">
        <v>1</v>
      </c>
      <c r="K286" s="76" t="s">
        <v>232</v>
      </c>
      <c r="L286" s="76">
        <v>7</v>
      </c>
      <c r="M286" s="76" t="s">
        <v>235</v>
      </c>
      <c r="BQ286" t="s">
        <v>21</v>
      </c>
      <c r="BR286">
        <v>1674</v>
      </c>
      <c r="BS286">
        <v>1</v>
      </c>
      <c r="BT286" s="2">
        <v>32646</v>
      </c>
      <c r="BU286" s="33">
        <f t="shared" si="14"/>
        <v>1989</v>
      </c>
      <c r="BX286">
        <v>9</v>
      </c>
      <c r="BY286" t="s">
        <v>211</v>
      </c>
      <c r="BZ286">
        <v>1.2E-2</v>
      </c>
      <c r="CA286">
        <f t="shared" si="15"/>
        <v>12</v>
      </c>
      <c r="CB286">
        <v>1</v>
      </c>
      <c r="CC286" t="s">
        <v>232</v>
      </c>
      <c r="CD286">
        <v>12</v>
      </c>
      <c r="CE286" t="s">
        <v>235</v>
      </c>
    </row>
    <row r="287" spans="1:83" x14ac:dyDescent="0.2">
      <c r="A287" s="76" t="s">
        <v>21</v>
      </c>
      <c r="B287" s="76">
        <v>1674</v>
      </c>
      <c r="C287" s="76">
        <v>1</v>
      </c>
      <c r="D287" s="77">
        <v>32344</v>
      </c>
      <c r="G287" s="257">
        <v>12</v>
      </c>
      <c r="H287" s="76" t="s">
        <v>211</v>
      </c>
      <c r="I287" s="76">
        <v>2.8000000000000001E-2</v>
      </c>
      <c r="J287" s="76">
        <v>1</v>
      </c>
      <c r="K287" s="76" t="s">
        <v>232</v>
      </c>
      <c r="L287" s="76">
        <v>7</v>
      </c>
      <c r="M287" s="76" t="s">
        <v>235</v>
      </c>
      <c r="BQ287" t="s">
        <v>21</v>
      </c>
      <c r="BR287">
        <v>1674</v>
      </c>
      <c r="BS287">
        <v>1</v>
      </c>
      <c r="BT287" s="2">
        <v>32646</v>
      </c>
      <c r="BU287" s="33">
        <f t="shared" si="14"/>
        <v>1989</v>
      </c>
      <c r="BX287">
        <v>10</v>
      </c>
      <c r="BY287" t="s">
        <v>211</v>
      </c>
      <c r="BZ287">
        <v>1.2E-2</v>
      </c>
      <c r="CA287">
        <f t="shared" si="15"/>
        <v>12</v>
      </c>
      <c r="CB287">
        <v>1</v>
      </c>
      <c r="CC287" t="s">
        <v>232</v>
      </c>
      <c r="CD287">
        <v>12</v>
      </c>
      <c r="CE287" t="s">
        <v>235</v>
      </c>
    </row>
    <row r="288" spans="1:83" x14ac:dyDescent="0.2">
      <c r="A288" s="76" t="s">
        <v>21</v>
      </c>
      <c r="B288" s="76">
        <v>1674</v>
      </c>
      <c r="C288" s="76">
        <v>1</v>
      </c>
      <c r="D288" s="77">
        <v>32357</v>
      </c>
      <c r="G288" s="257">
        <v>1</v>
      </c>
      <c r="H288" s="76" t="s">
        <v>211</v>
      </c>
      <c r="I288" s="76">
        <v>2.5000000000000001E-2</v>
      </c>
      <c r="J288" s="76">
        <v>1</v>
      </c>
      <c r="K288" s="76" t="s">
        <v>232</v>
      </c>
      <c r="L288" s="76">
        <v>9</v>
      </c>
      <c r="M288" s="76" t="s">
        <v>235</v>
      </c>
      <c r="BQ288" t="s">
        <v>21</v>
      </c>
      <c r="BR288">
        <v>1674</v>
      </c>
      <c r="BS288">
        <v>1</v>
      </c>
      <c r="BT288" s="2">
        <v>32646</v>
      </c>
      <c r="BU288" s="33">
        <f t="shared" si="14"/>
        <v>1989</v>
      </c>
      <c r="BX288">
        <v>11</v>
      </c>
      <c r="BY288" t="s">
        <v>211</v>
      </c>
      <c r="BZ288">
        <v>1.4E-2</v>
      </c>
      <c r="CA288">
        <f t="shared" si="15"/>
        <v>14</v>
      </c>
      <c r="CB288">
        <v>1</v>
      </c>
      <c r="CC288" t="s">
        <v>232</v>
      </c>
      <c r="CD288">
        <v>12</v>
      </c>
      <c r="CE288" t="s">
        <v>235</v>
      </c>
    </row>
    <row r="289" spans="1:83" x14ac:dyDescent="0.2">
      <c r="A289" s="76" t="s">
        <v>21</v>
      </c>
      <c r="B289" s="76">
        <v>1674</v>
      </c>
      <c r="C289" s="76">
        <v>1</v>
      </c>
      <c r="D289" s="77">
        <v>32357</v>
      </c>
      <c r="G289" s="257">
        <v>3</v>
      </c>
      <c r="H289" s="76" t="s">
        <v>211</v>
      </c>
      <c r="I289" s="76">
        <v>0.02</v>
      </c>
      <c r="J289" s="76">
        <v>1</v>
      </c>
      <c r="K289" s="76" t="s">
        <v>232</v>
      </c>
      <c r="L289" s="76">
        <v>9</v>
      </c>
      <c r="M289" s="76" t="s">
        <v>235</v>
      </c>
      <c r="BQ289" t="s">
        <v>21</v>
      </c>
      <c r="BR289">
        <v>1674</v>
      </c>
      <c r="BS289">
        <v>1</v>
      </c>
      <c r="BT289" s="2">
        <v>32646</v>
      </c>
      <c r="BU289" s="33">
        <f t="shared" si="14"/>
        <v>1989</v>
      </c>
      <c r="BX289">
        <v>12</v>
      </c>
      <c r="BY289" t="s">
        <v>211</v>
      </c>
      <c r="BZ289">
        <v>1.4E-2</v>
      </c>
      <c r="CA289">
        <f t="shared" si="15"/>
        <v>14</v>
      </c>
      <c r="CB289">
        <v>1</v>
      </c>
      <c r="CC289" t="s">
        <v>232</v>
      </c>
      <c r="CD289">
        <v>12</v>
      </c>
      <c r="CE289" t="s">
        <v>235</v>
      </c>
    </row>
    <row r="290" spans="1:83" x14ac:dyDescent="0.2">
      <c r="A290" s="76" t="s">
        <v>21</v>
      </c>
      <c r="B290" s="76">
        <v>1674</v>
      </c>
      <c r="C290" s="76">
        <v>1</v>
      </c>
      <c r="D290" s="77">
        <v>32357</v>
      </c>
      <c r="G290" s="257">
        <v>5</v>
      </c>
      <c r="H290" s="76" t="s">
        <v>211</v>
      </c>
      <c r="I290" s="76">
        <v>2.7E-2</v>
      </c>
      <c r="J290" s="76">
        <v>1</v>
      </c>
      <c r="K290" s="76" t="s">
        <v>232</v>
      </c>
      <c r="L290" s="76">
        <v>9</v>
      </c>
      <c r="M290" s="76" t="s">
        <v>235</v>
      </c>
      <c r="BQ290" t="s">
        <v>21</v>
      </c>
      <c r="BR290">
        <v>1674</v>
      </c>
      <c r="BS290">
        <v>1</v>
      </c>
      <c r="BT290" s="2">
        <v>32662</v>
      </c>
      <c r="BU290" s="33">
        <f t="shared" si="14"/>
        <v>1989</v>
      </c>
      <c r="BX290">
        <v>1</v>
      </c>
      <c r="BY290" t="s">
        <v>211</v>
      </c>
      <c r="BZ290">
        <v>1.0999999999999999E-2</v>
      </c>
      <c r="CA290">
        <f t="shared" si="15"/>
        <v>11</v>
      </c>
      <c r="CB290">
        <v>1</v>
      </c>
      <c r="CC290" t="s">
        <v>232</v>
      </c>
      <c r="CD290">
        <v>12</v>
      </c>
      <c r="CE290" t="s">
        <v>235</v>
      </c>
    </row>
    <row r="291" spans="1:83" x14ac:dyDescent="0.2">
      <c r="A291" s="76" t="s">
        <v>21</v>
      </c>
      <c r="B291" s="76">
        <v>1674</v>
      </c>
      <c r="C291" s="76">
        <v>1</v>
      </c>
      <c r="D291" s="77">
        <v>32357</v>
      </c>
      <c r="G291" s="257">
        <v>7</v>
      </c>
      <c r="H291" s="76" t="s">
        <v>211</v>
      </c>
      <c r="I291" s="76">
        <v>2.1999999999999999E-2</v>
      </c>
      <c r="J291" s="76">
        <v>1</v>
      </c>
      <c r="K291" s="76" t="s">
        <v>232</v>
      </c>
      <c r="L291" s="76">
        <v>9</v>
      </c>
      <c r="M291" s="76" t="s">
        <v>235</v>
      </c>
      <c r="BQ291" t="s">
        <v>21</v>
      </c>
      <c r="BR291">
        <v>1674</v>
      </c>
      <c r="BS291">
        <v>1</v>
      </c>
      <c r="BT291" s="2">
        <v>32662</v>
      </c>
      <c r="BU291" s="33">
        <f t="shared" si="14"/>
        <v>1989</v>
      </c>
      <c r="BX291">
        <v>2</v>
      </c>
      <c r="BY291" t="s">
        <v>211</v>
      </c>
      <c r="BZ291">
        <v>1.7999999999999999E-2</v>
      </c>
      <c r="CA291">
        <f t="shared" si="15"/>
        <v>18</v>
      </c>
      <c r="CB291">
        <v>1</v>
      </c>
      <c r="CC291" t="s">
        <v>232</v>
      </c>
      <c r="CD291">
        <v>12</v>
      </c>
      <c r="CE291" t="s">
        <v>235</v>
      </c>
    </row>
    <row r="292" spans="1:83" x14ac:dyDescent="0.2">
      <c r="A292" s="76" t="s">
        <v>21</v>
      </c>
      <c r="B292" s="76">
        <v>1674</v>
      </c>
      <c r="C292" s="76">
        <v>1</v>
      </c>
      <c r="D292" s="77">
        <v>32357</v>
      </c>
      <c r="G292" s="257">
        <v>9</v>
      </c>
      <c r="H292" s="76" t="s">
        <v>211</v>
      </c>
      <c r="I292" s="76">
        <v>1.7999999999999999E-2</v>
      </c>
      <c r="J292" s="76">
        <v>1</v>
      </c>
      <c r="K292" s="76" t="s">
        <v>232</v>
      </c>
      <c r="L292" s="76">
        <v>9</v>
      </c>
      <c r="M292" s="76" t="s">
        <v>235</v>
      </c>
      <c r="BQ292" t="s">
        <v>21</v>
      </c>
      <c r="BR292">
        <v>1674</v>
      </c>
      <c r="BS292">
        <v>1</v>
      </c>
      <c r="BT292" s="2">
        <v>32662</v>
      </c>
      <c r="BU292" s="33">
        <f t="shared" si="14"/>
        <v>1989</v>
      </c>
      <c r="BX292">
        <v>3</v>
      </c>
      <c r="BY292" t="s">
        <v>211</v>
      </c>
      <c r="BZ292">
        <v>1.2E-2</v>
      </c>
      <c r="CA292">
        <f t="shared" si="15"/>
        <v>12</v>
      </c>
      <c r="CB292">
        <v>1</v>
      </c>
      <c r="CC292" t="s">
        <v>232</v>
      </c>
      <c r="CD292">
        <v>12</v>
      </c>
      <c r="CE292" t="s">
        <v>235</v>
      </c>
    </row>
    <row r="293" spans="1:83" x14ac:dyDescent="0.2">
      <c r="A293" s="76" t="s">
        <v>21</v>
      </c>
      <c r="B293" s="76">
        <v>1674</v>
      </c>
      <c r="C293" s="76">
        <v>1</v>
      </c>
      <c r="D293" s="77">
        <v>32357</v>
      </c>
      <c r="G293" s="257">
        <v>10</v>
      </c>
      <c r="H293" s="76" t="s">
        <v>211</v>
      </c>
      <c r="I293" s="76">
        <v>1.7999999999999999E-2</v>
      </c>
      <c r="J293" s="76">
        <v>1</v>
      </c>
      <c r="K293" s="76" t="s">
        <v>232</v>
      </c>
      <c r="L293" s="76">
        <v>9</v>
      </c>
      <c r="M293" s="76" t="s">
        <v>235</v>
      </c>
      <c r="BQ293" t="s">
        <v>21</v>
      </c>
      <c r="BR293">
        <v>1674</v>
      </c>
      <c r="BS293">
        <v>1</v>
      </c>
      <c r="BT293" s="2">
        <v>32662</v>
      </c>
      <c r="BU293" s="33">
        <f t="shared" si="14"/>
        <v>1989</v>
      </c>
      <c r="BX293">
        <v>4</v>
      </c>
      <c r="BY293" t="s">
        <v>211</v>
      </c>
      <c r="BZ293">
        <v>0.01</v>
      </c>
      <c r="CA293">
        <f t="shared" si="15"/>
        <v>10</v>
      </c>
      <c r="CB293">
        <v>1</v>
      </c>
      <c r="CC293" t="s">
        <v>232</v>
      </c>
      <c r="CD293">
        <v>12</v>
      </c>
      <c r="CE293" t="s">
        <v>235</v>
      </c>
    </row>
    <row r="294" spans="1:83" x14ac:dyDescent="0.2">
      <c r="A294" s="76" t="s">
        <v>21</v>
      </c>
      <c r="B294" s="76">
        <v>1674</v>
      </c>
      <c r="C294" s="76">
        <v>1</v>
      </c>
      <c r="D294" s="77">
        <v>32357</v>
      </c>
      <c r="G294" s="257">
        <v>11</v>
      </c>
      <c r="H294" s="76" t="s">
        <v>211</v>
      </c>
      <c r="I294" s="76">
        <v>2.1000000000000001E-2</v>
      </c>
      <c r="J294" s="76">
        <v>1</v>
      </c>
      <c r="K294" s="76" t="s">
        <v>232</v>
      </c>
      <c r="L294" s="76">
        <v>9</v>
      </c>
      <c r="M294" s="76" t="s">
        <v>235</v>
      </c>
      <c r="BQ294" t="s">
        <v>21</v>
      </c>
      <c r="BR294">
        <v>1674</v>
      </c>
      <c r="BS294">
        <v>1</v>
      </c>
      <c r="BT294" s="2">
        <v>32662</v>
      </c>
      <c r="BU294" s="33">
        <f t="shared" si="14"/>
        <v>1989</v>
      </c>
      <c r="BX294">
        <v>5</v>
      </c>
      <c r="BY294" t="s">
        <v>211</v>
      </c>
      <c r="BZ294">
        <v>1.0999999999999999E-2</v>
      </c>
      <c r="CA294">
        <f t="shared" si="15"/>
        <v>11</v>
      </c>
      <c r="CB294">
        <v>1</v>
      </c>
      <c r="CC294" t="s">
        <v>232</v>
      </c>
      <c r="CD294">
        <v>12</v>
      </c>
      <c r="CE294" t="s">
        <v>235</v>
      </c>
    </row>
    <row r="295" spans="1:83" x14ac:dyDescent="0.2">
      <c r="A295" s="76" t="s">
        <v>21</v>
      </c>
      <c r="B295" s="76">
        <v>1674</v>
      </c>
      <c r="C295" s="76">
        <v>1</v>
      </c>
      <c r="D295" s="77">
        <v>32357</v>
      </c>
      <c r="G295" s="257">
        <v>12</v>
      </c>
      <c r="H295" s="76" t="s">
        <v>211</v>
      </c>
      <c r="I295" s="76">
        <v>0.02</v>
      </c>
      <c r="J295" s="76">
        <v>1</v>
      </c>
      <c r="K295" s="76" t="s">
        <v>232</v>
      </c>
      <c r="L295" s="76">
        <v>9</v>
      </c>
      <c r="M295" s="76" t="s">
        <v>235</v>
      </c>
      <c r="BQ295" t="s">
        <v>21</v>
      </c>
      <c r="BR295">
        <v>1674</v>
      </c>
      <c r="BS295">
        <v>1</v>
      </c>
      <c r="BT295" s="2">
        <v>32662</v>
      </c>
      <c r="BU295" s="33">
        <f t="shared" si="14"/>
        <v>1989</v>
      </c>
      <c r="BX295">
        <v>6</v>
      </c>
      <c r="BY295" t="s">
        <v>211</v>
      </c>
      <c r="BZ295">
        <v>1.4999999999999999E-2</v>
      </c>
      <c r="CA295">
        <f t="shared" si="15"/>
        <v>15</v>
      </c>
      <c r="CB295">
        <v>1</v>
      </c>
      <c r="CC295" t="s">
        <v>232</v>
      </c>
      <c r="CD295">
        <v>12</v>
      </c>
      <c r="CE295" t="s">
        <v>235</v>
      </c>
    </row>
    <row r="296" spans="1:83" x14ac:dyDescent="0.2">
      <c r="A296" s="76" t="s">
        <v>21</v>
      </c>
      <c r="B296" s="76">
        <v>1674</v>
      </c>
      <c r="C296" s="76">
        <v>1</v>
      </c>
      <c r="D296" s="77">
        <v>32357</v>
      </c>
      <c r="G296" s="257">
        <v>13</v>
      </c>
      <c r="H296" s="76" t="s">
        <v>211</v>
      </c>
      <c r="I296" s="76">
        <v>0.02</v>
      </c>
      <c r="J296" s="76">
        <v>1</v>
      </c>
      <c r="K296" s="76" t="s">
        <v>232</v>
      </c>
      <c r="L296" s="76">
        <v>9</v>
      </c>
      <c r="M296" s="76" t="s">
        <v>235</v>
      </c>
      <c r="BQ296" t="s">
        <v>21</v>
      </c>
      <c r="BR296">
        <v>1674</v>
      </c>
      <c r="BS296">
        <v>1</v>
      </c>
      <c r="BT296" s="2">
        <v>32662</v>
      </c>
      <c r="BU296" s="33">
        <f t="shared" si="14"/>
        <v>1989</v>
      </c>
      <c r="BX296">
        <v>7</v>
      </c>
      <c r="BY296" t="s">
        <v>211</v>
      </c>
      <c r="BZ296">
        <v>1.0999999999999999E-2</v>
      </c>
      <c r="CA296">
        <f t="shared" si="15"/>
        <v>11</v>
      </c>
      <c r="CB296">
        <v>1</v>
      </c>
      <c r="CC296" t="s">
        <v>232</v>
      </c>
      <c r="CD296">
        <v>12</v>
      </c>
      <c r="CE296" t="s">
        <v>235</v>
      </c>
    </row>
    <row r="297" spans="1:83" x14ac:dyDescent="0.2">
      <c r="A297" s="76" t="s">
        <v>21</v>
      </c>
      <c r="B297" s="76">
        <v>1674</v>
      </c>
      <c r="C297" s="76">
        <v>1</v>
      </c>
      <c r="D297" s="77">
        <v>32422</v>
      </c>
      <c r="G297" s="257">
        <v>1</v>
      </c>
      <c r="H297" s="76" t="s">
        <v>211</v>
      </c>
      <c r="I297" s="76">
        <v>1.9E-2</v>
      </c>
      <c r="J297" s="76">
        <v>1</v>
      </c>
      <c r="K297" s="76" t="s">
        <v>232</v>
      </c>
      <c r="L297" s="76">
        <v>6</v>
      </c>
      <c r="M297" s="76" t="s">
        <v>235</v>
      </c>
      <c r="BQ297" t="s">
        <v>21</v>
      </c>
      <c r="BR297">
        <v>1674</v>
      </c>
      <c r="BS297">
        <v>1</v>
      </c>
      <c r="BT297" s="2">
        <v>32662</v>
      </c>
      <c r="BU297" s="33">
        <f t="shared" si="14"/>
        <v>1989</v>
      </c>
      <c r="BX297">
        <v>8</v>
      </c>
      <c r="BY297" t="s">
        <v>211</v>
      </c>
      <c r="BZ297">
        <v>1.0999999999999999E-2</v>
      </c>
      <c r="CA297">
        <f t="shared" si="15"/>
        <v>11</v>
      </c>
      <c r="CB297">
        <v>1</v>
      </c>
      <c r="CC297" t="s">
        <v>232</v>
      </c>
      <c r="CD297">
        <v>12</v>
      </c>
      <c r="CE297" t="s">
        <v>235</v>
      </c>
    </row>
    <row r="298" spans="1:83" x14ac:dyDescent="0.2">
      <c r="A298" s="76" t="s">
        <v>21</v>
      </c>
      <c r="B298" s="76">
        <v>1674</v>
      </c>
      <c r="C298" s="76">
        <v>1</v>
      </c>
      <c r="D298" s="77">
        <v>32422</v>
      </c>
      <c r="G298" s="257">
        <v>3</v>
      </c>
      <c r="H298" s="76" t="s">
        <v>211</v>
      </c>
      <c r="I298" s="76">
        <v>2.1000000000000001E-2</v>
      </c>
      <c r="J298" s="76">
        <v>1</v>
      </c>
      <c r="K298" s="76" t="s">
        <v>232</v>
      </c>
      <c r="L298" s="76">
        <v>6</v>
      </c>
      <c r="M298" s="76" t="s">
        <v>235</v>
      </c>
      <c r="BQ298" t="s">
        <v>21</v>
      </c>
      <c r="BR298">
        <v>1674</v>
      </c>
      <c r="BS298">
        <v>1</v>
      </c>
      <c r="BT298" s="2">
        <v>32662</v>
      </c>
      <c r="BU298" s="33">
        <f t="shared" si="14"/>
        <v>1989</v>
      </c>
      <c r="BX298">
        <v>9</v>
      </c>
      <c r="BY298" t="s">
        <v>211</v>
      </c>
      <c r="BZ298">
        <v>1.0999999999999999E-2</v>
      </c>
      <c r="CA298">
        <f t="shared" si="15"/>
        <v>11</v>
      </c>
      <c r="CB298">
        <v>1</v>
      </c>
      <c r="CC298" t="s">
        <v>232</v>
      </c>
      <c r="CD298">
        <v>12</v>
      </c>
      <c r="CE298" t="s">
        <v>235</v>
      </c>
    </row>
    <row r="299" spans="1:83" x14ac:dyDescent="0.2">
      <c r="A299" s="76" t="s">
        <v>21</v>
      </c>
      <c r="B299" s="76">
        <v>1674</v>
      </c>
      <c r="C299" s="76">
        <v>1</v>
      </c>
      <c r="D299" s="77">
        <v>32422</v>
      </c>
      <c r="G299" s="257">
        <v>5</v>
      </c>
      <c r="H299" s="76" t="s">
        <v>211</v>
      </c>
      <c r="I299" s="76">
        <v>2.1000000000000001E-2</v>
      </c>
      <c r="J299" s="76">
        <v>1</v>
      </c>
      <c r="K299" s="76" t="s">
        <v>232</v>
      </c>
      <c r="L299" s="76">
        <v>6</v>
      </c>
      <c r="M299" s="76" t="s">
        <v>235</v>
      </c>
      <c r="BQ299" t="s">
        <v>21</v>
      </c>
      <c r="BR299">
        <v>1674</v>
      </c>
      <c r="BS299">
        <v>1</v>
      </c>
      <c r="BT299" s="2">
        <v>32662</v>
      </c>
      <c r="BU299" s="33">
        <f t="shared" si="14"/>
        <v>1989</v>
      </c>
      <c r="BX299">
        <v>10</v>
      </c>
      <c r="BY299" t="s">
        <v>211</v>
      </c>
      <c r="BZ299">
        <v>1.0999999999999999E-2</v>
      </c>
      <c r="CA299">
        <f t="shared" si="15"/>
        <v>11</v>
      </c>
      <c r="CB299">
        <v>1</v>
      </c>
      <c r="CC299" t="s">
        <v>232</v>
      </c>
      <c r="CD299">
        <v>12</v>
      </c>
      <c r="CE299" t="s">
        <v>235</v>
      </c>
    </row>
    <row r="300" spans="1:83" x14ac:dyDescent="0.2">
      <c r="A300" s="76" t="s">
        <v>21</v>
      </c>
      <c r="B300" s="76">
        <v>1674</v>
      </c>
      <c r="C300" s="76">
        <v>1</v>
      </c>
      <c r="D300" s="77">
        <v>32422</v>
      </c>
      <c r="G300" s="257">
        <v>7</v>
      </c>
      <c r="H300" s="76" t="s">
        <v>211</v>
      </c>
      <c r="I300" s="76">
        <v>1.7000000000000001E-2</v>
      </c>
      <c r="J300" s="76">
        <v>1</v>
      </c>
      <c r="K300" s="76" t="s">
        <v>232</v>
      </c>
      <c r="L300" s="76">
        <v>6</v>
      </c>
      <c r="M300" s="76" t="s">
        <v>235</v>
      </c>
      <c r="BQ300" t="s">
        <v>21</v>
      </c>
      <c r="BR300">
        <v>1674</v>
      </c>
      <c r="BS300">
        <v>1</v>
      </c>
      <c r="BT300" s="2">
        <v>32662</v>
      </c>
      <c r="BU300" s="33">
        <f t="shared" si="14"/>
        <v>1989</v>
      </c>
      <c r="BX300">
        <v>11</v>
      </c>
      <c r="BY300" t="s">
        <v>211</v>
      </c>
      <c r="BZ300">
        <v>1.6E-2</v>
      </c>
      <c r="CA300">
        <f t="shared" si="15"/>
        <v>16</v>
      </c>
      <c r="CB300">
        <v>1</v>
      </c>
      <c r="CC300" t="s">
        <v>232</v>
      </c>
      <c r="CD300">
        <v>12</v>
      </c>
      <c r="CE300" t="s">
        <v>235</v>
      </c>
    </row>
    <row r="301" spans="1:83" x14ac:dyDescent="0.2">
      <c r="A301" s="76" t="s">
        <v>21</v>
      </c>
      <c r="B301" s="76">
        <v>1674</v>
      </c>
      <c r="C301" s="76">
        <v>1</v>
      </c>
      <c r="D301" s="77">
        <v>32422</v>
      </c>
      <c r="G301" s="257">
        <v>9</v>
      </c>
      <c r="H301" s="76" t="s">
        <v>211</v>
      </c>
      <c r="I301" s="76">
        <v>1.6E-2</v>
      </c>
      <c r="J301" s="76">
        <v>1</v>
      </c>
      <c r="K301" s="76" t="s">
        <v>232</v>
      </c>
      <c r="L301" s="76">
        <v>6</v>
      </c>
      <c r="M301" s="76" t="s">
        <v>235</v>
      </c>
      <c r="BQ301" t="s">
        <v>21</v>
      </c>
      <c r="BR301">
        <v>1674</v>
      </c>
      <c r="BS301">
        <v>1</v>
      </c>
      <c r="BT301" s="2">
        <v>32662</v>
      </c>
      <c r="BU301" s="33">
        <f t="shared" si="14"/>
        <v>1989</v>
      </c>
      <c r="BX301">
        <v>12</v>
      </c>
      <c r="BY301" t="s">
        <v>211</v>
      </c>
      <c r="BZ301">
        <v>2.8000000000000001E-2</v>
      </c>
      <c r="CA301">
        <f t="shared" si="15"/>
        <v>28</v>
      </c>
      <c r="CB301">
        <v>1</v>
      </c>
      <c r="CC301" t="s">
        <v>232</v>
      </c>
      <c r="CD301">
        <v>12</v>
      </c>
      <c r="CE301" t="s">
        <v>235</v>
      </c>
    </row>
    <row r="302" spans="1:83" x14ac:dyDescent="0.2">
      <c r="A302" s="76" t="s">
        <v>21</v>
      </c>
      <c r="B302" s="76">
        <v>1674</v>
      </c>
      <c r="C302" s="76">
        <v>1</v>
      </c>
      <c r="D302" s="77">
        <v>32422</v>
      </c>
      <c r="G302" s="257">
        <v>11</v>
      </c>
      <c r="H302" s="76" t="s">
        <v>211</v>
      </c>
      <c r="I302" s="76">
        <v>1.7000000000000001E-2</v>
      </c>
      <c r="J302" s="76">
        <v>1</v>
      </c>
      <c r="K302" s="76" t="s">
        <v>232</v>
      </c>
      <c r="L302" s="76">
        <v>6</v>
      </c>
      <c r="M302" s="76" t="s">
        <v>235</v>
      </c>
      <c r="BQ302" t="s">
        <v>21</v>
      </c>
      <c r="BR302">
        <v>1674</v>
      </c>
      <c r="BS302">
        <v>1</v>
      </c>
      <c r="BT302" s="2">
        <v>32681</v>
      </c>
      <c r="BU302" s="33">
        <f t="shared" si="14"/>
        <v>1989</v>
      </c>
      <c r="BX302">
        <v>1</v>
      </c>
      <c r="BY302" t="s">
        <v>211</v>
      </c>
      <c r="BZ302">
        <v>2.4E-2</v>
      </c>
      <c r="CA302">
        <f t="shared" si="15"/>
        <v>24</v>
      </c>
      <c r="CB302">
        <v>1</v>
      </c>
      <c r="CC302" t="s">
        <v>232</v>
      </c>
      <c r="CD302">
        <v>9</v>
      </c>
      <c r="CE302" t="s">
        <v>235</v>
      </c>
    </row>
    <row r="303" spans="1:83" x14ac:dyDescent="0.2">
      <c r="A303" s="76" t="s">
        <v>21</v>
      </c>
      <c r="B303" s="76">
        <v>1674</v>
      </c>
      <c r="C303" s="76">
        <v>1</v>
      </c>
      <c r="D303" s="77">
        <v>32582</v>
      </c>
      <c r="G303" s="257">
        <v>1</v>
      </c>
      <c r="H303" s="76" t="s">
        <v>211</v>
      </c>
      <c r="I303" s="76">
        <v>0.01</v>
      </c>
      <c r="J303" s="76">
        <v>1</v>
      </c>
      <c r="K303" s="76" t="s">
        <v>232</v>
      </c>
      <c r="L303" s="76">
        <v>12</v>
      </c>
      <c r="M303" s="76" t="s">
        <v>235</v>
      </c>
      <c r="BQ303" t="s">
        <v>21</v>
      </c>
      <c r="BR303">
        <v>1674</v>
      </c>
      <c r="BS303">
        <v>1</v>
      </c>
      <c r="BT303" s="2">
        <v>32681</v>
      </c>
      <c r="BU303" s="33">
        <f t="shared" si="14"/>
        <v>1989</v>
      </c>
      <c r="BX303">
        <v>2</v>
      </c>
      <c r="BY303" t="s">
        <v>211</v>
      </c>
      <c r="BZ303">
        <v>1.7000000000000001E-2</v>
      </c>
      <c r="CA303">
        <f t="shared" si="15"/>
        <v>17</v>
      </c>
      <c r="CB303">
        <v>1</v>
      </c>
      <c r="CC303" t="s">
        <v>232</v>
      </c>
      <c r="CD303">
        <v>9</v>
      </c>
      <c r="CE303" t="s">
        <v>235</v>
      </c>
    </row>
    <row r="304" spans="1:83" x14ac:dyDescent="0.2">
      <c r="A304" s="76" t="s">
        <v>21</v>
      </c>
      <c r="B304" s="76">
        <v>1674</v>
      </c>
      <c r="C304" s="76">
        <v>1</v>
      </c>
      <c r="D304" s="77">
        <v>32582</v>
      </c>
      <c r="G304" s="257">
        <v>2</v>
      </c>
      <c r="H304" s="76" t="s">
        <v>211</v>
      </c>
      <c r="I304" s="76">
        <v>1.6E-2</v>
      </c>
      <c r="J304" s="76">
        <v>1</v>
      </c>
      <c r="K304" s="76" t="s">
        <v>232</v>
      </c>
      <c r="L304" s="76">
        <v>12</v>
      </c>
      <c r="M304" s="76" t="s">
        <v>235</v>
      </c>
      <c r="BQ304" t="s">
        <v>21</v>
      </c>
      <c r="BR304">
        <v>1674</v>
      </c>
      <c r="BS304">
        <v>1</v>
      </c>
      <c r="BT304" s="2">
        <v>32681</v>
      </c>
      <c r="BU304" s="33">
        <f t="shared" si="14"/>
        <v>1989</v>
      </c>
      <c r="BX304">
        <v>3</v>
      </c>
      <c r="BY304" t="s">
        <v>211</v>
      </c>
      <c r="BZ304">
        <v>1.6E-2</v>
      </c>
      <c r="CA304">
        <f t="shared" si="15"/>
        <v>16</v>
      </c>
      <c r="CB304">
        <v>1</v>
      </c>
      <c r="CC304" t="s">
        <v>232</v>
      </c>
      <c r="CD304">
        <v>9</v>
      </c>
      <c r="CE304" t="s">
        <v>235</v>
      </c>
    </row>
    <row r="305" spans="1:83" x14ac:dyDescent="0.2">
      <c r="A305" s="76" t="s">
        <v>21</v>
      </c>
      <c r="B305" s="76">
        <v>1674</v>
      </c>
      <c r="C305" s="76">
        <v>1</v>
      </c>
      <c r="D305" s="77">
        <v>32582</v>
      </c>
      <c r="G305" s="257">
        <v>3</v>
      </c>
      <c r="H305" s="76" t="s">
        <v>211</v>
      </c>
      <c r="I305" s="76">
        <v>2.8000000000000001E-2</v>
      </c>
      <c r="J305" s="76">
        <v>1</v>
      </c>
      <c r="K305" s="76" t="s">
        <v>232</v>
      </c>
      <c r="L305" s="76">
        <v>12</v>
      </c>
      <c r="M305" s="76" t="s">
        <v>235</v>
      </c>
      <c r="BQ305" t="s">
        <v>21</v>
      </c>
      <c r="BR305">
        <v>1674</v>
      </c>
      <c r="BS305">
        <v>1</v>
      </c>
      <c r="BT305" s="2">
        <v>32681</v>
      </c>
      <c r="BU305" s="33">
        <f t="shared" si="14"/>
        <v>1989</v>
      </c>
      <c r="BX305">
        <v>4</v>
      </c>
      <c r="BY305" t="s">
        <v>211</v>
      </c>
      <c r="BZ305">
        <v>1.4E-2</v>
      </c>
      <c r="CA305">
        <f t="shared" si="15"/>
        <v>14</v>
      </c>
      <c r="CB305">
        <v>1</v>
      </c>
      <c r="CC305" t="s">
        <v>232</v>
      </c>
      <c r="CD305">
        <v>9</v>
      </c>
      <c r="CE305" t="s">
        <v>235</v>
      </c>
    </row>
    <row r="306" spans="1:83" x14ac:dyDescent="0.2">
      <c r="A306" s="76" t="s">
        <v>21</v>
      </c>
      <c r="B306" s="76">
        <v>1674</v>
      </c>
      <c r="C306" s="76">
        <v>1</v>
      </c>
      <c r="D306" s="77">
        <v>32582</v>
      </c>
      <c r="G306" s="257">
        <v>4</v>
      </c>
      <c r="H306" s="76" t="s">
        <v>211</v>
      </c>
      <c r="I306" s="76">
        <v>2E-3</v>
      </c>
      <c r="J306" s="76">
        <v>1</v>
      </c>
      <c r="K306" s="76" t="s">
        <v>232</v>
      </c>
      <c r="L306" s="76">
        <v>12</v>
      </c>
      <c r="M306" s="76" t="s">
        <v>235</v>
      </c>
      <c r="BQ306" t="s">
        <v>21</v>
      </c>
      <c r="BR306">
        <v>1674</v>
      </c>
      <c r="BS306">
        <v>1</v>
      </c>
      <c r="BT306" s="2">
        <v>32681</v>
      </c>
      <c r="BU306" s="33">
        <f t="shared" si="14"/>
        <v>1989</v>
      </c>
      <c r="BX306">
        <v>5</v>
      </c>
      <c r="BY306" t="s">
        <v>211</v>
      </c>
      <c r="BZ306">
        <v>0.01</v>
      </c>
      <c r="CA306">
        <f t="shared" si="15"/>
        <v>10</v>
      </c>
      <c r="CB306">
        <v>1</v>
      </c>
      <c r="CC306" t="s">
        <v>232</v>
      </c>
      <c r="CD306">
        <v>9</v>
      </c>
      <c r="CE306" t="s">
        <v>235</v>
      </c>
    </row>
    <row r="307" spans="1:83" x14ac:dyDescent="0.2">
      <c r="A307" s="76" t="s">
        <v>21</v>
      </c>
      <c r="B307" s="76">
        <v>1674</v>
      </c>
      <c r="C307" s="76">
        <v>1</v>
      </c>
      <c r="D307" s="77">
        <v>32582</v>
      </c>
      <c r="G307" s="257">
        <v>5</v>
      </c>
      <c r="H307" s="76" t="s">
        <v>211</v>
      </c>
      <c r="I307" s="76">
        <v>3.0000000000000001E-3</v>
      </c>
      <c r="J307" s="76">
        <v>1</v>
      </c>
      <c r="K307" s="76" t="s">
        <v>232</v>
      </c>
      <c r="L307" s="76">
        <v>12</v>
      </c>
      <c r="M307" s="76" t="s">
        <v>235</v>
      </c>
      <c r="BQ307" t="s">
        <v>21</v>
      </c>
      <c r="BR307">
        <v>1674</v>
      </c>
      <c r="BS307">
        <v>1</v>
      </c>
      <c r="BT307" s="2">
        <v>32681</v>
      </c>
      <c r="BU307" s="33">
        <f t="shared" si="14"/>
        <v>1989</v>
      </c>
      <c r="BX307">
        <v>6</v>
      </c>
      <c r="BY307" t="s">
        <v>211</v>
      </c>
      <c r="BZ307">
        <v>1.2E-2</v>
      </c>
      <c r="CA307">
        <f t="shared" si="15"/>
        <v>12</v>
      </c>
      <c r="CB307">
        <v>1</v>
      </c>
      <c r="CC307" t="s">
        <v>232</v>
      </c>
      <c r="CD307">
        <v>9</v>
      </c>
      <c r="CE307" t="s">
        <v>235</v>
      </c>
    </row>
    <row r="308" spans="1:83" x14ac:dyDescent="0.2">
      <c r="A308" s="76" t="s">
        <v>21</v>
      </c>
      <c r="B308" s="76">
        <v>1674</v>
      </c>
      <c r="C308" s="76">
        <v>1</v>
      </c>
      <c r="D308" s="77">
        <v>32582</v>
      </c>
      <c r="G308" s="257">
        <v>6</v>
      </c>
      <c r="H308" s="76" t="s">
        <v>211</v>
      </c>
      <c r="I308" s="76">
        <v>0.01</v>
      </c>
      <c r="J308" s="76">
        <v>1</v>
      </c>
      <c r="K308" s="76" t="s">
        <v>232</v>
      </c>
      <c r="L308" s="76">
        <v>12</v>
      </c>
      <c r="M308" s="76" t="s">
        <v>235</v>
      </c>
      <c r="BQ308" t="s">
        <v>21</v>
      </c>
      <c r="BR308">
        <v>1674</v>
      </c>
      <c r="BS308">
        <v>1</v>
      </c>
      <c r="BT308" s="2">
        <v>32681</v>
      </c>
      <c r="BU308" s="33">
        <f t="shared" si="14"/>
        <v>1989</v>
      </c>
      <c r="BX308">
        <v>7</v>
      </c>
      <c r="BY308" t="s">
        <v>211</v>
      </c>
      <c r="BZ308">
        <v>1.7999999999999999E-2</v>
      </c>
      <c r="CA308">
        <f t="shared" si="15"/>
        <v>18</v>
      </c>
      <c r="CB308">
        <v>1</v>
      </c>
      <c r="CC308" t="s">
        <v>232</v>
      </c>
      <c r="CD308">
        <v>9</v>
      </c>
      <c r="CE308" t="s">
        <v>235</v>
      </c>
    </row>
    <row r="309" spans="1:83" x14ac:dyDescent="0.2">
      <c r="A309" s="76" t="s">
        <v>21</v>
      </c>
      <c r="B309" s="76">
        <v>1674</v>
      </c>
      <c r="C309" s="76">
        <v>1</v>
      </c>
      <c r="D309" s="77">
        <v>32582</v>
      </c>
      <c r="G309" s="257">
        <v>7</v>
      </c>
      <c r="H309" s="76" t="s">
        <v>211</v>
      </c>
      <c r="I309" s="76">
        <v>2E-3</v>
      </c>
      <c r="J309" s="76">
        <v>1</v>
      </c>
      <c r="K309" s="76" t="s">
        <v>232</v>
      </c>
      <c r="L309" s="76">
        <v>12</v>
      </c>
      <c r="M309" s="76" t="s">
        <v>235</v>
      </c>
      <c r="BQ309" t="s">
        <v>21</v>
      </c>
      <c r="BR309">
        <v>1674</v>
      </c>
      <c r="BS309">
        <v>1</v>
      </c>
      <c r="BT309" s="2">
        <v>32681</v>
      </c>
      <c r="BU309" s="33">
        <f t="shared" si="14"/>
        <v>1989</v>
      </c>
      <c r="BX309">
        <v>8</v>
      </c>
      <c r="BY309" t="s">
        <v>211</v>
      </c>
      <c r="BZ309">
        <v>1.4999999999999999E-2</v>
      </c>
      <c r="CA309">
        <f t="shared" si="15"/>
        <v>15</v>
      </c>
      <c r="CB309">
        <v>1</v>
      </c>
      <c r="CC309" t="s">
        <v>232</v>
      </c>
      <c r="CD309">
        <v>9</v>
      </c>
      <c r="CE309" t="s">
        <v>235</v>
      </c>
    </row>
    <row r="310" spans="1:83" x14ac:dyDescent="0.2">
      <c r="A310" s="76" t="s">
        <v>21</v>
      </c>
      <c r="B310" s="76">
        <v>1674</v>
      </c>
      <c r="C310" s="76">
        <v>1</v>
      </c>
      <c r="D310" s="77">
        <v>32582</v>
      </c>
      <c r="G310" s="257">
        <v>8</v>
      </c>
      <c r="H310" s="76" t="s">
        <v>211</v>
      </c>
      <c r="I310" s="76">
        <v>2E-3</v>
      </c>
      <c r="J310" s="76">
        <v>1</v>
      </c>
      <c r="K310" s="76" t="s">
        <v>232</v>
      </c>
      <c r="L310" s="76">
        <v>12</v>
      </c>
      <c r="M310" s="76" t="s">
        <v>235</v>
      </c>
      <c r="BQ310" t="s">
        <v>21</v>
      </c>
      <c r="BR310">
        <v>1674</v>
      </c>
      <c r="BS310">
        <v>1</v>
      </c>
      <c r="BT310" s="2">
        <v>32681</v>
      </c>
      <c r="BU310" s="33">
        <f t="shared" si="14"/>
        <v>1989</v>
      </c>
      <c r="BX310">
        <v>9</v>
      </c>
      <c r="BY310" t="s">
        <v>211</v>
      </c>
      <c r="BZ310">
        <v>1.0999999999999999E-2</v>
      </c>
      <c r="CA310">
        <f t="shared" si="15"/>
        <v>11</v>
      </c>
      <c r="CB310">
        <v>1</v>
      </c>
      <c r="CC310" t="s">
        <v>232</v>
      </c>
      <c r="CD310">
        <v>9</v>
      </c>
      <c r="CE310" t="s">
        <v>235</v>
      </c>
    </row>
    <row r="311" spans="1:83" x14ac:dyDescent="0.2">
      <c r="A311" s="76" t="s">
        <v>21</v>
      </c>
      <c r="B311" s="76">
        <v>1674</v>
      </c>
      <c r="C311" s="76">
        <v>1</v>
      </c>
      <c r="D311" s="77">
        <v>32582</v>
      </c>
      <c r="G311" s="257">
        <v>9</v>
      </c>
      <c r="H311" s="76" t="s">
        <v>211</v>
      </c>
      <c r="I311" s="76">
        <v>4.0000000000000001E-3</v>
      </c>
      <c r="J311" s="76">
        <v>1</v>
      </c>
      <c r="K311" s="76" t="s">
        <v>232</v>
      </c>
      <c r="L311" s="76">
        <v>12</v>
      </c>
      <c r="M311" s="76" t="s">
        <v>235</v>
      </c>
      <c r="BQ311" t="s">
        <v>21</v>
      </c>
      <c r="BR311">
        <v>1674</v>
      </c>
      <c r="BS311">
        <v>1</v>
      </c>
      <c r="BT311" s="2">
        <v>32695</v>
      </c>
      <c r="BU311" s="33">
        <f t="shared" si="14"/>
        <v>1989</v>
      </c>
      <c r="BX311">
        <v>1</v>
      </c>
      <c r="BY311" t="s">
        <v>211</v>
      </c>
      <c r="BZ311">
        <v>2.1000000000000001E-2</v>
      </c>
      <c r="CA311">
        <f t="shared" si="15"/>
        <v>21</v>
      </c>
      <c r="CB311">
        <v>1</v>
      </c>
      <c r="CC311" t="s">
        <v>232</v>
      </c>
      <c r="CD311">
        <v>9</v>
      </c>
      <c r="CE311" t="s">
        <v>235</v>
      </c>
    </row>
    <row r="312" spans="1:83" x14ac:dyDescent="0.2">
      <c r="A312" s="76" t="s">
        <v>21</v>
      </c>
      <c r="B312" s="76">
        <v>1674</v>
      </c>
      <c r="C312" s="76">
        <v>1</v>
      </c>
      <c r="D312" s="77">
        <v>32582</v>
      </c>
      <c r="G312" s="257">
        <v>10</v>
      </c>
      <c r="H312" s="76" t="s">
        <v>211</v>
      </c>
      <c r="I312" s="76">
        <v>3.0000000000000001E-3</v>
      </c>
      <c r="J312" s="76">
        <v>1</v>
      </c>
      <c r="K312" s="76" t="s">
        <v>232</v>
      </c>
      <c r="L312" s="76">
        <v>12</v>
      </c>
      <c r="M312" s="76" t="s">
        <v>235</v>
      </c>
      <c r="BQ312" t="s">
        <v>21</v>
      </c>
      <c r="BR312">
        <v>1674</v>
      </c>
      <c r="BS312">
        <v>1</v>
      </c>
      <c r="BT312" s="2">
        <v>32695</v>
      </c>
      <c r="BU312" s="33">
        <f t="shared" si="14"/>
        <v>1989</v>
      </c>
      <c r="BX312">
        <v>2</v>
      </c>
      <c r="BY312" t="s">
        <v>211</v>
      </c>
      <c r="BZ312">
        <v>1.6E-2</v>
      </c>
      <c r="CA312">
        <f t="shared" si="15"/>
        <v>16</v>
      </c>
      <c r="CB312">
        <v>1</v>
      </c>
      <c r="CC312" t="s">
        <v>232</v>
      </c>
      <c r="CD312">
        <v>9</v>
      </c>
      <c r="CE312" t="s">
        <v>235</v>
      </c>
    </row>
    <row r="313" spans="1:83" x14ac:dyDescent="0.2">
      <c r="A313" s="76" t="s">
        <v>21</v>
      </c>
      <c r="B313" s="76">
        <v>1674</v>
      </c>
      <c r="C313" s="76">
        <v>1</v>
      </c>
      <c r="D313" s="77">
        <v>32582</v>
      </c>
      <c r="G313" s="257">
        <v>11</v>
      </c>
      <c r="H313" s="76" t="s">
        <v>211</v>
      </c>
      <c r="I313" s="76">
        <v>2E-3</v>
      </c>
      <c r="J313" s="76">
        <v>1</v>
      </c>
      <c r="K313" s="76" t="s">
        <v>232</v>
      </c>
      <c r="L313" s="76">
        <v>12</v>
      </c>
      <c r="M313" s="76" t="s">
        <v>235</v>
      </c>
      <c r="BQ313" t="s">
        <v>21</v>
      </c>
      <c r="BR313">
        <v>1674</v>
      </c>
      <c r="BS313">
        <v>1</v>
      </c>
      <c r="BT313" s="2">
        <v>32695</v>
      </c>
      <c r="BU313" s="33">
        <f t="shared" si="14"/>
        <v>1989</v>
      </c>
      <c r="BX313">
        <v>3</v>
      </c>
      <c r="BY313" t="s">
        <v>211</v>
      </c>
      <c r="BZ313">
        <v>2.3E-2</v>
      </c>
      <c r="CA313">
        <f t="shared" si="15"/>
        <v>23</v>
      </c>
      <c r="CB313">
        <v>1</v>
      </c>
      <c r="CC313" t="s">
        <v>232</v>
      </c>
      <c r="CD313">
        <v>9</v>
      </c>
      <c r="CE313" t="s">
        <v>235</v>
      </c>
    </row>
    <row r="314" spans="1:83" x14ac:dyDescent="0.2">
      <c r="A314" s="76" t="s">
        <v>21</v>
      </c>
      <c r="B314" s="76">
        <v>1674</v>
      </c>
      <c r="C314" s="76">
        <v>1</v>
      </c>
      <c r="D314" s="77">
        <v>32582</v>
      </c>
      <c r="G314" s="257">
        <v>11.5</v>
      </c>
      <c r="H314" s="76" t="s">
        <v>211</v>
      </c>
      <c r="I314" s="76">
        <v>3.0000000000000001E-3</v>
      </c>
      <c r="J314" s="76">
        <v>1</v>
      </c>
      <c r="K314" s="76" t="s">
        <v>232</v>
      </c>
      <c r="L314" s="76">
        <v>12</v>
      </c>
      <c r="M314" s="76" t="s">
        <v>235</v>
      </c>
      <c r="BQ314" t="s">
        <v>21</v>
      </c>
      <c r="BR314">
        <v>1674</v>
      </c>
      <c r="BS314">
        <v>1</v>
      </c>
      <c r="BT314" s="2">
        <v>32695</v>
      </c>
      <c r="BU314" s="33">
        <f t="shared" si="14"/>
        <v>1989</v>
      </c>
      <c r="BX314">
        <v>4</v>
      </c>
      <c r="BY314" t="s">
        <v>211</v>
      </c>
      <c r="BZ314">
        <v>1.6E-2</v>
      </c>
      <c r="CA314">
        <f t="shared" si="15"/>
        <v>16</v>
      </c>
      <c r="CB314">
        <v>1</v>
      </c>
      <c r="CC314" t="s">
        <v>232</v>
      </c>
      <c r="CD314">
        <v>9</v>
      </c>
      <c r="CE314" t="s">
        <v>235</v>
      </c>
    </row>
    <row r="315" spans="1:83" x14ac:dyDescent="0.2">
      <c r="A315" s="76" t="s">
        <v>21</v>
      </c>
      <c r="B315" s="76">
        <v>1674</v>
      </c>
      <c r="C315" s="76">
        <v>1</v>
      </c>
      <c r="D315" s="77">
        <v>32646</v>
      </c>
      <c r="G315" s="257">
        <v>1</v>
      </c>
      <c r="H315" s="76" t="s">
        <v>211</v>
      </c>
      <c r="I315" s="76">
        <v>1.2999999999999999E-2</v>
      </c>
      <c r="J315" s="76">
        <v>1</v>
      </c>
      <c r="K315" s="76" t="s">
        <v>232</v>
      </c>
      <c r="L315" s="76">
        <v>12</v>
      </c>
      <c r="M315" s="76" t="s">
        <v>235</v>
      </c>
      <c r="BQ315" t="s">
        <v>21</v>
      </c>
      <c r="BR315">
        <v>1674</v>
      </c>
      <c r="BS315">
        <v>1</v>
      </c>
      <c r="BT315" s="2">
        <v>32695</v>
      </c>
      <c r="BU315" s="33">
        <f t="shared" si="14"/>
        <v>1989</v>
      </c>
      <c r="BX315">
        <v>5</v>
      </c>
      <c r="BY315" t="s">
        <v>211</v>
      </c>
      <c r="BZ315">
        <v>1.4999999999999999E-2</v>
      </c>
      <c r="CA315">
        <f t="shared" si="15"/>
        <v>15</v>
      </c>
      <c r="CB315">
        <v>1</v>
      </c>
      <c r="CC315" t="s">
        <v>232</v>
      </c>
      <c r="CD315">
        <v>9</v>
      </c>
      <c r="CE315" t="s">
        <v>235</v>
      </c>
    </row>
    <row r="316" spans="1:83" x14ac:dyDescent="0.2">
      <c r="A316" s="76" t="s">
        <v>21</v>
      </c>
      <c r="B316" s="76">
        <v>1674</v>
      </c>
      <c r="C316" s="76">
        <v>1</v>
      </c>
      <c r="D316" s="77">
        <v>32646</v>
      </c>
      <c r="G316" s="257">
        <v>2</v>
      </c>
      <c r="H316" s="76" t="s">
        <v>211</v>
      </c>
      <c r="I316" s="76">
        <v>1.4E-2</v>
      </c>
      <c r="J316" s="76">
        <v>1</v>
      </c>
      <c r="K316" s="76" t="s">
        <v>232</v>
      </c>
      <c r="L316" s="76">
        <v>12</v>
      </c>
      <c r="M316" s="76" t="s">
        <v>235</v>
      </c>
      <c r="BQ316" t="s">
        <v>21</v>
      </c>
      <c r="BR316">
        <v>1674</v>
      </c>
      <c r="BS316">
        <v>1</v>
      </c>
      <c r="BT316" s="2">
        <v>32695</v>
      </c>
      <c r="BU316" s="33">
        <f t="shared" si="14"/>
        <v>1989</v>
      </c>
      <c r="BX316">
        <v>6</v>
      </c>
      <c r="BY316" t="s">
        <v>211</v>
      </c>
      <c r="BZ316">
        <v>1.2999999999999999E-2</v>
      </c>
      <c r="CA316">
        <f t="shared" si="15"/>
        <v>13</v>
      </c>
      <c r="CB316">
        <v>1</v>
      </c>
      <c r="CC316" t="s">
        <v>232</v>
      </c>
      <c r="CD316">
        <v>9</v>
      </c>
      <c r="CE316" t="s">
        <v>235</v>
      </c>
    </row>
    <row r="317" spans="1:83" x14ac:dyDescent="0.2">
      <c r="A317" s="76" t="s">
        <v>21</v>
      </c>
      <c r="B317" s="76">
        <v>1674</v>
      </c>
      <c r="C317" s="76">
        <v>1</v>
      </c>
      <c r="D317" s="77">
        <v>32646</v>
      </c>
      <c r="G317" s="257">
        <v>3</v>
      </c>
      <c r="H317" s="76" t="s">
        <v>211</v>
      </c>
      <c r="I317" s="76">
        <v>1.2999999999999999E-2</v>
      </c>
      <c r="J317" s="76">
        <v>1</v>
      </c>
      <c r="K317" s="76" t="s">
        <v>232</v>
      </c>
      <c r="L317" s="76">
        <v>12</v>
      </c>
      <c r="M317" s="76" t="s">
        <v>235</v>
      </c>
      <c r="BQ317" t="s">
        <v>21</v>
      </c>
      <c r="BR317">
        <v>1674</v>
      </c>
      <c r="BS317">
        <v>1</v>
      </c>
      <c r="BT317" s="2">
        <v>32695</v>
      </c>
      <c r="BU317" s="33">
        <f t="shared" si="14"/>
        <v>1989</v>
      </c>
      <c r="BX317">
        <v>7</v>
      </c>
      <c r="BY317" t="s">
        <v>211</v>
      </c>
      <c r="BZ317">
        <v>1.4E-2</v>
      </c>
      <c r="CA317">
        <f t="shared" si="15"/>
        <v>14</v>
      </c>
      <c r="CB317">
        <v>1</v>
      </c>
      <c r="CC317" t="s">
        <v>232</v>
      </c>
      <c r="CD317">
        <v>9</v>
      </c>
      <c r="CE317" t="s">
        <v>235</v>
      </c>
    </row>
    <row r="318" spans="1:83" x14ac:dyDescent="0.2">
      <c r="A318" s="76" t="s">
        <v>21</v>
      </c>
      <c r="B318" s="76">
        <v>1674</v>
      </c>
      <c r="C318" s="76">
        <v>1</v>
      </c>
      <c r="D318" s="77">
        <v>32646</v>
      </c>
      <c r="G318" s="257">
        <v>4</v>
      </c>
      <c r="H318" s="76" t="s">
        <v>211</v>
      </c>
      <c r="I318" s="76">
        <v>1.2999999999999999E-2</v>
      </c>
      <c r="J318" s="76">
        <v>1</v>
      </c>
      <c r="K318" s="76" t="s">
        <v>232</v>
      </c>
      <c r="L318" s="76">
        <v>12</v>
      </c>
      <c r="M318" s="76" t="s">
        <v>235</v>
      </c>
      <c r="BQ318" t="s">
        <v>21</v>
      </c>
      <c r="BR318">
        <v>1674</v>
      </c>
      <c r="BS318">
        <v>1</v>
      </c>
      <c r="BT318" s="2">
        <v>32695</v>
      </c>
      <c r="BU318" s="33">
        <f t="shared" si="14"/>
        <v>1989</v>
      </c>
      <c r="BX318">
        <v>8</v>
      </c>
      <c r="BY318" t="s">
        <v>211</v>
      </c>
      <c r="BZ318">
        <v>1.2999999999999999E-2</v>
      </c>
      <c r="CA318">
        <f t="shared" si="15"/>
        <v>13</v>
      </c>
      <c r="CB318">
        <v>1</v>
      </c>
      <c r="CC318" t="s">
        <v>232</v>
      </c>
      <c r="CD318">
        <v>9</v>
      </c>
      <c r="CE318" t="s">
        <v>235</v>
      </c>
    </row>
    <row r="319" spans="1:83" x14ac:dyDescent="0.2">
      <c r="A319" s="76" t="s">
        <v>21</v>
      </c>
      <c r="B319" s="76">
        <v>1674</v>
      </c>
      <c r="C319" s="76">
        <v>1</v>
      </c>
      <c r="D319" s="77">
        <v>32646</v>
      </c>
      <c r="G319" s="257">
        <v>5</v>
      </c>
      <c r="H319" s="76" t="s">
        <v>211</v>
      </c>
      <c r="I319" s="76">
        <v>1.2E-2</v>
      </c>
      <c r="J319" s="76">
        <v>1</v>
      </c>
      <c r="K319" s="76" t="s">
        <v>232</v>
      </c>
      <c r="L319" s="76">
        <v>12</v>
      </c>
      <c r="M319" s="76" t="s">
        <v>235</v>
      </c>
      <c r="BQ319" t="s">
        <v>21</v>
      </c>
      <c r="BR319">
        <v>1674</v>
      </c>
      <c r="BS319">
        <v>1</v>
      </c>
      <c r="BT319" s="2">
        <v>32695</v>
      </c>
      <c r="BU319" s="33">
        <f t="shared" si="14"/>
        <v>1989</v>
      </c>
      <c r="BX319">
        <v>9</v>
      </c>
      <c r="BY319" t="s">
        <v>211</v>
      </c>
      <c r="BZ319">
        <v>1.4E-2</v>
      </c>
      <c r="CA319">
        <f t="shared" si="15"/>
        <v>14</v>
      </c>
      <c r="CB319">
        <v>1</v>
      </c>
      <c r="CC319" t="s">
        <v>232</v>
      </c>
      <c r="CD319">
        <v>9</v>
      </c>
      <c r="CE319" t="s">
        <v>235</v>
      </c>
    </row>
    <row r="320" spans="1:83" x14ac:dyDescent="0.2">
      <c r="A320" s="76" t="s">
        <v>21</v>
      </c>
      <c r="B320" s="76">
        <v>1674</v>
      </c>
      <c r="C320" s="76">
        <v>1</v>
      </c>
      <c r="D320" s="77">
        <v>32646</v>
      </c>
      <c r="G320" s="257">
        <v>6</v>
      </c>
      <c r="H320" s="76" t="s">
        <v>211</v>
      </c>
      <c r="I320" s="76">
        <v>1.2999999999999999E-2</v>
      </c>
      <c r="J320" s="76">
        <v>1</v>
      </c>
      <c r="K320" s="76" t="s">
        <v>232</v>
      </c>
      <c r="L320" s="76">
        <v>12</v>
      </c>
      <c r="M320" s="76" t="s">
        <v>235</v>
      </c>
      <c r="BQ320" t="s">
        <v>21</v>
      </c>
      <c r="BR320">
        <v>1674</v>
      </c>
      <c r="BS320">
        <v>1</v>
      </c>
      <c r="BT320" s="2">
        <v>32707</v>
      </c>
      <c r="BU320" s="33">
        <f t="shared" si="14"/>
        <v>1989</v>
      </c>
      <c r="BX320">
        <v>1</v>
      </c>
      <c r="BY320" t="s">
        <v>211</v>
      </c>
      <c r="BZ320">
        <v>1.4999999999999999E-2</v>
      </c>
      <c r="CA320">
        <f t="shared" si="15"/>
        <v>15</v>
      </c>
      <c r="CB320">
        <v>1</v>
      </c>
      <c r="CC320" t="s">
        <v>232</v>
      </c>
      <c r="CD320">
        <v>13</v>
      </c>
      <c r="CE320" t="s">
        <v>235</v>
      </c>
    </row>
    <row r="321" spans="1:83" x14ac:dyDescent="0.2">
      <c r="A321" s="76" t="s">
        <v>21</v>
      </c>
      <c r="B321" s="76">
        <v>1674</v>
      </c>
      <c r="C321" s="76">
        <v>1</v>
      </c>
      <c r="D321" s="77">
        <v>32646</v>
      </c>
      <c r="G321" s="257">
        <v>7</v>
      </c>
      <c r="H321" s="76" t="s">
        <v>211</v>
      </c>
      <c r="I321" s="76">
        <v>1.2E-2</v>
      </c>
      <c r="J321" s="76">
        <v>1</v>
      </c>
      <c r="K321" s="76" t="s">
        <v>232</v>
      </c>
      <c r="L321" s="76">
        <v>12</v>
      </c>
      <c r="M321" s="76" t="s">
        <v>235</v>
      </c>
      <c r="BQ321" t="s">
        <v>21</v>
      </c>
      <c r="BR321">
        <v>1674</v>
      </c>
      <c r="BS321">
        <v>1</v>
      </c>
      <c r="BT321" s="2">
        <v>32707</v>
      </c>
      <c r="BU321" s="33">
        <f t="shared" si="14"/>
        <v>1989</v>
      </c>
      <c r="BX321">
        <v>2</v>
      </c>
      <c r="BY321" t="s">
        <v>211</v>
      </c>
      <c r="BZ321">
        <v>1.2999999999999999E-2</v>
      </c>
      <c r="CA321">
        <f t="shared" si="15"/>
        <v>13</v>
      </c>
      <c r="CB321">
        <v>1</v>
      </c>
      <c r="CC321" t="s">
        <v>232</v>
      </c>
      <c r="CD321">
        <v>13</v>
      </c>
      <c r="CE321" t="s">
        <v>235</v>
      </c>
    </row>
    <row r="322" spans="1:83" x14ac:dyDescent="0.2">
      <c r="A322" s="76" t="s">
        <v>21</v>
      </c>
      <c r="B322" s="76">
        <v>1674</v>
      </c>
      <c r="C322" s="76">
        <v>1</v>
      </c>
      <c r="D322" s="77">
        <v>32646</v>
      </c>
      <c r="G322" s="257">
        <v>8</v>
      </c>
      <c r="H322" s="76" t="s">
        <v>211</v>
      </c>
      <c r="I322" s="76">
        <v>1.2999999999999999E-2</v>
      </c>
      <c r="J322" s="76">
        <v>1</v>
      </c>
      <c r="K322" s="76" t="s">
        <v>232</v>
      </c>
      <c r="L322" s="76">
        <v>12</v>
      </c>
      <c r="M322" s="76" t="s">
        <v>235</v>
      </c>
      <c r="BQ322" t="s">
        <v>21</v>
      </c>
      <c r="BR322">
        <v>1674</v>
      </c>
      <c r="BS322">
        <v>1</v>
      </c>
      <c r="BT322" s="2">
        <v>32707</v>
      </c>
      <c r="BU322" s="33">
        <f t="shared" si="14"/>
        <v>1989</v>
      </c>
      <c r="BX322">
        <v>3</v>
      </c>
      <c r="BY322" t="s">
        <v>211</v>
      </c>
      <c r="BZ322">
        <v>1.2999999999999999E-2</v>
      </c>
      <c r="CA322">
        <f t="shared" si="15"/>
        <v>13</v>
      </c>
      <c r="CB322">
        <v>1</v>
      </c>
      <c r="CC322" t="s">
        <v>232</v>
      </c>
      <c r="CD322">
        <v>13</v>
      </c>
      <c r="CE322" t="s">
        <v>235</v>
      </c>
    </row>
    <row r="323" spans="1:83" x14ac:dyDescent="0.2">
      <c r="A323" s="76" t="s">
        <v>21</v>
      </c>
      <c r="B323" s="76">
        <v>1674</v>
      </c>
      <c r="C323" s="76">
        <v>1</v>
      </c>
      <c r="D323" s="77">
        <v>32646</v>
      </c>
      <c r="G323" s="257">
        <v>9</v>
      </c>
      <c r="H323" s="76" t="s">
        <v>211</v>
      </c>
      <c r="I323" s="76">
        <v>1.2E-2</v>
      </c>
      <c r="J323" s="76">
        <v>1</v>
      </c>
      <c r="K323" s="76" t="s">
        <v>232</v>
      </c>
      <c r="L323" s="76">
        <v>12</v>
      </c>
      <c r="M323" s="76" t="s">
        <v>235</v>
      </c>
      <c r="BQ323" t="s">
        <v>21</v>
      </c>
      <c r="BR323">
        <v>1674</v>
      </c>
      <c r="BS323">
        <v>1</v>
      </c>
      <c r="BT323" s="2">
        <v>32707</v>
      </c>
      <c r="BU323" s="33">
        <f t="shared" si="14"/>
        <v>1989</v>
      </c>
      <c r="BX323">
        <v>4</v>
      </c>
      <c r="BY323" t="s">
        <v>211</v>
      </c>
      <c r="BZ323">
        <v>1.2E-2</v>
      </c>
      <c r="CA323">
        <f t="shared" si="15"/>
        <v>12</v>
      </c>
      <c r="CB323">
        <v>1</v>
      </c>
      <c r="CC323" t="s">
        <v>232</v>
      </c>
      <c r="CD323">
        <v>13</v>
      </c>
      <c r="CE323" t="s">
        <v>235</v>
      </c>
    </row>
    <row r="324" spans="1:83" x14ac:dyDescent="0.2">
      <c r="A324" s="76" t="s">
        <v>21</v>
      </c>
      <c r="B324" s="76">
        <v>1674</v>
      </c>
      <c r="C324" s="76">
        <v>1</v>
      </c>
      <c r="D324" s="77">
        <v>32646</v>
      </c>
      <c r="G324" s="257">
        <v>10</v>
      </c>
      <c r="H324" s="76" t="s">
        <v>211</v>
      </c>
      <c r="I324" s="76">
        <v>1.2E-2</v>
      </c>
      <c r="J324" s="76">
        <v>1</v>
      </c>
      <c r="K324" s="76" t="s">
        <v>232</v>
      </c>
      <c r="L324" s="76">
        <v>12</v>
      </c>
      <c r="M324" s="76" t="s">
        <v>235</v>
      </c>
      <c r="BQ324" t="s">
        <v>21</v>
      </c>
      <c r="BR324">
        <v>1674</v>
      </c>
      <c r="BS324">
        <v>1</v>
      </c>
      <c r="BT324" s="2">
        <v>32707</v>
      </c>
      <c r="BU324" s="33">
        <f t="shared" ref="BU324:BU387" si="16">YEAR(BT324)</f>
        <v>1989</v>
      </c>
      <c r="BX324">
        <v>5</v>
      </c>
      <c r="BY324" t="s">
        <v>211</v>
      </c>
      <c r="BZ324">
        <v>1.2999999999999999E-2</v>
      </c>
      <c r="CA324">
        <f t="shared" ref="CA324:CA387" si="17">BZ324*1000</f>
        <v>13</v>
      </c>
      <c r="CB324">
        <v>1</v>
      </c>
      <c r="CC324" t="s">
        <v>232</v>
      </c>
      <c r="CD324">
        <v>13</v>
      </c>
      <c r="CE324" t="s">
        <v>235</v>
      </c>
    </row>
    <row r="325" spans="1:83" x14ac:dyDescent="0.2">
      <c r="A325" s="76" t="s">
        <v>21</v>
      </c>
      <c r="B325" s="76">
        <v>1674</v>
      </c>
      <c r="C325" s="76">
        <v>1</v>
      </c>
      <c r="D325" s="77">
        <v>32646</v>
      </c>
      <c r="G325" s="257">
        <v>11</v>
      </c>
      <c r="H325" s="76" t="s">
        <v>211</v>
      </c>
      <c r="I325" s="76">
        <v>1.4E-2</v>
      </c>
      <c r="J325" s="76">
        <v>1</v>
      </c>
      <c r="K325" s="76" t="s">
        <v>232</v>
      </c>
      <c r="L325" s="76">
        <v>12</v>
      </c>
      <c r="M325" s="76" t="s">
        <v>235</v>
      </c>
      <c r="BQ325" t="s">
        <v>21</v>
      </c>
      <c r="BR325">
        <v>1674</v>
      </c>
      <c r="BS325">
        <v>1</v>
      </c>
      <c r="BT325" s="2">
        <v>32707</v>
      </c>
      <c r="BU325" s="33">
        <f t="shared" si="16"/>
        <v>1989</v>
      </c>
      <c r="BX325">
        <v>6</v>
      </c>
      <c r="BY325" t="s">
        <v>211</v>
      </c>
      <c r="BZ325">
        <v>1.2E-2</v>
      </c>
      <c r="CA325">
        <f t="shared" si="17"/>
        <v>12</v>
      </c>
      <c r="CB325">
        <v>1</v>
      </c>
      <c r="CC325" t="s">
        <v>232</v>
      </c>
      <c r="CD325">
        <v>13</v>
      </c>
      <c r="CE325" t="s">
        <v>235</v>
      </c>
    </row>
    <row r="326" spans="1:83" x14ac:dyDescent="0.2">
      <c r="A326" s="76" t="s">
        <v>21</v>
      </c>
      <c r="B326" s="76">
        <v>1674</v>
      </c>
      <c r="C326" s="76">
        <v>1</v>
      </c>
      <c r="D326" s="77">
        <v>32646</v>
      </c>
      <c r="G326" s="257">
        <v>12</v>
      </c>
      <c r="H326" s="76" t="s">
        <v>211</v>
      </c>
      <c r="I326" s="76">
        <v>1.4E-2</v>
      </c>
      <c r="J326" s="76">
        <v>1</v>
      </c>
      <c r="K326" s="76" t="s">
        <v>232</v>
      </c>
      <c r="L326" s="76">
        <v>12</v>
      </c>
      <c r="M326" s="76" t="s">
        <v>235</v>
      </c>
      <c r="BQ326" t="s">
        <v>21</v>
      </c>
      <c r="BR326">
        <v>1674</v>
      </c>
      <c r="BS326">
        <v>1</v>
      </c>
      <c r="BT326" s="2">
        <v>32707</v>
      </c>
      <c r="BU326" s="33">
        <f t="shared" si="16"/>
        <v>1989</v>
      </c>
      <c r="BX326">
        <v>7</v>
      </c>
      <c r="BY326" t="s">
        <v>211</v>
      </c>
      <c r="BZ326">
        <v>1.4999999999999999E-2</v>
      </c>
      <c r="CA326">
        <f t="shared" si="17"/>
        <v>15</v>
      </c>
      <c r="CB326">
        <v>1</v>
      </c>
      <c r="CC326" t="s">
        <v>232</v>
      </c>
      <c r="CD326">
        <v>13</v>
      </c>
      <c r="CE326" t="s">
        <v>235</v>
      </c>
    </row>
    <row r="327" spans="1:83" x14ac:dyDescent="0.2">
      <c r="A327" s="76" t="s">
        <v>21</v>
      </c>
      <c r="B327" s="76">
        <v>1674</v>
      </c>
      <c r="C327" s="76">
        <v>1</v>
      </c>
      <c r="D327" s="77">
        <v>32662</v>
      </c>
      <c r="G327" s="257">
        <v>1</v>
      </c>
      <c r="H327" s="76" t="s">
        <v>211</v>
      </c>
      <c r="I327" s="76">
        <v>1.0999999999999999E-2</v>
      </c>
      <c r="J327" s="76">
        <v>1</v>
      </c>
      <c r="K327" s="76" t="s">
        <v>232</v>
      </c>
      <c r="L327" s="76">
        <v>12</v>
      </c>
      <c r="M327" s="76" t="s">
        <v>235</v>
      </c>
      <c r="BQ327" t="s">
        <v>21</v>
      </c>
      <c r="BR327">
        <v>1674</v>
      </c>
      <c r="BS327">
        <v>1</v>
      </c>
      <c r="BT327" s="2">
        <v>32707</v>
      </c>
      <c r="BU327" s="33">
        <f t="shared" si="16"/>
        <v>1989</v>
      </c>
      <c r="BX327">
        <v>8</v>
      </c>
      <c r="BY327" t="s">
        <v>211</v>
      </c>
      <c r="BZ327">
        <v>1.2999999999999999E-2</v>
      </c>
      <c r="CA327">
        <f t="shared" si="17"/>
        <v>13</v>
      </c>
      <c r="CB327">
        <v>1</v>
      </c>
      <c r="CC327" t="s">
        <v>232</v>
      </c>
      <c r="CD327">
        <v>13</v>
      </c>
      <c r="CE327" t="s">
        <v>235</v>
      </c>
    </row>
    <row r="328" spans="1:83" x14ac:dyDescent="0.2">
      <c r="A328" s="76" t="s">
        <v>21</v>
      </c>
      <c r="B328" s="76">
        <v>1674</v>
      </c>
      <c r="C328" s="76">
        <v>1</v>
      </c>
      <c r="D328" s="77">
        <v>32662</v>
      </c>
      <c r="G328" s="257">
        <v>2</v>
      </c>
      <c r="H328" s="76" t="s">
        <v>211</v>
      </c>
      <c r="I328" s="76">
        <v>1.7999999999999999E-2</v>
      </c>
      <c r="J328" s="76">
        <v>1</v>
      </c>
      <c r="K328" s="76" t="s">
        <v>232</v>
      </c>
      <c r="L328" s="76">
        <v>12</v>
      </c>
      <c r="M328" s="76" t="s">
        <v>235</v>
      </c>
      <c r="BQ328" t="s">
        <v>21</v>
      </c>
      <c r="BR328">
        <v>1674</v>
      </c>
      <c r="BS328">
        <v>1</v>
      </c>
      <c r="BT328" s="2">
        <v>32707</v>
      </c>
      <c r="BU328" s="33">
        <f t="shared" si="16"/>
        <v>1989</v>
      </c>
      <c r="BX328">
        <v>9</v>
      </c>
      <c r="BY328" t="s">
        <v>211</v>
      </c>
      <c r="BZ328">
        <v>1.7000000000000001E-2</v>
      </c>
      <c r="CA328">
        <f t="shared" si="17"/>
        <v>17</v>
      </c>
      <c r="CB328">
        <v>1</v>
      </c>
      <c r="CC328" t="s">
        <v>232</v>
      </c>
      <c r="CD328">
        <v>13</v>
      </c>
      <c r="CE328" t="s">
        <v>235</v>
      </c>
    </row>
    <row r="329" spans="1:83" x14ac:dyDescent="0.2">
      <c r="A329" s="76" t="s">
        <v>21</v>
      </c>
      <c r="B329" s="76">
        <v>1674</v>
      </c>
      <c r="C329" s="76">
        <v>1</v>
      </c>
      <c r="D329" s="77">
        <v>32662</v>
      </c>
      <c r="G329" s="257">
        <v>3</v>
      </c>
      <c r="H329" s="76" t="s">
        <v>211</v>
      </c>
      <c r="I329" s="76">
        <v>1.2E-2</v>
      </c>
      <c r="J329" s="76">
        <v>1</v>
      </c>
      <c r="K329" s="76" t="s">
        <v>232</v>
      </c>
      <c r="L329" s="76">
        <v>12</v>
      </c>
      <c r="M329" s="76" t="s">
        <v>235</v>
      </c>
      <c r="BQ329" t="s">
        <v>21</v>
      </c>
      <c r="BR329">
        <v>1674</v>
      </c>
      <c r="BS329">
        <v>1</v>
      </c>
      <c r="BT329" s="2">
        <v>32707</v>
      </c>
      <c r="BU329" s="33">
        <f t="shared" si="16"/>
        <v>1989</v>
      </c>
      <c r="BX329">
        <v>10</v>
      </c>
      <c r="BY329" t="s">
        <v>211</v>
      </c>
      <c r="BZ329">
        <v>1.2999999999999999E-2</v>
      </c>
      <c r="CA329">
        <f t="shared" si="17"/>
        <v>13</v>
      </c>
      <c r="CB329">
        <v>1</v>
      </c>
      <c r="CC329" t="s">
        <v>232</v>
      </c>
      <c r="CD329">
        <v>13</v>
      </c>
      <c r="CE329" t="s">
        <v>235</v>
      </c>
    </row>
    <row r="330" spans="1:83" x14ac:dyDescent="0.2">
      <c r="A330" s="76" t="s">
        <v>21</v>
      </c>
      <c r="B330" s="76">
        <v>1674</v>
      </c>
      <c r="C330" s="76">
        <v>1</v>
      </c>
      <c r="D330" s="77">
        <v>32662</v>
      </c>
      <c r="G330" s="257">
        <v>4</v>
      </c>
      <c r="H330" s="76" t="s">
        <v>211</v>
      </c>
      <c r="I330" s="76">
        <v>0.01</v>
      </c>
      <c r="J330" s="76">
        <v>1</v>
      </c>
      <c r="K330" s="76" t="s">
        <v>232</v>
      </c>
      <c r="L330" s="76">
        <v>12</v>
      </c>
      <c r="M330" s="76" t="s">
        <v>235</v>
      </c>
      <c r="BQ330" t="s">
        <v>21</v>
      </c>
      <c r="BR330">
        <v>1674</v>
      </c>
      <c r="BS330">
        <v>1</v>
      </c>
      <c r="BT330" s="2">
        <v>32707</v>
      </c>
      <c r="BU330" s="33">
        <f t="shared" si="16"/>
        <v>1989</v>
      </c>
      <c r="BX330">
        <v>11</v>
      </c>
      <c r="BY330" t="s">
        <v>211</v>
      </c>
      <c r="BZ330">
        <v>1.7999999999999999E-2</v>
      </c>
      <c r="CA330">
        <f t="shared" si="17"/>
        <v>18</v>
      </c>
      <c r="CB330">
        <v>1</v>
      </c>
      <c r="CC330" t="s">
        <v>232</v>
      </c>
      <c r="CD330">
        <v>13</v>
      </c>
      <c r="CE330" t="s">
        <v>235</v>
      </c>
    </row>
    <row r="331" spans="1:83" x14ac:dyDescent="0.2">
      <c r="A331" s="76" t="s">
        <v>21</v>
      </c>
      <c r="B331" s="76">
        <v>1674</v>
      </c>
      <c r="C331" s="76">
        <v>1</v>
      </c>
      <c r="D331" s="77">
        <v>32662</v>
      </c>
      <c r="G331" s="257">
        <v>5</v>
      </c>
      <c r="H331" s="76" t="s">
        <v>211</v>
      </c>
      <c r="I331" s="76">
        <v>1.0999999999999999E-2</v>
      </c>
      <c r="J331" s="76">
        <v>1</v>
      </c>
      <c r="K331" s="76" t="s">
        <v>232</v>
      </c>
      <c r="L331" s="76">
        <v>12</v>
      </c>
      <c r="M331" s="76" t="s">
        <v>235</v>
      </c>
      <c r="BQ331" t="s">
        <v>21</v>
      </c>
      <c r="BR331">
        <v>1674</v>
      </c>
      <c r="BS331">
        <v>1</v>
      </c>
      <c r="BT331" s="2">
        <v>32707</v>
      </c>
      <c r="BU331" s="33">
        <f t="shared" si="16"/>
        <v>1989</v>
      </c>
      <c r="BX331">
        <v>12</v>
      </c>
      <c r="BY331" t="s">
        <v>211</v>
      </c>
      <c r="BZ331">
        <v>2.1999999999999999E-2</v>
      </c>
      <c r="CA331">
        <f t="shared" si="17"/>
        <v>22</v>
      </c>
      <c r="CB331">
        <v>1</v>
      </c>
      <c r="CC331" t="s">
        <v>232</v>
      </c>
      <c r="CD331">
        <v>13</v>
      </c>
      <c r="CE331" t="s">
        <v>235</v>
      </c>
    </row>
    <row r="332" spans="1:83" x14ac:dyDescent="0.2">
      <c r="A332" s="76" t="s">
        <v>21</v>
      </c>
      <c r="B332" s="76">
        <v>1674</v>
      </c>
      <c r="C332" s="76">
        <v>1</v>
      </c>
      <c r="D332" s="77">
        <v>32662</v>
      </c>
      <c r="G332" s="257">
        <v>6</v>
      </c>
      <c r="H332" s="76" t="s">
        <v>211</v>
      </c>
      <c r="I332" s="76">
        <v>1.4999999999999999E-2</v>
      </c>
      <c r="J332" s="76">
        <v>1</v>
      </c>
      <c r="K332" s="76" t="s">
        <v>232</v>
      </c>
      <c r="L332" s="76">
        <v>12</v>
      </c>
      <c r="M332" s="76" t="s">
        <v>235</v>
      </c>
      <c r="BQ332" t="s">
        <v>21</v>
      </c>
      <c r="BR332">
        <v>1674</v>
      </c>
      <c r="BS332">
        <v>1</v>
      </c>
      <c r="BT332" s="2">
        <v>32707</v>
      </c>
      <c r="BU332" s="33">
        <f t="shared" si="16"/>
        <v>1989</v>
      </c>
      <c r="BX332">
        <v>13</v>
      </c>
      <c r="BY332" t="s">
        <v>211</v>
      </c>
      <c r="BZ332">
        <v>0.02</v>
      </c>
      <c r="CA332">
        <f t="shared" si="17"/>
        <v>20</v>
      </c>
      <c r="CB332">
        <v>1</v>
      </c>
      <c r="CC332" t="s">
        <v>232</v>
      </c>
      <c r="CD332">
        <v>13</v>
      </c>
      <c r="CE332" t="s">
        <v>235</v>
      </c>
    </row>
    <row r="333" spans="1:83" x14ac:dyDescent="0.2">
      <c r="A333" s="76" t="s">
        <v>21</v>
      </c>
      <c r="B333" s="76">
        <v>1674</v>
      </c>
      <c r="C333" s="76">
        <v>1</v>
      </c>
      <c r="D333" s="77">
        <v>32662</v>
      </c>
      <c r="G333" s="257">
        <v>7</v>
      </c>
      <c r="H333" s="76" t="s">
        <v>211</v>
      </c>
      <c r="I333" s="76">
        <v>1.0999999999999999E-2</v>
      </c>
      <c r="J333" s="76">
        <v>1</v>
      </c>
      <c r="K333" s="76" t="s">
        <v>232</v>
      </c>
      <c r="L333" s="76">
        <v>12</v>
      </c>
      <c r="M333" s="76" t="s">
        <v>235</v>
      </c>
      <c r="BQ333" t="s">
        <v>21</v>
      </c>
      <c r="BR333">
        <v>1674</v>
      </c>
      <c r="BS333">
        <v>1</v>
      </c>
      <c r="BT333" s="2">
        <v>32720</v>
      </c>
      <c r="BU333" s="33">
        <f t="shared" si="16"/>
        <v>1989</v>
      </c>
      <c r="BX333">
        <v>1</v>
      </c>
      <c r="BY333" t="s">
        <v>211</v>
      </c>
      <c r="BZ333">
        <v>1.6E-2</v>
      </c>
      <c r="CA333">
        <f t="shared" si="17"/>
        <v>16</v>
      </c>
      <c r="CB333">
        <v>1</v>
      </c>
      <c r="CC333" t="s">
        <v>232</v>
      </c>
      <c r="CD333">
        <v>12</v>
      </c>
      <c r="CE333" t="s">
        <v>235</v>
      </c>
    </row>
    <row r="334" spans="1:83" x14ac:dyDescent="0.2">
      <c r="A334" s="76" t="s">
        <v>21</v>
      </c>
      <c r="B334" s="76">
        <v>1674</v>
      </c>
      <c r="C334" s="76">
        <v>1</v>
      </c>
      <c r="D334" s="77">
        <v>32662</v>
      </c>
      <c r="G334" s="257">
        <v>8</v>
      </c>
      <c r="H334" s="76" t="s">
        <v>211</v>
      </c>
      <c r="I334" s="76">
        <v>1.0999999999999999E-2</v>
      </c>
      <c r="J334" s="76">
        <v>1</v>
      </c>
      <c r="K334" s="76" t="s">
        <v>232</v>
      </c>
      <c r="L334" s="76">
        <v>12</v>
      </c>
      <c r="M334" s="76" t="s">
        <v>235</v>
      </c>
      <c r="BQ334" t="s">
        <v>21</v>
      </c>
      <c r="BR334">
        <v>1674</v>
      </c>
      <c r="BS334">
        <v>1</v>
      </c>
      <c r="BT334" s="2">
        <v>32720</v>
      </c>
      <c r="BU334" s="33">
        <f t="shared" si="16"/>
        <v>1989</v>
      </c>
      <c r="BX334">
        <v>2</v>
      </c>
      <c r="BY334" t="s">
        <v>211</v>
      </c>
      <c r="BZ334">
        <v>1.7999999999999999E-2</v>
      </c>
      <c r="CA334">
        <f t="shared" si="17"/>
        <v>18</v>
      </c>
      <c r="CB334">
        <v>1</v>
      </c>
      <c r="CC334" t="s">
        <v>232</v>
      </c>
      <c r="CD334">
        <v>12</v>
      </c>
      <c r="CE334" t="s">
        <v>235</v>
      </c>
    </row>
    <row r="335" spans="1:83" x14ac:dyDescent="0.2">
      <c r="A335" s="76" t="s">
        <v>21</v>
      </c>
      <c r="B335" s="76">
        <v>1674</v>
      </c>
      <c r="C335" s="76">
        <v>1</v>
      </c>
      <c r="D335" s="77">
        <v>32662</v>
      </c>
      <c r="G335" s="257">
        <v>9</v>
      </c>
      <c r="H335" s="76" t="s">
        <v>211</v>
      </c>
      <c r="I335" s="76">
        <v>1.0999999999999999E-2</v>
      </c>
      <c r="J335" s="76">
        <v>1</v>
      </c>
      <c r="K335" s="76" t="s">
        <v>232</v>
      </c>
      <c r="L335" s="76">
        <v>12</v>
      </c>
      <c r="M335" s="76" t="s">
        <v>235</v>
      </c>
      <c r="BQ335" t="s">
        <v>21</v>
      </c>
      <c r="BR335">
        <v>1674</v>
      </c>
      <c r="BS335">
        <v>1</v>
      </c>
      <c r="BT335" s="2">
        <v>32720</v>
      </c>
      <c r="BU335" s="33">
        <f t="shared" si="16"/>
        <v>1989</v>
      </c>
      <c r="BX335">
        <v>3</v>
      </c>
      <c r="BY335" t="s">
        <v>211</v>
      </c>
      <c r="BZ335">
        <v>1.4999999999999999E-2</v>
      </c>
      <c r="CA335">
        <f t="shared" si="17"/>
        <v>15</v>
      </c>
      <c r="CB335">
        <v>1</v>
      </c>
      <c r="CC335" t="s">
        <v>232</v>
      </c>
      <c r="CD335">
        <v>12</v>
      </c>
      <c r="CE335" t="s">
        <v>235</v>
      </c>
    </row>
    <row r="336" spans="1:83" x14ac:dyDescent="0.2">
      <c r="A336" s="76" t="s">
        <v>21</v>
      </c>
      <c r="B336" s="76">
        <v>1674</v>
      </c>
      <c r="C336" s="76">
        <v>1</v>
      </c>
      <c r="D336" s="77">
        <v>32662</v>
      </c>
      <c r="G336" s="257">
        <v>10</v>
      </c>
      <c r="H336" s="76" t="s">
        <v>211</v>
      </c>
      <c r="I336" s="76">
        <v>1.0999999999999999E-2</v>
      </c>
      <c r="J336" s="76">
        <v>1</v>
      </c>
      <c r="K336" s="76" t="s">
        <v>232</v>
      </c>
      <c r="L336" s="76">
        <v>12</v>
      </c>
      <c r="M336" s="76" t="s">
        <v>235</v>
      </c>
      <c r="BQ336" t="s">
        <v>21</v>
      </c>
      <c r="BR336">
        <v>1674</v>
      </c>
      <c r="BS336">
        <v>1</v>
      </c>
      <c r="BT336" s="2">
        <v>32720</v>
      </c>
      <c r="BU336" s="33">
        <f t="shared" si="16"/>
        <v>1989</v>
      </c>
      <c r="BX336">
        <v>4</v>
      </c>
      <c r="BY336" t="s">
        <v>211</v>
      </c>
      <c r="BZ336">
        <v>1.6E-2</v>
      </c>
      <c r="CA336">
        <f t="shared" si="17"/>
        <v>16</v>
      </c>
      <c r="CB336">
        <v>1</v>
      </c>
      <c r="CC336" t="s">
        <v>232</v>
      </c>
      <c r="CD336">
        <v>12</v>
      </c>
      <c r="CE336" t="s">
        <v>235</v>
      </c>
    </row>
    <row r="337" spans="1:83" x14ac:dyDescent="0.2">
      <c r="A337" s="76" t="s">
        <v>21</v>
      </c>
      <c r="B337" s="76">
        <v>1674</v>
      </c>
      <c r="C337" s="76">
        <v>1</v>
      </c>
      <c r="D337" s="77">
        <v>32662</v>
      </c>
      <c r="G337" s="257">
        <v>11</v>
      </c>
      <c r="H337" s="76" t="s">
        <v>211</v>
      </c>
      <c r="I337" s="76">
        <v>1.6E-2</v>
      </c>
      <c r="J337" s="76">
        <v>1</v>
      </c>
      <c r="K337" s="76" t="s">
        <v>232</v>
      </c>
      <c r="L337" s="76">
        <v>12</v>
      </c>
      <c r="M337" s="76" t="s">
        <v>235</v>
      </c>
      <c r="BQ337" t="s">
        <v>21</v>
      </c>
      <c r="BR337">
        <v>1674</v>
      </c>
      <c r="BS337">
        <v>1</v>
      </c>
      <c r="BT337" s="2">
        <v>32720</v>
      </c>
      <c r="BU337" s="33">
        <f t="shared" si="16"/>
        <v>1989</v>
      </c>
      <c r="BX337">
        <v>5</v>
      </c>
      <c r="BY337" t="s">
        <v>211</v>
      </c>
      <c r="BZ337">
        <v>1.4999999999999999E-2</v>
      </c>
      <c r="CA337">
        <f t="shared" si="17"/>
        <v>15</v>
      </c>
      <c r="CB337">
        <v>1</v>
      </c>
      <c r="CC337" t="s">
        <v>232</v>
      </c>
      <c r="CD337">
        <v>12</v>
      </c>
      <c r="CE337" t="s">
        <v>235</v>
      </c>
    </row>
    <row r="338" spans="1:83" x14ac:dyDescent="0.2">
      <c r="A338" s="76" t="s">
        <v>21</v>
      </c>
      <c r="B338" s="76">
        <v>1674</v>
      </c>
      <c r="C338" s="76">
        <v>1</v>
      </c>
      <c r="D338" s="77">
        <v>32662</v>
      </c>
      <c r="G338" s="257">
        <v>12</v>
      </c>
      <c r="H338" s="76" t="s">
        <v>211</v>
      </c>
      <c r="I338" s="76">
        <v>2.8000000000000001E-2</v>
      </c>
      <c r="J338" s="76">
        <v>1</v>
      </c>
      <c r="K338" s="76" t="s">
        <v>232</v>
      </c>
      <c r="L338" s="76">
        <v>12</v>
      </c>
      <c r="M338" s="76" t="s">
        <v>235</v>
      </c>
      <c r="BQ338" t="s">
        <v>21</v>
      </c>
      <c r="BR338">
        <v>1674</v>
      </c>
      <c r="BS338">
        <v>1</v>
      </c>
      <c r="BT338" s="2">
        <v>32720</v>
      </c>
      <c r="BU338" s="33">
        <f t="shared" si="16"/>
        <v>1989</v>
      </c>
      <c r="BX338">
        <v>6</v>
      </c>
      <c r="BY338" t="s">
        <v>211</v>
      </c>
      <c r="BZ338">
        <v>1.2E-2</v>
      </c>
      <c r="CA338">
        <f t="shared" si="17"/>
        <v>12</v>
      </c>
      <c r="CB338">
        <v>1</v>
      </c>
      <c r="CC338" t="s">
        <v>232</v>
      </c>
      <c r="CD338">
        <v>12</v>
      </c>
      <c r="CE338" t="s">
        <v>235</v>
      </c>
    </row>
    <row r="339" spans="1:83" x14ac:dyDescent="0.2">
      <c r="A339" s="76" t="s">
        <v>21</v>
      </c>
      <c r="B339" s="76">
        <v>1674</v>
      </c>
      <c r="C339" s="76">
        <v>1</v>
      </c>
      <c r="D339" s="77">
        <v>32681</v>
      </c>
      <c r="G339" s="257">
        <v>1</v>
      </c>
      <c r="H339" s="76" t="s">
        <v>211</v>
      </c>
      <c r="I339" s="76">
        <v>2.4E-2</v>
      </c>
      <c r="J339" s="76">
        <v>1</v>
      </c>
      <c r="K339" s="76" t="s">
        <v>232</v>
      </c>
      <c r="L339" s="76">
        <v>9</v>
      </c>
      <c r="M339" s="76" t="s">
        <v>235</v>
      </c>
      <c r="BQ339" t="s">
        <v>21</v>
      </c>
      <c r="BR339">
        <v>1674</v>
      </c>
      <c r="BS339">
        <v>1</v>
      </c>
      <c r="BT339" s="2">
        <v>32720</v>
      </c>
      <c r="BU339" s="33">
        <f t="shared" si="16"/>
        <v>1989</v>
      </c>
      <c r="BX339">
        <v>7</v>
      </c>
      <c r="BY339" t="s">
        <v>211</v>
      </c>
      <c r="BZ339">
        <v>1.2E-2</v>
      </c>
      <c r="CA339">
        <f t="shared" si="17"/>
        <v>12</v>
      </c>
      <c r="CB339">
        <v>1</v>
      </c>
      <c r="CC339" t="s">
        <v>232</v>
      </c>
      <c r="CD339">
        <v>12</v>
      </c>
      <c r="CE339" t="s">
        <v>235</v>
      </c>
    </row>
    <row r="340" spans="1:83" x14ac:dyDescent="0.2">
      <c r="A340" s="76" t="s">
        <v>21</v>
      </c>
      <c r="B340" s="76">
        <v>1674</v>
      </c>
      <c r="C340" s="76">
        <v>1</v>
      </c>
      <c r="D340" s="77">
        <v>32681</v>
      </c>
      <c r="G340" s="257">
        <v>2</v>
      </c>
      <c r="H340" s="76" t="s">
        <v>211</v>
      </c>
      <c r="I340" s="76">
        <v>1.7000000000000001E-2</v>
      </c>
      <c r="J340" s="76">
        <v>1</v>
      </c>
      <c r="K340" s="76" t="s">
        <v>232</v>
      </c>
      <c r="L340" s="76">
        <v>9</v>
      </c>
      <c r="M340" s="76" t="s">
        <v>235</v>
      </c>
      <c r="BQ340" t="s">
        <v>21</v>
      </c>
      <c r="BR340">
        <v>1674</v>
      </c>
      <c r="BS340">
        <v>1</v>
      </c>
      <c r="BT340" s="2">
        <v>32720</v>
      </c>
      <c r="BU340" s="33">
        <f t="shared" si="16"/>
        <v>1989</v>
      </c>
      <c r="BX340">
        <v>8</v>
      </c>
      <c r="BY340" t="s">
        <v>211</v>
      </c>
      <c r="BZ340">
        <v>1.4E-2</v>
      </c>
      <c r="CA340">
        <f t="shared" si="17"/>
        <v>14</v>
      </c>
      <c r="CB340">
        <v>1</v>
      </c>
      <c r="CC340" t="s">
        <v>232</v>
      </c>
      <c r="CD340">
        <v>12</v>
      </c>
      <c r="CE340" t="s">
        <v>235</v>
      </c>
    </row>
    <row r="341" spans="1:83" x14ac:dyDescent="0.2">
      <c r="A341" s="76" t="s">
        <v>21</v>
      </c>
      <c r="B341" s="76">
        <v>1674</v>
      </c>
      <c r="C341" s="76">
        <v>1</v>
      </c>
      <c r="D341" s="77">
        <v>32681</v>
      </c>
      <c r="G341" s="257">
        <v>3</v>
      </c>
      <c r="H341" s="76" t="s">
        <v>211</v>
      </c>
      <c r="I341" s="76">
        <v>1.6E-2</v>
      </c>
      <c r="J341" s="76">
        <v>1</v>
      </c>
      <c r="K341" s="76" t="s">
        <v>232</v>
      </c>
      <c r="L341" s="76">
        <v>9</v>
      </c>
      <c r="M341" s="76" t="s">
        <v>235</v>
      </c>
      <c r="BQ341" t="s">
        <v>21</v>
      </c>
      <c r="BR341">
        <v>1674</v>
      </c>
      <c r="BS341">
        <v>1</v>
      </c>
      <c r="BT341" s="2">
        <v>32720</v>
      </c>
      <c r="BU341" s="33">
        <f t="shared" si="16"/>
        <v>1989</v>
      </c>
      <c r="BX341">
        <v>9</v>
      </c>
      <c r="BY341" t="s">
        <v>211</v>
      </c>
      <c r="BZ341">
        <v>1.2999999999999999E-2</v>
      </c>
      <c r="CA341">
        <f t="shared" si="17"/>
        <v>13</v>
      </c>
      <c r="CB341">
        <v>1</v>
      </c>
      <c r="CC341" t="s">
        <v>232</v>
      </c>
      <c r="CD341">
        <v>12</v>
      </c>
      <c r="CE341" t="s">
        <v>235</v>
      </c>
    </row>
    <row r="342" spans="1:83" x14ac:dyDescent="0.2">
      <c r="A342" s="76" t="s">
        <v>21</v>
      </c>
      <c r="B342" s="76">
        <v>1674</v>
      </c>
      <c r="C342" s="76">
        <v>1</v>
      </c>
      <c r="D342" s="77">
        <v>32681</v>
      </c>
      <c r="G342" s="257">
        <v>4</v>
      </c>
      <c r="H342" s="76" t="s">
        <v>211</v>
      </c>
      <c r="I342" s="76">
        <v>1.4E-2</v>
      </c>
      <c r="J342" s="76">
        <v>1</v>
      </c>
      <c r="K342" s="76" t="s">
        <v>232</v>
      </c>
      <c r="L342" s="76">
        <v>9</v>
      </c>
      <c r="M342" s="76" t="s">
        <v>235</v>
      </c>
      <c r="BQ342" t="s">
        <v>21</v>
      </c>
      <c r="BR342">
        <v>1674</v>
      </c>
      <c r="BS342">
        <v>1</v>
      </c>
      <c r="BT342" s="2">
        <v>32720</v>
      </c>
      <c r="BU342" s="33">
        <f t="shared" si="16"/>
        <v>1989</v>
      </c>
      <c r="BX342">
        <v>10</v>
      </c>
      <c r="BY342" t="s">
        <v>211</v>
      </c>
      <c r="BZ342">
        <v>1.4999999999999999E-2</v>
      </c>
      <c r="CA342">
        <f t="shared" si="17"/>
        <v>15</v>
      </c>
      <c r="CB342">
        <v>1</v>
      </c>
      <c r="CC342" t="s">
        <v>232</v>
      </c>
      <c r="CD342">
        <v>12</v>
      </c>
      <c r="CE342" t="s">
        <v>235</v>
      </c>
    </row>
    <row r="343" spans="1:83" x14ac:dyDescent="0.2">
      <c r="A343" s="76" t="s">
        <v>21</v>
      </c>
      <c r="B343" s="76">
        <v>1674</v>
      </c>
      <c r="C343" s="76">
        <v>1</v>
      </c>
      <c r="D343" s="77">
        <v>32681</v>
      </c>
      <c r="G343" s="257">
        <v>5</v>
      </c>
      <c r="H343" s="76" t="s">
        <v>211</v>
      </c>
      <c r="I343" s="76">
        <v>0.01</v>
      </c>
      <c r="J343" s="76">
        <v>1</v>
      </c>
      <c r="K343" s="76" t="s">
        <v>232</v>
      </c>
      <c r="L343" s="76">
        <v>9</v>
      </c>
      <c r="M343" s="76" t="s">
        <v>235</v>
      </c>
      <c r="BQ343" t="s">
        <v>21</v>
      </c>
      <c r="BR343">
        <v>1674</v>
      </c>
      <c r="BS343">
        <v>1</v>
      </c>
      <c r="BT343" s="2">
        <v>32720</v>
      </c>
      <c r="BU343" s="33">
        <f t="shared" si="16"/>
        <v>1989</v>
      </c>
      <c r="BX343">
        <v>11</v>
      </c>
      <c r="BY343" t="s">
        <v>211</v>
      </c>
      <c r="BZ343">
        <v>2.7E-2</v>
      </c>
      <c r="CA343">
        <f t="shared" si="17"/>
        <v>27</v>
      </c>
      <c r="CB343">
        <v>1</v>
      </c>
      <c r="CC343" t="s">
        <v>232</v>
      </c>
      <c r="CD343">
        <v>12</v>
      </c>
      <c r="CE343" t="s">
        <v>235</v>
      </c>
    </row>
    <row r="344" spans="1:83" x14ac:dyDescent="0.2">
      <c r="A344" s="76" t="s">
        <v>21</v>
      </c>
      <c r="B344" s="76">
        <v>1674</v>
      </c>
      <c r="C344" s="76">
        <v>1</v>
      </c>
      <c r="D344" s="77">
        <v>32681</v>
      </c>
      <c r="G344" s="257">
        <v>6</v>
      </c>
      <c r="H344" s="76" t="s">
        <v>211</v>
      </c>
      <c r="I344" s="76">
        <v>1.2E-2</v>
      </c>
      <c r="J344" s="76">
        <v>1</v>
      </c>
      <c r="K344" s="76" t="s">
        <v>232</v>
      </c>
      <c r="L344" s="76">
        <v>9</v>
      </c>
      <c r="M344" s="76" t="s">
        <v>235</v>
      </c>
      <c r="BQ344" t="s">
        <v>21</v>
      </c>
      <c r="BR344">
        <v>1674</v>
      </c>
      <c r="BS344">
        <v>1</v>
      </c>
      <c r="BT344" s="2">
        <v>32720</v>
      </c>
      <c r="BU344" s="33">
        <f t="shared" si="16"/>
        <v>1989</v>
      </c>
      <c r="BX344">
        <v>12</v>
      </c>
      <c r="BY344" t="s">
        <v>211</v>
      </c>
      <c r="BZ344">
        <v>1.7999999999999999E-2</v>
      </c>
      <c r="CA344">
        <f t="shared" si="17"/>
        <v>18</v>
      </c>
      <c r="CB344">
        <v>1</v>
      </c>
      <c r="CC344" t="s">
        <v>232</v>
      </c>
      <c r="CD344">
        <v>12</v>
      </c>
      <c r="CE344" t="s">
        <v>235</v>
      </c>
    </row>
    <row r="345" spans="1:83" x14ac:dyDescent="0.2">
      <c r="A345" s="76" t="s">
        <v>21</v>
      </c>
      <c r="B345" s="76">
        <v>1674</v>
      </c>
      <c r="C345" s="76">
        <v>1</v>
      </c>
      <c r="D345" s="77">
        <v>32681</v>
      </c>
      <c r="G345" s="257">
        <v>7</v>
      </c>
      <c r="H345" s="76" t="s">
        <v>211</v>
      </c>
      <c r="I345" s="76">
        <v>1.7999999999999999E-2</v>
      </c>
      <c r="J345" s="76">
        <v>1</v>
      </c>
      <c r="K345" s="76" t="s">
        <v>232</v>
      </c>
      <c r="L345" s="76">
        <v>9</v>
      </c>
      <c r="M345" s="76" t="s">
        <v>235</v>
      </c>
      <c r="BQ345" t="s">
        <v>21</v>
      </c>
      <c r="BR345">
        <v>1674</v>
      </c>
      <c r="BS345">
        <v>1</v>
      </c>
      <c r="BT345" s="2">
        <v>32734</v>
      </c>
      <c r="BU345" s="33">
        <f t="shared" si="16"/>
        <v>1989</v>
      </c>
      <c r="BX345">
        <v>1</v>
      </c>
      <c r="BY345" t="s">
        <v>211</v>
      </c>
      <c r="BZ345">
        <v>1.2999999999999999E-2</v>
      </c>
      <c r="CA345">
        <f t="shared" si="17"/>
        <v>13</v>
      </c>
      <c r="CB345">
        <v>1</v>
      </c>
      <c r="CC345" t="s">
        <v>232</v>
      </c>
      <c r="CD345">
        <v>12</v>
      </c>
      <c r="CE345" t="s">
        <v>235</v>
      </c>
    </row>
    <row r="346" spans="1:83" x14ac:dyDescent="0.2">
      <c r="A346" s="76" t="s">
        <v>21</v>
      </c>
      <c r="B346" s="76">
        <v>1674</v>
      </c>
      <c r="C346" s="76">
        <v>1</v>
      </c>
      <c r="D346" s="77">
        <v>32681</v>
      </c>
      <c r="G346" s="257">
        <v>8</v>
      </c>
      <c r="H346" s="76" t="s">
        <v>211</v>
      </c>
      <c r="I346" s="76">
        <v>1.4999999999999999E-2</v>
      </c>
      <c r="J346" s="76">
        <v>1</v>
      </c>
      <c r="K346" s="76" t="s">
        <v>232</v>
      </c>
      <c r="L346" s="76">
        <v>9</v>
      </c>
      <c r="M346" s="76" t="s">
        <v>235</v>
      </c>
      <c r="BQ346" t="s">
        <v>21</v>
      </c>
      <c r="BR346">
        <v>1674</v>
      </c>
      <c r="BS346">
        <v>1</v>
      </c>
      <c r="BT346" s="2">
        <v>32734</v>
      </c>
      <c r="BU346" s="33">
        <f t="shared" si="16"/>
        <v>1989</v>
      </c>
      <c r="BX346">
        <v>2</v>
      </c>
      <c r="BY346" t="s">
        <v>211</v>
      </c>
      <c r="BZ346">
        <v>1.0999999999999999E-2</v>
      </c>
      <c r="CA346">
        <f t="shared" si="17"/>
        <v>11</v>
      </c>
      <c r="CB346">
        <v>1</v>
      </c>
      <c r="CC346" t="s">
        <v>232</v>
      </c>
      <c r="CD346">
        <v>12</v>
      </c>
      <c r="CE346" t="s">
        <v>235</v>
      </c>
    </row>
    <row r="347" spans="1:83" x14ac:dyDescent="0.2">
      <c r="A347" s="76" t="s">
        <v>21</v>
      </c>
      <c r="B347" s="76">
        <v>1674</v>
      </c>
      <c r="C347" s="76">
        <v>1</v>
      </c>
      <c r="D347" s="77">
        <v>32681</v>
      </c>
      <c r="G347" s="257">
        <v>9</v>
      </c>
      <c r="H347" s="76" t="s">
        <v>211</v>
      </c>
      <c r="I347" s="76">
        <v>1.0999999999999999E-2</v>
      </c>
      <c r="J347" s="76">
        <v>1</v>
      </c>
      <c r="K347" s="76" t="s">
        <v>232</v>
      </c>
      <c r="L347" s="76">
        <v>9</v>
      </c>
      <c r="M347" s="76" t="s">
        <v>235</v>
      </c>
      <c r="BQ347" t="s">
        <v>21</v>
      </c>
      <c r="BR347">
        <v>1674</v>
      </c>
      <c r="BS347">
        <v>1</v>
      </c>
      <c r="BT347" s="2">
        <v>32734</v>
      </c>
      <c r="BU347" s="33">
        <f t="shared" si="16"/>
        <v>1989</v>
      </c>
      <c r="BX347">
        <v>3</v>
      </c>
      <c r="BY347" t="s">
        <v>211</v>
      </c>
      <c r="BZ347">
        <v>1.2999999999999999E-2</v>
      </c>
      <c r="CA347">
        <f t="shared" si="17"/>
        <v>13</v>
      </c>
      <c r="CB347">
        <v>1</v>
      </c>
      <c r="CC347" t="s">
        <v>232</v>
      </c>
      <c r="CD347">
        <v>12</v>
      </c>
      <c r="CE347" t="s">
        <v>235</v>
      </c>
    </row>
    <row r="348" spans="1:83" x14ac:dyDescent="0.2">
      <c r="A348" s="76" t="s">
        <v>21</v>
      </c>
      <c r="B348" s="76">
        <v>1674</v>
      </c>
      <c r="C348" s="76">
        <v>1</v>
      </c>
      <c r="D348" s="77">
        <v>32695</v>
      </c>
      <c r="G348" s="257">
        <v>1</v>
      </c>
      <c r="H348" s="76" t="s">
        <v>211</v>
      </c>
      <c r="I348" s="76">
        <v>2.1000000000000001E-2</v>
      </c>
      <c r="J348" s="76">
        <v>1</v>
      </c>
      <c r="K348" s="76" t="s">
        <v>232</v>
      </c>
      <c r="L348" s="76">
        <v>9</v>
      </c>
      <c r="M348" s="76" t="s">
        <v>235</v>
      </c>
      <c r="BQ348" t="s">
        <v>21</v>
      </c>
      <c r="BR348">
        <v>1674</v>
      </c>
      <c r="BS348">
        <v>1</v>
      </c>
      <c r="BT348" s="2">
        <v>32734</v>
      </c>
      <c r="BU348" s="33">
        <f t="shared" si="16"/>
        <v>1989</v>
      </c>
      <c r="BX348">
        <v>4</v>
      </c>
      <c r="BY348" t="s">
        <v>211</v>
      </c>
      <c r="BZ348">
        <v>1.4E-2</v>
      </c>
      <c r="CA348">
        <f t="shared" si="17"/>
        <v>14</v>
      </c>
      <c r="CB348">
        <v>1</v>
      </c>
      <c r="CC348" t="s">
        <v>232</v>
      </c>
      <c r="CD348">
        <v>12</v>
      </c>
      <c r="CE348" t="s">
        <v>235</v>
      </c>
    </row>
    <row r="349" spans="1:83" x14ac:dyDescent="0.2">
      <c r="A349" s="76" t="s">
        <v>21</v>
      </c>
      <c r="B349" s="76">
        <v>1674</v>
      </c>
      <c r="C349" s="76">
        <v>1</v>
      </c>
      <c r="D349" s="77">
        <v>32695</v>
      </c>
      <c r="G349" s="257">
        <v>2</v>
      </c>
      <c r="H349" s="76" t="s">
        <v>211</v>
      </c>
      <c r="I349" s="76">
        <v>1.6E-2</v>
      </c>
      <c r="J349" s="76">
        <v>1</v>
      </c>
      <c r="K349" s="76" t="s">
        <v>232</v>
      </c>
      <c r="L349" s="76">
        <v>9</v>
      </c>
      <c r="M349" s="76" t="s">
        <v>235</v>
      </c>
      <c r="BQ349" t="s">
        <v>21</v>
      </c>
      <c r="BR349">
        <v>1674</v>
      </c>
      <c r="BS349">
        <v>1</v>
      </c>
      <c r="BT349" s="2">
        <v>32734</v>
      </c>
      <c r="BU349" s="33">
        <f t="shared" si="16"/>
        <v>1989</v>
      </c>
      <c r="BX349">
        <v>5</v>
      </c>
      <c r="BY349" t="s">
        <v>211</v>
      </c>
      <c r="BZ349">
        <v>1.2999999999999999E-2</v>
      </c>
      <c r="CA349">
        <f t="shared" si="17"/>
        <v>13</v>
      </c>
      <c r="CB349">
        <v>1</v>
      </c>
      <c r="CC349" t="s">
        <v>232</v>
      </c>
      <c r="CD349">
        <v>12</v>
      </c>
      <c r="CE349" t="s">
        <v>235</v>
      </c>
    </row>
    <row r="350" spans="1:83" x14ac:dyDescent="0.2">
      <c r="A350" s="76" t="s">
        <v>21</v>
      </c>
      <c r="B350" s="76">
        <v>1674</v>
      </c>
      <c r="C350" s="76">
        <v>1</v>
      </c>
      <c r="D350" s="77">
        <v>32695</v>
      </c>
      <c r="G350" s="257">
        <v>3</v>
      </c>
      <c r="H350" s="76" t="s">
        <v>211</v>
      </c>
      <c r="I350" s="76">
        <v>2.3E-2</v>
      </c>
      <c r="J350" s="76">
        <v>1</v>
      </c>
      <c r="K350" s="76" t="s">
        <v>232</v>
      </c>
      <c r="L350" s="76">
        <v>9</v>
      </c>
      <c r="M350" s="76" t="s">
        <v>235</v>
      </c>
      <c r="BQ350" t="s">
        <v>21</v>
      </c>
      <c r="BR350">
        <v>1674</v>
      </c>
      <c r="BS350">
        <v>1</v>
      </c>
      <c r="BT350" s="2">
        <v>32734</v>
      </c>
      <c r="BU350" s="33">
        <f t="shared" si="16"/>
        <v>1989</v>
      </c>
      <c r="BX350">
        <v>6</v>
      </c>
      <c r="BY350" t="s">
        <v>211</v>
      </c>
      <c r="BZ350">
        <v>1.2E-2</v>
      </c>
      <c r="CA350">
        <f t="shared" si="17"/>
        <v>12</v>
      </c>
      <c r="CB350">
        <v>1</v>
      </c>
      <c r="CC350" t="s">
        <v>232</v>
      </c>
      <c r="CD350">
        <v>12</v>
      </c>
      <c r="CE350" t="s">
        <v>235</v>
      </c>
    </row>
    <row r="351" spans="1:83" x14ac:dyDescent="0.2">
      <c r="A351" s="76" t="s">
        <v>21</v>
      </c>
      <c r="B351" s="76">
        <v>1674</v>
      </c>
      <c r="C351" s="76">
        <v>1</v>
      </c>
      <c r="D351" s="77">
        <v>32695</v>
      </c>
      <c r="G351" s="257">
        <v>4</v>
      </c>
      <c r="H351" s="76" t="s">
        <v>211</v>
      </c>
      <c r="I351" s="76">
        <v>1.6E-2</v>
      </c>
      <c r="J351" s="76">
        <v>1</v>
      </c>
      <c r="K351" s="76" t="s">
        <v>232</v>
      </c>
      <c r="L351" s="76">
        <v>9</v>
      </c>
      <c r="M351" s="76" t="s">
        <v>235</v>
      </c>
      <c r="BQ351" t="s">
        <v>21</v>
      </c>
      <c r="BR351">
        <v>1674</v>
      </c>
      <c r="BS351">
        <v>1</v>
      </c>
      <c r="BT351" s="2">
        <v>32734</v>
      </c>
      <c r="BU351" s="33">
        <f t="shared" si="16"/>
        <v>1989</v>
      </c>
      <c r="BX351">
        <v>7</v>
      </c>
      <c r="BY351" t="s">
        <v>211</v>
      </c>
      <c r="BZ351">
        <v>1.4E-2</v>
      </c>
      <c r="CA351">
        <f t="shared" si="17"/>
        <v>14</v>
      </c>
      <c r="CB351">
        <v>1</v>
      </c>
      <c r="CC351" t="s">
        <v>232</v>
      </c>
      <c r="CD351">
        <v>12</v>
      </c>
      <c r="CE351" t="s">
        <v>235</v>
      </c>
    </row>
    <row r="352" spans="1:83" x14ac:dyDescent="0.2">
      <c r="A352" s="76" t="s">
        <v>21</v>
      </c>
      <c r="B352" s="76">
        <v>1674</v>
      </c>
      <c r="C352" s="76">
        <v>1</v>
      </c>
      <c r="D352" s="77">
        <v>32695</v>
      </c>
      <c r="G352" s="257">
        <v>5</v>
      </c>
      <c r="H352" s="76" t="s">
        <v>211</v>
      </c>
      <c r="I352" s="76">
        <v>1.4999999999999999E-2</v>
      </c>
      <c r="J352" s="76">
        <v>1</v>
      </c>
      <c r="K352" s="76" t="s">
        <v>232</v>
      </c>
      <c r="L352" s="76">
        <v>9</v>
      </c>
      <c r="M352" s="76" t="s">
        <v>235</v>
      </c>
      <c r="BQ352" t="s">
        <v>21</v>
      </c>
      <c r="BR352">
        <v>1674</v>
      </c>
      <c r="BS352">
        <v>1</v>
      </c>
      <c r="BT352" s="2">
        <v>32734</v>
      </c>
      <c r="BU352" s="33">
        <f t="shared" si="16"/>
        <v>1989</v>
      </c>
      <c r="BX352">
        <v>8</v>
      </c>
      <c r="BY352" t="s">
        <v>211</v>
      </c>
      <c r="BZ352">
        <v>1.2999999999999999E-2</v>
      </c>
      <c r="CA352">
        <f t="shared" si="17"/>
        <v>13</v>
      </c>
      <c r="CB352">
        <v>1</v>
      </c>
      <c r="CC352" t="s">
        <v>232</v>
      </c>
      <c r="CD352">
        <v>12</v>
      </c>
      <c r="CE352" t="s">
        <v>235</v>
      </c>
    </row>
    <row r="353" spans="1:83" x14ac:dyDescent="0.2">
      <c r="A353" s="76" t="s">
        <v>21</v>
      </c>
      <c r="B353" s="76">
        <v>1674</v>
      </c>
      <c r="C353" s="76">
        <v>1</v>
      </c>
      <c r="D353" s="77">
        <v>32695</v>
      </c>
      <c r="G353" s="257">
        <v>6</v>
      </c>
      <c r="H353" s="76" t="s">
        <v>211</v>
      </c>
      <c r="I353" s="76">
        <v>1.2999999999999999E-2</v>
      </c>
      <c r="J353" s="76">
        <v>1</v>
      </c>
      <c r="K353" s="76" t="s">
        <v>232</v>
      </c>
      <c r="L353" s="76">
        <v>9</v>
      </c>
      <c r="M353" s="76" t="s">
        <v>235</v>
      </c>
      <c r="BQ353" t="s">
        <v>21</v>
      </c>
      <c r="BR353">
        <v>1674</v>
      </c>
      <c r="BS353">
        <v>1</v>
      </c>
      <c r="BT353" s="2">
        <v>32734</v>
      </c>
      <c r="BU353" s="33">
        <f t="shared" si="16"/>
        <v>1989</v>
      </c>
      <c r="BX353">
        <v>9</v>
      </c>
      <c r="BY353" t="s">
        <v>211</v>
      </c>
      <c r="BZ353">
        <v>1.4E-2</v>
      </c>
      <c r="CA353">
        <f t="shared" si="17"/>
        <v>14</v>
      </c>
      <c r="CB353">
        <v>1</v>
      </c>
      <c r="CC353" t="s">
        <v>232</v>
      </c>
      <c r="CD353">
        <v>12</v>
      </c>
      <c r="CE353" t="s">
        <v>235</v>
      </c>
    </row>
    <row r="354" spans="1:83" x14ac:dyDescent="0.2">
      <c r="A354" s="76" t="s">
        <v>21</v>
      </c>
      <c r="B354" s="76">
        <v>1674</v>
      </c>
      <c r="C354" s="76">
        <v>1</v>
      </c>
      <c r="D354" s="77">
        <v>32695</v>
      </c>
      <c r="G354" s="257">
        <v>7</v>
      </c>
      <c r="H354" s="76" t="s">
        <v>211</v>
      </c>
      <c r="I354" s="76">
        <v>1.4E-2</v>
      </c>
      <c r="J354" s="76">
        <v>1</v>
      </c>
      <c r="K354" s="76" t="s">
        <v>232</v>
      </c>
      <c r="L354" s="76">
        <v>9</v>
      </c>
      <c r="M354" s="76" t="s">
        <v>235</v>
      </c>
      <c r="BQ354" t="s">
        <v>21</v>
      </c>
      <c r="BR354">
        <v>1674</v>
      </c>
      <c r="BS354">
        <v>1</v>
      </c>
      <c r="BT354" s="2">
        <v>32734</v>
      </c>
      <c r="BU354" s="33">
        <f t="shared" si="16"/>
        <v>1989</v>
      </c>
      <c r="BX354">
        <v>10</v>
      </c>
      <c r="BY354" t="s">
        <v>211</v>
      </c>
      <c r="BZ354">
        <v>1.4E-2</v>
      </c>
      <c r="CA354">
        <f t="shared" si="17"/>
        <v>14</v>
      </c>
      <c r="CB354">
        <v>1</v>
      </c>
      <c r="CC354" t="s">
        <v>232</v>
      </c>
      <c r="CD354">
        <v>12</v>
      </c>
      <c r="CE354" t="s">
        <v>235</v>
      </c>
    </row>
    <row r="355" spans="1:83" x14ac:dyDescent="0.2">
      <c r="A355" s="76" t="s">
        <v>21</v>
      </c>
      <c r="B355" s="76">
        <v>1674</v>
      </c>
      <c r="C355" s="76">
        <v>1</v>
      </c>
      <c r="D355" s="77">
        <v>32695</v>
      </c>
      <c r="G355" s="257">
        <v>8</v>
      </c>
      <c r="H355" s="76" t="s">
        <v>211</v>
      </c>
      <c r="I355" s="76">
        <v>1.2999999999999999E-2</v>
      </c>
      <c r="J355" s="76">
        <v>1</v>
      </c>
      <c r="K355" s="76" t="s">
        <v>232</v>
      </c>
      <c r="L355" s="76">
        <v>9</v>
      </c>
      <c r="M355" s="76" t="s">
        <v>235</v>
      </c>
      <c r="BQ355" t="s">
        <v>21</v>
      </c>
      <c r="BR355">
        <v>1674</v>
      </c>
      <c r="BS355">
        <v>1</v>
      </c>
      <c r="BT355" s="2">
        <v>32734</v>
      </c>
      <c r="BU355" s="33">
        <f t="shared" si="16"/>
        <v>1989</v>
      </c>
      <c r="BX355">
        <v>11</v>
      </c>
      <c r="BY355" t="s">
        <v>211</v>
      </c>
      <c r="BZ355">
        <v>1.2999999999999999E-2</v>
      </c>
      <c r="CA355">
        <f t="shared" si="17"/>
        <v>13</v>
      </c>
      <c r="CB355">
        <v>1</v>
      </c>
      <c r="CC355" t="s">
        <v>232</v>
      </c>
      <c r="CD355">
        <v>12</v>
      </c>
      <c r="CE355" t="s">
        <v>235</v>
      </c>
    </row>
    <row r="356" spans="1:83" x14ac:dyDescent="0.2">
      <c r="A356" s="76" t="s">
        <v>21</v>
      </c>
      <c r="B356" s="76">
        <v>1674</v>
      </c>
      <c r="C356" s="76">
        <v>1</v>
      </c>
      <c r="D356" s="77">
        <v>32695</v>
      </c>
      <c r="G356" s="257">
        <v>9</v>
      </c>
      <c r="H356" s="76" t="s">
        <v>211</v>
      </c>
      <c r="I356" s="76">
        <v>1.4E-2</v>
      </c>
      <c r="J356" s="76">
        <v>1</v>
      </c>
      <c r="K356" s="76" t="s">
        <v>232</v>
      </c>
      <c r="L356" s="76">
        <v>9</v>
      </c>
      <c r="M356" s="76" t="s">
        <v>235</v>
      </c>
      <c r="BQ356" t="s">
        <v>21</v>
      </c>
      <c r="BR356">
        <v>1674</v>
      </c>
      <c r="BS356">
        <v>1</v>
      </c>
      <c r="BT356" s="2">
        <v>32734</v>
      </c>
      <c r="BU356" s="33">
        <f t="shared" si="16"/>
        <v>1989</v>
      </c>
      <c r="BX356">
        <v>12</v>
      </c>
      <c r="BY356" t="s">
        <v>211</v>
      </c>
      <c r="BZ356">
        <v>1.4999999999999999E-2</v>
      </c>
      <c r="CA356">
        <f t="shared" si="17"/>
        <v>15</v>
      </c>
      <c r="CB356">
        <v>1</v>
      </c>
      <c r="CC356" t="s">
        <v>232</v>
      </c>
      <c r="CD356">
        <v>12</v>
      </c>
      <c r="CE356" t="s">
        <v>235</v>
      </c>
    </row>
    <row r="357" spans="1:83" x14ac:dyDescent="0.2">
      <c r="A357" s="76" t="s">
        <v>21</v>
      </c>
      <c r="B357" s="76">
        <v>1674</v>
      </c>
      <c r="C357" s="76">
        <v>1</v>
      </c>
      <c r="D357" s="77">
        <v>32707</v>
      </c>
      <c r="G357" s="257">
        <v>1</v>
      </c>
      <c r="H357" s="76" t="s">
        <v>211</v>
      </c>
      <c r="I357" s="76">
        <v>1.4999999999999999E-2</v>
      </c>
      <c r="J357" s="76">
        <v>1</v>
      </c>
      <c r="K357" s="76" t="s">
        <v>232</v>
      </c>
      <c r="L357" s="76">
        <v>13</v>
      </c>
      <c r="M357" s="76" t="s">
        <v>235</v>
      </c>
      <c r="BQ357" t="s">
        <v>21</v>
      </c>
      <c r="BR357">
        <v>1674</v>
      </c>
      <c r="BS357">
        <v>1</v>
      </c>
      <c r="BT357" s="2">
        <v>32751</v>
      </c>
      <c r="BU357" s="33">
        <f t="shared" si="16"/>
        <v>1989</v>
      </c>
      <c r="BX357">
        <v>1</v>
      </c>
      <c r="BY357" t="s">
        <v>211</v>
      </c>
      <c r="BZ357">
        <v>1.7000000000000001E-2</v>
      </c>
      <c r="CA357">
        <f t="shared" si="17"/>
        <v>17</v>
      </c>
      <c r="CB357">
        <v>1</v>
      </c>
      <c r="CC357" t="s">
        <v>232</v>
      </c>
      <c r="CD357">
        <v>10</v>
      </c>
      <c r="CE357" t="s">
        <v>235</v>
      </c>
    </row>
    <row r="358" spans="1:83" x14ac:dyDescent="0.2">
      <c r="A358" s="76" t="s">
        <v>21</v>
      </c>
      <c r="B358" s="76">
        <v>1674</v>
      </c>
      <c r="C358" s="76">
        <v>1</v>
      </c>
      <c r="D358" s="77">
        <v>32707</v>
      </c>
      <c r="G358" s="257">
        <v>2</v>
      </c>
      <c r="H358" s="76" t="s">
        <v>211</v>
      </c>
      <c r="I358" s="76">
        <v>1.2999999999999999E-2</v>
      </c>
      <c r="J358" s="76">
        <v>1</v>
      </c>
      <c r="K358" s="76" t="s">
        <v>232</v>
      </c>
      <c r="L358" s="76">
        <v>13</v>
      </c>
      <c r="M358" s="76" t="s">
        <v>235</v>
      </c>
      <c r="BQ358" t="s">
        <v>21</v>
      </c>
      <c r="BR358">
        <v>1674</v>
      </c>
      <c r="BS358">
        <v>1</v>
      </c>
      <c r="BT358" s="2">
        <v>32751</v>
      </c>
      <c r="BU358" s="33">
        <f t="shared" si="16"/>
        <v>1989</v>
      </c>
      <c r="BX358">
        <v>2</v>
      </c>
      <c r="BY358" t="s">
        <v>211</v>
      </c>
      <c r="BZ358">
        <v>1.9E-2</v>
      </c>
      <c r="CA358">
        <f t="shared" si="17"/>
        <v>19</v>
      </c>
      <c r="CB358">
        <v>1</v>
      </c>
      <c r="CC358" t="s">
        <v>232</v>
      </c>
      <c r="CD358">
        <v>10</v>
      </c>
      <c r="CE358" t="s">
        <v>235</v>
      </c>
    </row>
    <row r="359" spans="1:83" x14ac:dyDescent="0.2">
      <c r="A359" s="76" t="s">
        <v>21</v>
      </c>
      <c r="B359" s="76">
        <v>1674</v>
      </c>
      <c r="C359" s="76">
        <v>1</v>
      </c>
      <c r="D359" s="77">
        <v>32707</v>
      </c>
      <c r="G359" s="257">
        <v>3</v>
      </c>
      <c r="H359" s="76" t="s">
        <v>211</v>
      </c>
      <c r="I359" s="76">
        <v>1.2999999999999999E-2</v>
      </c>
      <c r="J359" s="76">
        <v>1</v>
      </c>
      <c r="K359" s="76" t="s">
        <v>232</v>
      </c>
      <c r="L359" s="76">
        <v>13</v>
      </c>
      <c r="M359" s="76" t="s">
        <v>235</v>
      </c>
      <c r="BQ359" t="s">
        <v>21</v>
      </c>
      <c r="BR359">
        <v>1674</v>
      </c>
      <c r="BS359">
        <v>1</v>
      </c>
      <c r="BT359" s="2">
        <v>32751</v>
      </c>
      <c r="BU359" s="33">
        <f t="shared" si="16"/>
        <v>1989</v>
      </c>
      <c r="BX359">
        <v>3</v>
      </c>
      <c r="BY359" t="s">
        <v>211</v>
      </c>
      <c r="BZ359">
        <v>1.6E-2</v>
      </c>
      <c r="CA359">
        <f t="shared" si="17"/>
        <v>16</v>
      </c>
      <c r="CB359">
        <v>1</v>
      </c>
      <c r="CC359" t="s">
        <v>232</v>
      </c>
      <c r="CD359">
        <v>10</v>
      </c>
      <c r="CE359" t="s">
        <v>235</v>
      </c>
    </row>
    <row r="360" spans="1:83" x14ac:dyDescent="0.2">
      <c r="A360" s="76" t="s">
        <v>21</v>
      </c>
      <c r="B360" s="76">
        <v>1674</v>
      </c>
      <c r="C360" s="76">
        <v>1</v>
      </c>
      <c r="D360" s="77">
        <v>32707</v>
      </c>
      <c r="G360" s="257">
        <v>4</v>
      </c>
      <c r="H360" s="76" t="s">
        <v>211</v>
      </c>
      <c r="I360" s="76">
        <v>1.2E-2</v>
      </c>
      <c r="J360" s="76">
        <v>1</v>
      </c>
      <c r="K360" s="76" t="s">
        <v>232</v>
      </c>
      <c r="L360" s="76">
        <v>13</v>
      </c>
      <c r="M360" s="76" t="s">
        <v>235</v>
      </c>
      <c r="BQ360" t="s">
        <v>21</v>
      </c>
      <c r="BR360">
        <v>1674</v>
      </c>
      <c r="BS360">
        <v>1</v>
      </c>
      <c r="BT360" s="2">
        <v>32751</v>
      </c>
      <c r="BU360" s="33">
        <f t="shared" si="16"/>
        <v>1989</v>
      </c>
      <c r="BX360">
        <v>4</v>
      </c>
      <c r="BY360" t="s">
        <v>211</v>
      </c>
      <c r="BZ360">
        <v>1.6E-2</v>
      </c>
      <c r="CA360">
        <f t="shared" si="17"/>
        <v>16</v>
      </c>
      <c r="CB360">
        <v>1</v>
      </c>
      <c r="CC360" t="s">
        <v>232</v>
      </c>
      <c r="CD360">
        <v>10</v>
      </c>
      <c r="CE360" t="s">
        <v>235</v>
      </c>
    </row>
    <row r="361" spans="1:83" x14ac:dyDescent="0.2">
      <c r="A361" s="76" t="s">
        <v>21</v>
      </c>
      <c r="B361" s="76">
        <v>1674</v>
      </c>
      <c r="C361" s="76">
        <v>1</v>
      </c>
      <c r="D361" s="77">
        <v>32707</v>
      </c>
      <c r="G361" s="257">
        <v>5</v>
      </c>
      <c r="H361" s="76" t="s">
        <v>211</v>
      </c>
      <c r="I361" s="76">
        <v>1.2999999999999999E-2</v>
      </c>
      <c r="J361" s="76">
        <v>1</v>
      </c>
      <c r="K361" s="76" t="s">
        <v>232</v>
      </c>
      <c r="L361" s="76">
        <v>13</v>
      </c>
      <c r="M361" s="76" t="s">
        <v>235</v>
      </c>
      <c r="BQ361" t="s">
        <v>21</v>
      </c>
      <c r="BR361">
        <v>1674</v>
      </c>
      <c r="BS361">
        <v>1</v>
      </c>
      <c r="BT361" s="2">
        <v>32751</v>
      </c>
      <c r="BU361" s="33">
        <f t="shared" si="16"/>
        <v>1989</v>
      </c>
      <c r="BX361">
        <v>5</v>
      </c>
      <c r="BY361" t="s">
        <v>211</v>
      </c>
      <c r="BZ361">
        <v>1.4999999999999999E-2</v>
      </c>
      <c r="CA361">
        <f t="shared" si="17"/>
        <v>15</v>
      </c>
      <c r="CB361">
        <v>1</v>
      </c>
      <c r="CC361" t="s">
        <v>232</v>
      </c>
      <c r="CD361">
        <v>10</v>
      </c>
      <c r="CE361" t="s">
        <v>235</v>
      </c>
    </row>
    <row r="362" spans="1:83" x14ac:dyDescent="0.2">
      <c r="A362" s="76" t="s">
        <v>21</v>
      </c>
      <c r="B362" s="76">
        <v>1674</v>
      </c>
      <c r="C362" s="76">
        <v>1</v>
      </c>
      <c r="D362" s="77">
        <v>32707</v>
      </c>
      <c r="G362" s="257">
        <v>6</v>
      </c>
      <c r="H362" s="76" t="s">
        <v>211</v>
      </c>
      <c r="I362" s="76">
        <v>1.2E-2</v>
      </c>
      <c r="J362" s="76">
        <v>1</v>
      </c>
      <c r="K362" s="76" t="s">
        <v>232</v>
      </c>
      <c r="L362" s="76">
        <v>13</v>
      </c>
      <c r="M362" s="76" t="s">
        <v>235</v>
      </c>
      <c r="BQ362" t="s">
        <v>21</v>
      </c>
      <c r="BR362">
        <v>1674</v>
      </c>
      <c r="BS362">
        <v>1</v>
      </c>
      <c r="BT362" s="2">
        <v>32751</v>
      </c>
      <c r="BU362" s="33">
        <f t="shared" si="16"/>
        <v>1989</v>
      </c>
      <c r="BX362">
        <v>7</v>
      </c>
      <c r="BY362" t="s">
        <v>211</v>
      </c>
      <c r="BZ362">
        <v>1.2999999999999999E-2</v>
      </c>
      <c r="CA362">
        <f t="shared" si="17"/>
        <v>13</v>
      </c>
      <c r="CB362">
        <v>1</v>
      </c>
      <c r="CC362" t="s">
        <v>232</v>
      </c>
      <c r="CD362">
        <v>10</v>
      </c>
      <c r="CE362" t="s">
        <v>235</v>
      </c>
    </row>
    <row r="363" spans="1:83" x14ac:dyDescent="0.2">
      <c r="A363" s="76" t="s">
        <v>21</v>
      </c>
      <c r="B363" s="76">
        <v>1674</v>
      </c>
      <c r="C363" s="76">
        <v>1</v>
      </c>
      <c r="D363" s="77">
        <v>32707</v>
      </c>
      <c r="G363" s="257">
        <v>7</v>
      </c>
      <c r="H363" s="76" t="s">
        <v>211</v>
      </c>
      <c r="I363" s="76">
        <v>1.4999999999999999E-2</v>
      </c>
      <c r="J363" s="76">
        <v>1</v>
      </c>
      <c r="K363" s="76" t="s">
        <v>232</v>
      </c>
      <c r="L363" s="76">
        <v>13</v>
      </c>
      <c r="M363" s="76" t="s">
        <v>235</v>
      </c>
      <c r="BQ363" t="s">
        <v>21</v>
      </c>
      <c r="BR363">
        <v>1674</v>
      </c>
      <c r="BS363">
        <v>1</v>
      </c>
      <c r="BT363" s="2">
        <v>32751</v>
      </c>
      <c r="BU363" s="33">
        <f t="shared" si="16"/>
        <v>1989</v>
      </c>
      <c r="BX363">
        <v>8</v>
      </c>
      <c r="BY363" t="s">
        <v>211</v>
      </c>
      <c r="BZ363">
        <v>1.7000000000000001E-2</v>
      </c>
      <c r="CA363">
        <f t="shared" si="17"/>
        <v>17</v>
      </c>
      <c r="CB363">
        <v>1</v>
      </c>
      <c r="CC363" t="s">
        <v>232</v>
      </c>
      <c r="CD363">
        <v>10</v>
      </c>
      <c r="CE363" t="s">
        <v>235</v>
      </c>
    </row>
    <row r="364" spans="1:83" x14ac:dyDescent="0.2">
      <c r="A364" s="76" t="s">
        <v>21</v>
      </c>
      <c r="B364" s="76">
        <v>1674</v>
      </c>
      <c r="C364" s="76">
        <v>1</v>
      </c>
      <c r="D364" s="77">
        <v>32707</v>
      </c>
      <c r="G364" s="257">
        <v>8</v>
      </c>
      <c r="H364" s="76" t="s">
        <v>211</v>
      </c>
      <c r="I364" s="76">
        <v>1.2999999999999999E-2</v>
      </c>
      <c r="J364" s="76">
        <v>1</v>
      </c>
      <c r="K364" s="76" t="s">
        <v>232</v>
      </c>
      <c r="L364" s="76">
        <v>13</v>
      </c>
      <c r="M364" s="76" t="s">
        <v>235</v>
      </c>
      <c r="BQ364" t="s">
        <v>21</v>
      </c>
      <c r="BR364">
        <v>1674</v>
      </c>
      <c r="BS364">
        <v>1</v>
      </c>
      <c r="BT364" s="2">
        <v>32751</v>
      </c>
      <c r="BU364" s="33">
        <f t="shared" si="16"/>
        <v>1989</v>
      </c>
      <c r="BX364">
        <v>9</v>
      </c>
      <c r="BY364" t="s">
        <v>211</v>
      </c>
      <c r="BZ364">
        <v>1.7000000000000001E-2</v>
      </c>
      <c r="CA364">
        <f t="shared" si="17"/>
        <v>17</v>
      </c>
      <c r="CB364">
        <v>1</v>
      </c>
      <c r="CC364" t="s">
        <v>232</v>
      </c>
      <c r="CD364">
        <v>10</v>
      </c>
      <c r="CE364" t="s">
        <v>235</v>
      </c>
    </row>
    <row r="365" spans="1:83" x14ac:dyDescent="0.2">
      <c r="A365" s="76" t="s">
        <v>21</v>
      </c>
      <c r="B365" s="76">
        <v>1674</v>
      </c>
      <c r="C365" s="76">
        <v>1</v>
      </c>
      <c r="D365" s="77">
        <v>32707</v>
      </c>
      <c r="G365" s="257">
        <v>9</v>
      </c>
      <c r="H365" s="76" t="s">
        <v>211</v>
      </c>
      <c r="I365" s="76">
        <v>1.7000000000000001E-2</v>
      </c>
      <c r="J365" s="76">
        <v>1</v>
      </c>
      <c r="K365" s="76" t="s">
        <v>232</v>
      </c>
      <c r="L365" s="76">
        <v>13</v>
      </c>
      <c r="M365" s="76" t="s">
        <v>235</v>
      </c>
      <c r="BQ365" t="s">
        <v>21</v>
      </c>
      <c r="BR365">
        <v>1674</v>
      </c>
      <c r="BS365">
        <v>1</v>
      </c>
      <c r="BT365" s="2">
        <v>32751</v>
      </c>
      <c r="BU365" s="33">
        <f t="shared" si="16"/>
        <v>1989</v>
      </c>
      <c r="BX365">
        <v>10</v>
      </c>
      <c r="BY365" t="s">
        <v>211</v>
      </c>
      <c r="BZ365">
        <v>1.4999999999999999E-2</v>
      </c>
      <c r="CA365">
        <f t="shared" si="17"/>
        <v>15</v>
      </c>
      <c r="CB365">
        <v>1</v>
      </c>
      <c r="CC365" t="s">
        <v>232</v>
      </c>
      <c r="CD365">
        <v>10</v>
      </c>
      <c r="CE365" t="s">
        <v>235</v>
      </c>
    </row>
    <row r="366" spans="1:83" x14ac:dyDescent="0.2">
      <c r="A366" s="76" t="s">
        <v>21</v>
      </c>
      <c r="B366" s="76">
        <v>1674</v>
      </c>
      <c r="C366" s="76">
        <v>1</v>
      </c>
      <c r="D366" s="77">
        <v>32707</v>
      </c>
      <c r="G366" s="257">
        <v>10</v>
      </c>
      <c r="H366" s="76" t="s">
        <v>211</v>
      </c>
      <c r="I366" s="76">
        <v>1.2999999999999999E-2</v>
      </c>
      <c r="J366" s="76">
        <v>1</v>
      </c>
      <c r="K366" s="76" t="s">
        <v>232</v>
      </c>
      <c r="L366" s="76">
        <v>13</v>
      </c>
      <c r="M366" s="76" t="s">
        <v>235</v>
      </c>
      <c r="BQ366" t="s">
        <v>21</v>
      </c>
      <c r="BR366">
        <v>1674</v>
      </c>
      <c r="BS366">
        <v>1</v>
      </c>
      <c r="BT366" s="2">
        <v>32751</v>
      </c>
      <c r="BU366" s="33">
        <f t="shared" si="16"/>
        <v>1989</v>
      </c>
      <c r="BX366">
        <v>11</v>
      </c>
      <c r="BY366" t="s">
        <v>211</v>
      </c>
      <c r="BZ366">
        <v>1.4999999999999999E-2</v>
      </c>
      <c r="CA366">
        <f t="shared" si="17"/>
        <v>15</v>
      </c>
      <c r="CB366">
        <v>1</v>
      </c>
      <c r="CC366" t="s">
        <v>232</v>
      </c>
      <c r="CD366">
        <v>10</v>
      </c>
      <c r="CE366" t="s">
        <v>235</v>
      </c>
    </row>
    <row r="367" spans="1:83" x14ac:dyDescent="0.2">
      <c r="A367" s="76" t="s">
        <v>21</v>
      </c>
      <c r="B367" s="76">
        <v>1674</v>
      </c>
      <c r="C367" s="76">
        <v>1</v>
      </c>
      <c r="D367" s="77">
        <v>32707</v>
      </c>
      <c r="G367" s="257">
        <v>11</v>
      </c>
      <c r="H367" s="76" t="s">
        <v>211</v>
      </c>
      <c r="I367" s="76">
        <v>1.7999999999999999E-2</v>
      </c>
      <c r="J367" s="76">
        <v>1</v>
      </c>
      <c r="K367" s="76" t="s">
        <v>232</v>
      </c>
      <c r="L367" s="76">
        <v>13</v>
      </c>
      <c r="M367" s="76" t="s">
        <v>235</v>
      </c>
      <c r="BQ367" t="s">
        <v>21</v>
      </c>
      <c r="BR367">
        <v>1674</v>
      </c>
      <c r="BS367">
        <v>1</v>
      </c>
      <c r="BT367" s="2">
        <v>32768</v>
      </c>
      <c r="BU367" s="33">
        <f t="shared" si="16"/>
        <v>1989</v>
      </c>
      <c r="BX367">
        <v>1</v>
      </c>
      <c r="BY367" t="s">
        <v>211</v>
      </c>
      <c r="BZ367">
        <v>1.7000000000000001E-2</v>
      </c>
      <c r="CA367">
        <f t="shared" si="17"/>
        <v>17</v>
      </c>
      <c r="CB367">
        <v>1</v>
      </c>
      <c r="CC367" t="s">
        <v>232</v>
      </c>
      <c r="CD367">
        <v>11</v>
      </c>
      <c r="CE367" t="s">
        <v>235</v>
      </c>
    </row>
    <row r="368" spans="1:83" x14ac:dyDescent="0.2">
      <c r="A368" s="76" t="s">
        <v>21</v>
      </c>
      <c r="B368" s="76">
        <v>1674</v>
      </c>
      <c r="C368" s="76">
        <v>1</v>
      </c>
      <c r="D368" s="77">
        <v>32707</v>
      </c>
      <c r="G368" s="257">
        <v>12</v>
      </c>
      <c r="H368" s="76" t="s">
        <v>211</v>
      </c>
      <c r="I368" s="76">
        <v>2.1999999999999999E-2</v>
      </c>
      <c r="J368" s="76">
        <v>1</v>
      </c>
      <c r="K368" s="76" t="s">
        <v>232</v>
      </c>
      <c r="L368" s="76">
        <v>13</v>
      </c>
      <c r="M368" s="76" t="s">
        <v>235</v>
      </c>
      <c r="BQ368" t="s">
        <v>21</v>
      </c>
      <c r="BR368">
        <v>1674</v>
      </c>
      <c r="BS368">
        <v>1</v>
      </c>
      <c r="BT368" s="2">
        <v>32768</v>
      </c>
      <c r="BU368" s="33">
        <f t="shared" si="16"/>
        <v>1989</v>
      </c>
      <c r="BX368">
        <v>2</v>
      </c>
      <c r="BY368" t="s">
        <v>211</v>
      </c>
      <c r="BZ368">
        <v>1.6E-2</v>
      </c>
      <c r="CA368">
        <f t="shared" si="17"/>
        <v>16</v>
      </c>
      <c r="CB368">
        <v>1</v>
      </c>
      <c r="CC368" t="s">
        <v>232</v>
      </c>
      <c r="CD368">
        <v>11</v>
      </c>
      <c r="CE368" t="s">
        <v>235</v>
      </c>
    </row>
    <row r="369" spans="1:83" x14ac:dyDescent="0.2">
      <c r="A369" s="76" t="s">
        <v>21</v>
      </c>
      <c r="B369" s="76">
        <v>1674</v>
      </c>
      <c r="C369" s="76">
        <v>1</v>
      </c>
      <c r="D369" s="77">
        <v>32707</v>
      </c>
      <c r="G369" s="257">
        <v>13</v>
      </c>
      <c r="H369" s="76" t="s">
        <v>211</v>
      </c>
      <c r="I369" s="76">
        <v>0.02</v>
      </c>
      <c r="J369" s="76">
        <v>1</v>
      </c>
      <c r="K369" s="76" t="s">
        <v>232</v>
      </c>
      <c r="L369" s="76">
        <v>13</v>
      </c>
      <c r="M369" s="76" t="s">
        <v>235</v>
      </c>
      <c r="BQ369" t="s">
        <v>21</v>
      </c>
      <c r="BR369">
        <v>1674</v>
      </c>
      <c r="BS369">
        <v>1</v>
      </c>
      <c r="BT369" s="2">
        <v>32768</v>
      </c>
      <c r="BU369" s="33">
        <f t="shared" si="16"/>
        <v>1989</v>
      </c>
      <c r="BX369">
        <v>3</v>
      </c>
      <c r="BY369" t="s">
        <v>211</v>
      </c>
      <c r="BZ369">
        <v>1.4999999999999999E-2</v>
      </c>
      <c r="CA369">
        <f t="shared" si="17"/>
        <v>15</v>
      </c>
      <c r="CB369">
        <v>1</v>
      </c>
      <c r="CC369" t="s">
        <v>232</v>
      </c>
      <c r="CD369">
        <v>11</v>
      </c>
      <c r="CE369" t="s">
        <v>235</v>
      </c>
    </row>
    <row r="370" spans="1:83" x14ac:dyDescent="0.2">
      <c r="A370" s="76" t="s">
        <v>21</v>
      </c>
      <c r="B370" s="76">
        <v>1674</v>
      </c>
      <c r="C370" s="76">
        <v>1</v>
      </c>
      <c r="D370" s="77">
        <v>32720</v>
      </c>
      <c r="G370" s="257">
        <v>1</v>
      </c>
      <c r="H370" s="76" t="s">
        <v>211</v>
      </c>
      <c r="I370" s="76">
        <v>1.6E-2</v>
      </c>
      <c r="J370" s="76">
        <v>1</v>
      </c>
      <c r="K370" s="76" t="s">
        <v>232</v>
      </c>
      <c r="L370" s="76">
        <v>12</v>
      </c>
      <c r="M370" s="76" t="s">
        <v>235</v>
      </c>
      <c r="BQ370" t="s">
        <v>21</v>
      </c>
      <c r="BR370">
        <v>1674</v>
      </c>
      <c r="BS370">
        <v>1</v>
      </c>
      <c r="BT370" s="2">
        <v>32768</v>
      </c>
      <c r="BU370" s="33">
        <f t="shared" si="16"/>
        <v>1989</v>
      </c>
      <c r="BX370">
        <v>4</v>
      </c>
      <c r="BY370" t="s">
        <v>211</v>
      </c>
      <c r="BZ370">
        <v>1.9E-2</v>
      </c>
      <c r="CA370">
        <f t="shared" si="17"/>
        <v>19</v>
      </c>
      <c r="CB370">
        <v>1</v>
      </c>
      <c r="CC370" t="s">
        <v>232</v>
      </c>
      <c r="CD370">
        <v>11</v>
      </c>
      <c r="CE370" t="s">
        <v>235</v>
      </c>
    </row>
    <row r="371" spans="1:83" x14ac:dyDescent="0.2">
      <c r="A371" s="76" t="s">
        <v>21</v>
      </c>
      <c r="B371" s="76">
        <v>1674</v>
      </c>
      <c r="C371" s="76">
        <v>1</v>
      </c>
      <c r="D371" s="77">
        <v>32720</v>
      </c>
      <c r="G371" s="257">
        <v>2</v>
      </c>
      <c r="H371" s="76" t="s">
        <v>211</v>
      </c>
      <c r="I371" s="76">
        <v>1.7999999999999999E-2</v>
      </c>
      <c r="J371" s="76">
        <v>1</v>
      </c>
      <c r="K371" s="76" t="s">
        <v>232</v>
      </c>
      <c r="L371" s="76">
        <v>12</v>
      </c>
      <c r="M371" s="76" t="s">
        <v>235</v>
      </c>
      <c r="BQ371" t="s">
        <v>21</v>
      </c>
      <c r="BR371">
        <v>1674</v>
      </c>
      <c r="BS371">
        <v>1</v>
      </c>
      <c r="BT371" s="2">
        <v>32768</v>
      </c>
      <c r="BU371" s="33">
        <f t="shared" si="16"/>
        <v>1989</v>
      </c>
      <c r="BX371">
        <v>5</v>
      </c>
      <c r="BY371" t="s">
        <v>211</v>
      </c>
      <c r="BZ371">
        <v>1.2999999999999999E-2</v>
      </c>
      <c r="CA371">
        <f t="shared" si="17"/>
        <v>13</v>
      </c>
      <c r="CB371">
        <v>1</v>
      </c>
      <c r="CC371" t="s">
        <v>232</v>
      </c>
      <c r="CD371">
        <v>11</v>
      </c>
      <c r="CE371" t="s">
        <v>235</v>
      </c>
    </row>
    <row r="372" spans="1:83" x14ac:dyDescent="0.2">
      <c r="A372" s="76" t="s">
        <v>21</v>
      </c>
      <c r="B372" s="76">
        <v>1674</v>
      </c>
      <c r="C372" s="76">
        <v>1</v>
      </c>
      <c r="D372" s="77">
        <v>32720</v>
      </c>
      <c r="G372" s="257">
        <v>3</v>
      </c>
      <c r="H372" s="76" t="s">
        <v>211</v>
      </c>
      <c r="I372" s="76">
        <v>1.4999999999999999E-2</v>
      </c>
      <c r="J372" s="76">
        <v>1</v>
      </c>
      <c r="K372" s="76" t="s">
        <v>232</v>
      </c>
      <c r="L372" s="76">
        <v>12</v>
      </c>
      <c r="M372" s="76" t="s">
        <v>235</v>
      </c>
      <c r="BQ372" t="s">
        <v>21</v>
      </c>
      <c r="BR372">
        <v>1674</v>
      </c>
      <c r="BS372">
        <v>1</v>
      </c>
      <c r="BT372" s="2">
        <v>32768</v>
      </c>
      <c r="BU372" s="33">
        <f t="shared" si="16"/>
        <v>1989</v>
      </c>
      <c r="BX372">
        <v>6</v>
      </c>
      <c r="BY372" t="s">
        <v>211</v>
      </c>
      <c r="BZ372">
        <v>1.4E-2</v>
      </c>
      <c r="CA372">
        <f t="shared" si="17"/>
        <v>14</v>
      </c>
      <c r="CB372">
        <v>1</v>
      </c>
      <c r="CC372" t="s">
        <v>232</v>
      </c>
      <c r="CD372">
        <v>11</v>
      </c>
      <c r="CE372" t="s">
        <v>235</v>
      </c>
    </row>
    <row r="373" spans="1:83" x14ac:dyDescent="0.2">
      <c r="A373" s="76" t="s">
        <v>21</v>
      </c>
      <c r="B373" s="76">
        <v>1674</v>
      </c>
      <c r="C373" s="76">
        <v>1</v>
      </c>
      <c r="D373" s="77">
        <v>32720</v>
      </c>
      <c r="G373" s="257">
        <v>4</v>
      </c>
      <c r="H373" s="76" t="s">
        <v>211</v>
      </c>
      <c r="I373" s="76">
        <v>1.6E-2</v>
      </c>
      <c r="J373" s="76">
        <v>1</v>
      </c>
      <c r="K373" s="76" t="s">
        <v>232</v>
      </c>
      <c r="L373" s="76">
        <v>12</v>
      </c>
      <c r="M373" s="76" t="s">
        <v>235</v>
      </c>
      <c r="BQ373" t="s">
        <v>21</v>
      </c>
      <c r="BR373">
        <v>1674</v>
      </c>
      <c r="BS373">
        <v>1</v>
      </c>
      <c r="BT373" s="2">
        <v>32768</v>
      </c>
      <c r="BU373" s="33">
        <f t="shared" si="16"/>
        <v>1989</v>
      </c>
      <c r="BX373">
        <v>7</v>
      </c>
      <c r="BY373" t="s">
        <v>211</v>
      </c>
      <c r="BZ373">
        <v>1.4999999999999999E-2</v>
      </c>
      <c r="CA373">
        <f t="shared" si="17"/>
        <v>15</v>
      </c>
      <c r="CB373">
        <v>1</v>
      </c>
      <c r="CC373" t="s">
        <v>232</v>
      </c>
      <c r="CD373">
        <v>11</v>
      </c>
      <c r="CE373" t="s">
        <v>235</v>
      </c>
    </row>
    <row r="374" spans="1:83" x14ac:dyDescent="0.2">
      <c r="A374" s="76" t="s">
        <v>21</v>
      </c>
      <c r="B374" s="76">
        <v>1674</v>
      </c>
      <c r="C374" s="76">
        <v>1</v>
      </c>
      <c r="D374" s="77">
        <v>32720</v>
      </c>
      <c r="G374" s="257">
        <v>5</v>
      </c>
      <c r="H374" s="76" t="s">
        <v>211</v>
      </c>
      <c r="I374" s="76">
        <v>1.4999999999999999E-2</v>
      </c>
      <c r="J374" s="76">
        <v>1</v>
      </c>
      <c r="K374" s="76" t="s">
        <v>232</v>
      </c>
      <c r="L374" s="76">
        <v>12</v>
      </c>
      <c r="M374" s="76" t="s">
        <v>235</v>
      </c>
      <c r="BQ374" t="s">
        <v>21</v>
      </c>
      <c r="BR374">
        <v>1674</v>
      </c>
      <c r="BS374">
        <v>1</v>
      </c>
      <c r="BT374" s="2">
        <v>32768</v>
      </c>
      <c r="BU374" s="33">
        <f t="shared" si="16"/>
        <v>1989</v>
      </c>
      <c r="BX374">
        <v>8</v>
      </c>
      <c r="BY374" t="s">
        <v>211</v>
      </c>
      <c r="BZ374">
        <v>0.02</v>
      </c>
      <c r="CA374">
        <f t="shared" si="17"/>
        <v>20</v>
      </c>
      <c r="CB374">
        <v>1</v>
      </c>
      <c r="CC374" t="s">
        <v>232</v>
      </c>
      <c r="CD374">
        <v>11</v>
      </c>
      <c r="CE374" t="s">
        <v>235</v>
      </c>
    </row>
    <row r="375" spans="1:83" x14ac:dyDescent="0.2">
      <c r="A375" s="76" t="s">
        <v>21</v>
      </c>
      <c r="B375" s="76">
        <v>1674</v>
      </c>
      <c r="C375" s="76">
        <v>1</v>
      </c>
      <c r="D375" s="77">
        <v>32720</v>
      </c>
      <c r="G375" s="257">
        <v>6</v>
      </c>
      <c r="H375" s="76" t="s">
        <v>211</v>
      </c>
      <c r="I375" s="76">
        <v>1.2E-2</v>
      </c>
      <c r="J375" s="76">
        <v>1</v>
      </c>
      <c r="K375" s="76" t="s">
        <v>232</v>
      </c>
      <c r="L375" s="76">
        <v>12</v>
      </c>
      <c r="M375" s="76" t="s">
        <v>235</v>
      </c>
      <c r="BQ375" t="s">
        <v>21</v>
      </c>
      <c r="BR375">
        <v>1674</v>
      </c>
      <c r="BS375">
        <v>1</v>
      </c>
      <c r="BT375" s="2">
        <v>32768</v>
      </c>
      <c r="BU375" s="33">
        <f t="shared" si="16"/>
        <v>1989</v>
      </c>
      <c r="BX375">
        <v>9</v>
      </c>
      <c r="BY375" t="s">
        <v>211</v>
      </c>
      <c r="BZ375">
        <v>1.7999999999999999E-2</v>
      </c>
      <c r="CA375">
        <f t="shared" si="17"/>
        <v>18</v>
      </c>
      <c r="CB375">
        <v>1</v>
      </c>
      <c r="CC375" t="s">
        <v>232</v>
      </c>
      <c r="CD375">
        <v>11</v>
      </c>
      <c r="CE375" t="s">
        <v>235</v>
      </c>
    </row>
    <row r="376" spans="1:83" x14ac:dyDescent="0.2">
      <c r="A376" s="76" t="s">
        <v>21</v>
      </c>
      <c r="B376" s="76">
        <v>1674</v>
      </c>
      <c r="C376" s="76">
        <v>1</v>
      </c>
      <c r="D376" s="77">
        <v>32720</v>
      </c>
      <c r="G376" s="257">
        <v>7</v>
      </c>
      <c r="H376" s="76" t="s">
        <v>211</v>
      </c>
      <c r="I376" s="76">
        <v>1.2E-2</v>
      </c>
      <c r="J376" s="76">
        <v>1</v>
      </c>
      <c r="K376" s="76" t="s">
        <v>232</v>
      </c>
      <c r="L376" s="76">
        <v>12</v>
      </c>
      <c r="M376" s="76" t="s">
        <v>235</v>
      </c>
      <c r="BQ376" t="s">
        <v>21</v>
      </c>
      <c r="BR376">
        <v>1674</v>
      </c>
      <c r="BS376">
        <v>1</v>
      </c>
      <c r="BT376" s="2">
        <v>32768</v>
      </c>
      <c r="BU376" s="33">
        <f t="shared" si="16"/>
        <v>1989</v>
      </c>
      <c r="BX376">
        <v>10</v>
      </c>
      <c r="BY376" t="s">
        <v>211</v>
      </c>
      <c r="BZ376">
        <v>0.02</v>
      </c>
      <c r="CA376">
        <f t="shared" si="17"/>
        <v>20</v>
      </c>
      <c r="CB376">
        <v>1</v>
      </c>
      <c r="CC376" t="s">
        <v>232</v>
      </c>
      <c r="CD376">
        <v>11</v>
      </c>
      <c r="CE376" t="s">
        <v>235</v>
      </c>
    </row>
    <row r="377" spans="1:83" x14ac:dyDescent="0.2">
      <c r="A377" s="76" t="s">
        <v>21</v>
      </c>
      <c r="B377" s="76">
        <v>1674</v>
      </c>
      <c r="C377" s="76">
        <v>1</v>
      </c>
      <c r="D377" s="77">
        <v>32720</v>
      </c>
      <c r="G377" s="257">
        <v>8</v>
      </c>
      <c r="H377" s="76" t="s">
        <v>211</v>
      </c>
      <c r="I377" s="76">
        <v>1.4E-2</v>
      </c>
      <c r="J377" s="76">
        <v>1</v>
      </c>
      <c r="K377" s="76" t="s">
        <v>232</v>
      </c>
      <c r="L377" s="76">
        <v>12</v>
      </c>
      <c r="M377" s="76" t="s">
        <v>235</v>
      </c>
      <c r="BQ377" t="s">
        <v>21</v>
      </c>
      <c r="BR377">
        <v>1674</v>
      </c>
      <c r="BS377">
        <v>1</v>
      </c>
      <c r="BT377" s="2">
        <v>32768</v>
      </c>
      <c r="BU377" s="33">
        <f t="shared" si="16"/>
        <v>1989</v>
      </c>
      <c r="BX377">
        <v>11</v>
      </c>
      <c r="BY377" t="s">
        <v>211</v>
      </c>
      <c r="BZ377">
        <v>2.3E-2</v>
      </c>
      <c r="CA377">
        <f t="shared" si="17"/>
        <v>23</v>
      </c>
      <c r="CB377">
        <v>1</v>
      </c>
      <c r="CC377" t="s">
        <v>232</v>
      </c>
      <c r="CD377">
        <v>11</v>
      </c>
      <c r="CE377" t="s">
        <v>235</v>
      </c>
    </row>
    <row r="378" spans="1:83" x14ac:dyDescent="0.2">
      <c r="A378" s="76" t="s">
        <v>21</v>
      </c>
      <c r="B378" s="76">
        <v>1674</v>
      </c>
      <c r="C378" s="76">
        <v>1</v>
      </c>
      <c r="D378" s="77">
        <v>32720</v>
      </c>
      <c r="G378" s="257">
        <v>9</v>
      </c>
      <c r="H378" s="76" t="s">
        <v>211</v>
      </c>
      <c r="I378" s="76">
        <v>1.2999999999999999E-2</v>
      </c>
      <c r="J378" s="76">
        <v>1</v>
      </c>
      <c r="K378" s="76" t="s">
        <v>232</v>
      </c>
      <c r="L378" s="76">
        <v>12</v>
      </c>
      <c r="M378" s="76" t="s">
        <v>235</v>
      </c>
      <c r="BQ378" t="s">
        <v>21</v>
      </c>
      <c r="BR378">
        <v>1674</v>
      </c>
      <c r="BS378">
        <v>1</v>
      </c>
      <c r="BT378" s="2">
        <v>33021</v>
      </c>
      <c r="BU378" s="33">
        <f t="shared" si="16"/>
        <v>1990</v>
      </c>
      <c r="BX378">
        <v>1</v>
      </c>
      <c r="BY378" t="s">
        <v>211</v>
      </c>
      <c r="BZ378">
        <v>1.2E-2</v>
      </c>
      <c r="CA378">
        <f t="shared" si="17"/>
        <v>12</v>
      </c>
      <c r="CB378">
        <v>1</v>
      </c>
      <c r="CC378" t="s">
        <v>232</v>
      </c>
      <c r="CD378">
        <v>7</v>
      </c>
      <c r="CE378" t="s">
        <v>235</v>
      </c>
    </row>
    <row r="379" spans="1:83" x14ac:dyDescent="0.2">
      <c r="A379" s="76" t="s">
        <v>21</v>
      </c>
      <c r="B379" s="76">
        <v>1674</v>
      </c>
      <c r="C379" s="76">
        <v>1</v>
      </c>
      <c r="D379" s="77">
        <v>32720</v>
      </c>
      <c r="G379" s="257">
        <v>10</v>
      </c>
      <c r="H379" s="76" t="s">
        <v>211</v>
      </c>
      <c r="I379" s="76">
        <v>1.4999999999999999E-2</v>
      </c>
      <c r="J379" s="76">
        <v>1</v>
      </c>
      <c r="K379" s="76" t="s">
        <v>232</v>
      </c>
      <c r="L379" s="76">
        <v>12</v>
      </c>
      <c r="M379" s="76" t="s">
        <v>235</v>
      </c>
      <c r="BQ379" t="s">
        <v>21</v>
      </c>
      <c r="BR379">
        <v>1674</v>
      </c>
      <c r="BS379">
        <v>1</v>
      </c>
      <c r="BT379" s="2">
        <v>33021</v>
      </c>
      <c r="BU379" s="33">
        <f t="shared" si="16"/>
        <v>1990</v>
      </c>
      <c r="BX379">
        <v>3</v>
      </c>
      <c r="BY379" t="s">
        <v>211</v>
      </c>
      <c r="BZ379">
        <v>1.0999999999999999E-2</v>
      </c>
      <c r="CA379">
        <f t="shared" si="17"/>
        <v>11</v>
      </c>
      <c r="CB379">
        <v>1</v>
      </c>
      <c r="CC379" t="s">
        <v>232</v>
      </c>
      <c r="CD379">
        <v>7</v>
      </c>
      <c r="CE379" t="s">
        <v>235</v>
      </c>
    </row>
    <row r="380" spans="1:83" x14ac:dyDescent="0.2">
      <c r="A380" s="76" t="s">
        <v>21</v>
      </c>
      <c r="B380" s="76">
        <v>1674</v>
      </c>
      <c r="C380" s="76">
        <v>1</v>
      </c>
      <c r="D380" s="77">
        <v>32720</v>
      </c>
      <c r="G380" s="257">
        <v>11</v>
      </c>
      <c r="H380" s="76" t="s">
        <v>211</v>
      </c>
      <c r="I380" s="76">
        <v>2.7E-2</v>
      </c>
      <c r="J380" s="76">
        <v>1</v>
      </c>
      <c r="K380" s="76" t="s">
        <v>232</v>
      </c>
      <c r="L380" s="76">
        <v>12</v>
      </c>
      <c r="M380" s="76" t="s">
        <v>235</v>
      </c>
      <c r="BQ380" t="s">
        <v>21</v>
      </c>
      <c r="BR380">
        <v>1674</v>
      </c>
      <c r="BS380">
        <v>1</v>
      </c>
      <c r="BT380" s="2">
        <v>33021</v>
      </c>
      <c r="BU380" s="33">
        <f t="shared" si="16"/>
        <v>1990</v>
      </c>
      <c r="BX380">
        <v>5</v>
      </c>
      <c r="BY380" t="s">
        <v>211</v>
      </c>
      <c r="BZ380">
        <v>1.0999999999999999E-2</v>
      </c>
      <c r="CA380">
        <f t="shared" si="17"/>
        <v>11</v>
      </c>
      <c r="CB380">
        <v>1</v>
      </c>
      <c r="CC380" t="s">
        <v>232</v>
      </c>
      <c r="CD380">
        <v>7</v>
      </c>
      <c r="CE380" t="s">
        <v>235</v>
      </c>
    </row>
    <row r="381" spans="1:83" x14ac:dyDescent="0.2">
      <c r="A381" s="76" t="s">
        <v>21</v>
      </c>
      <c r="B381" s="76">
        <v>1674</v>
      </c>
      <c r="C381" s="76">
        <v>1</v>
      </c>
      <c r="D381" s="77">
        <v>32720</v>
      </c>
      <c r="G381" s="257">
        <v>12</v>
      </c>
      <c r="H381" s="76" t="s">
        <v>211</v>
      </c>
      <c r="I381" s="76">
        <v>1.7999999999999999E-2</v>
      </c>
      <c r="J381" s="76">
        <v>1</v>
      </c>
      <c r="K381" s="76" t="s">
        <v>232</v>
      </c>
      <c r="L381" s="76">
        <v>12</v>
      </c>
      <c r="M381" s="76" t="s">
        <v>235</v>
      </c>
      <c r="BQ381" t="s">
        <v>21</v>
      </c>
      <c r="BR381">
        <v>1674</v>
      </c>
      <c r="BS381">
        <v>1</v>
      </c>
      <c r="BT381" s="2">
        <v>33021</v>
      </c>
      <c r="BU381" s="33">
        <f t="shared" si="16"/>
        <v>1990</v>
      </c>
      <c r="BX381">
        <v>7</v>
      </c>
      <c r="BY381" t="s">
        <v>211</v>
      </c>
      <c r="BZ381">
        <v>1.0999999999999999E-2</v>
      </c>
      <c r="CA381">
        <f t="shared" si="17"/>
        <v>11</v>
      </c>
      <c r="CB381">
        <v>1</v>
      </c>
      <c r="CC381" t="s">
        <v>232</v>
      </c>
      <c r="CD381">
        <v>7</v>
      </c>
      <c r="CE381" t="s">
        <v>235</v>
      </c>
    </row>
    <row r="382" spans="1:83" x14ac:dyDescent="0.2">
      <c r="A382" s="76" t="s">
        <v>21</v>
      </c>
      <c r="B382" s="76">
        <v>1674</v>
      </c>
      <c r="C382" s="76">
        <v>1</v>
      </c>
      <c r="D382" s="77">
        <v>32734</v>
      </c>
      <c r="G382" s="257">
        <v>1</v>
      </c>
      <c r="H382" s="76" t="s">
        <v>211</v>
      </c>
      <c r="I382" s="76">
        <v>1.2999999999999999E-2</v>
      </c>
      <c r="J382" s="76">
        <v>1</v>
      </c>
      <c r="K382" s="76" t="s">
        <v>232</v>
      </c>
      <c r="L382" s="76">
        <v>12</v>
      </c>
      <c r="M382" s="76" t="s">
        <v>235</v>
      </c>
      <c r="BQ382" t="s">
        <v>21</v>
      </c>
      <c r="BR382">
        <v>1674</v>
      </c>
      <c r="BS382">
        <v>1</v>
      </c>
      <c r="BT382" s="2">
        <v>33021</v>
      </c>
      <c r="BU382" s="33">
        <f t="shared" si="16"/>
        <v>1990</v>
      </c>
      <c r="BX382">
        <v>9</v>
      </c>
      <c r="BY382" t="s">
        <v>211</v>
      </c>
      <c r="BZ382">
        <v>1.4E-2</v>
      </c>
      <c r="CA382">
        <f t="shared" si="17"/>
        <v>14</v>
      </c>
      <c r="CB382">
        <v>1</v>
      </c>
      <c r="CC382" t="s">
        <v>232</v>
      </c>
      <c r="CD382">
        <v>7</v>
      </c>
      <c r="CE382" t="s">
        <v>235</v>
      </c>
    </row>
    <row r="383" spans="1:83" x14ac:dyDescent="0.2">
      <c r="A383" s="76" t="s">
        <v>21</v>
      </c>
      <c r="B383" s="76">
        <v>1674</v>
      </c>
      <c r="C383" s="76">
        <v>1</v>
      </c>
      <c r="D383" s="77">
        <v>32734</v>
      </c>
      <c r="G383" s="257">
        <v>2</v>
      </c>
      <c r="H383" s="76" t="s">
        <v>211</v>
      </c>
      <c r="I383" s="76">
        <v>1.0999999999999999E-2</v>
      </c>
      <c r="J383" s="76">
        <v>1</v>
      </c>
      <c r="K383" s="76" t="s">
        <v>232</v>
      </c>
      <c r="L383" s="76">
        <v>12</v>
      </c>
      <c r="M383" s="76" t="s">
        <v>235</v>
      </c>
      <c r="BQ383" t="s">
        <v>21</v>
      </c>
      <c r="BR383">
        <v>1674</v>
      </c>
      <c r="BS383">
        <v>1</v>
      </c>
      <c r="BT383" s="2">
        <v>33021</v>
      </c>
      <c r="BU383" s="33">
        <f t="shared" si="16"/>
        <v>1990</v>
      </c>
      <c r="BX383">
        <v>11</v>
      </c>
      <c r="BY383" t="s">
        <v>211</v>
      </c>
      <c r="BZ383">
        <v>1.4E-2</v>
      </c>
      <c r="CA383">
        <f t="shared" si="17"/>
        <v>14</v>
      </c>
      <c r="CB383">
        <v>1</v>
      </c>
      <c r="CC383" t="s">
        <v>232</v>
      </c>
      <c r="CD383">
        <v>7</v>
      </c>
      <c r="CE383" t="s">
        <v>235</v>
      </c>
    </row>
    <row r="384" spans="1:83" x14ac:dyDescent="0.2">
      <c r="A384" s="76" t="s">
        <v>21</v>
      </c>
      <c r="B384" s="76">
        <v>1674</v>
      </c>
      <c r="C384" s="76">
        <v>1</v>
      </c>
      <c r="D384" s="77">
        <v>32734</v>
      </c>
      <c r="G384" s="257">
        <v>3</v>
      </c>
      <c r="H384" s="76" t="s">
        <v>211</v>
      </c>
      <c r="I384" s="76">
        <v>1.2999999999999999E-2</v>
      </c>
      <c r="J384" s="76">
        <v>1</v>
      </c>
      <c r="K384" s="76" t="s">
        <v>232</v>
      </c>
      <c r="L384" s="76">
        <v>12</v>
      </c>
      <c r="M384" s="76" t="s">
        <v>235</v>
      </c>
      <c r="BQ384" t="s">
        <v>21</v>
      </c>
      <c r="BR384">
        <v>1674</v>
      </c>
      <c r="BS384">
        <v>1</v>
      </c>
      <c r="BT384" s="2">
        <v>33021</v>
      </c>
      <c r="BU384" s="33">
        <f t="shared" si="16"/>
        <v>1990</v>
      </c>
      <c r="BX384">
        <v>13</v>
      </c>
      <c r="BY384" t="s">
        <v>211</v>
      </c>
      <c r="BZ384">
        <v>1.6E-2</v>
      </c>
      <c r="CA384">
        <f t="shared" si="17"/>
        <v>16</v>
      </c>
      <c r="CB384">
        <v>1</v>
      </c>
      <c r="CC384" t="s">
        <v>232</v>
      </c>
      <c r="CD384">
        <v>7</v>
      </c>
      <c r="CE384" t="s">
        <v>235</v>
      </c>
    </row>
    <row r="385" spans="1:83" x14ac:dyDescent="0.2">
      <c r="A385" s="76" t="s">
        <v>21</v>
      </c>
      <c r="B385" s="76">
        <v>1674</v>
      </c>
      <c r="C385" s="76">
        <v>1</v>
      </c>
      <c r="D385" s="77">
        <v>32734</v>
      </c>
      <c r="G385" s="257">
        <v>4</v>
      </c>
      <c r="H385" s="76" t="s">
        <v>211</v>
      </c>
      <c r="I385" s="76">
        <v>1.4E-2</v>
      </c>
      <c r="J385" s="76">
        <v>1</v>
      </c>
      <c r="K385" s="76" t="s">
        <v>232</v>
      </c>
      <c r="L385" s="76">
        <v>12</v>
      </c>
      <c r="M385" s="76" t="s">
        <v>235</v>
      </c>
      <c r="BQ385" t="s">
        <v>21</v>
      </c>
      <c r="BR385">
        <v>1674</v>
      </c>
      <c r="BS385">
        <v>1</v>
      </c>
      <c r="BT385" s="2">
        <v>33051</v>
      </c>
      <c r="BU385" s="33">
        <f t="shared" si="16"/>
        <v>1990</v>
      </c>
      <c r="BX385">
        <v>1</v>
      </c>
      <c r="BY385" t="s">
        <v>211</v>
      </c>
      <c r="BZ385">
        <v>2.1999999999999999E-2</v>
      </c>
      <c r="CA385">
        <f t="shared" si="17"/>
        <v>22</v>
      </c>
      <c r="CB385">
        <v>1</v>
      </c>
      <c r="CC385" t="s">
        <v>232</v>
      </c>
      <c r="CD385">
        <v>7</v>
      </c>
      <c r="CE385" t="s">
        <v>235</v>
      </c>
    </row>
    <row r="386" spans="1:83" x14ac:dyDescent="0.2">
      <c r="A386" s="76" t="s">
        <v>21</v>
      </c>
      <c r="B386" s="76">
        <v>1674</v>
      </c>
      <c r="C386" s="76">
        <v>1</v>
      </c>
      <c r="D386" s="77">
        <v>32734</v>
      </c>
      <c r="G386" s="257">
        <v>5</v>
      </c>
      <c r="H386" s="76" t="s">
        <v>211</v>
      </c>
      <c r="I386" s="76">
        <v>1.2999999999999999E-2</v>
      </c>
      <c r="J386" s="76">
        <v>1</v>
      </c>
      <c r="K386" s="76" t="s">
        <v>232</v>
      </c>
      <c r="L386" s="76">
        <v>12</v>
      </c>
      <c r="M386" s="76" t="s">
        <v>235</v>
      </c>
      <c r="BQ386" t="s">
        <v>21</v>
      </c>
      <c r="BR386">
        <v>1674</v>
      </c>
      <c r="BS386">
        <v>1</v>
      </c>
      <c r="BT386" s="2">
        <v>33051</v>
      </c>
      <c r="BU386" s="33">
        <f t="shared" si="16"/>
        <v>1990</v>
      </c>
      <c r="BX386">
        <v>3</v>
      </c>
      <c r="BY386" t="s">
        <v>211</v>
      </c>
      <c r="BZ386">
        <v>1.4E-2</v>
      </c>
      <c r="CA386">
        <f t="shared" si="17"/>
        <v>14</v>
      </c>
      <c r="CB386">
        <v>1</v>
      </c>
      <c r="CC386" t="s">
        <v>232</v>
      </c>
      <c r="CD386">
        <v>7</v>
      </c>
      <c r="CE386" t="s">
        <v>235</v>
      </c>
    </row>
    <row r="387" spans="1:83" x14ac:dyDescent="0.2">
      <c r="A387" s="76" t="s">
        <v>21</v>
      </c>
      <c r="B387" s="76">
        <v>1674</v>
      </c>
      <c r="C387" s="76">
        <v>1</v>
      </c>
      <c r="D387" s="77">
        <v>32734</v>
      </c>
      <c r="G387" s="257">
        <v>6</v>
      </c>
      <c r="H387" s="76" t="s">
        <v>211</v>
      </c>
      <c r="I387" s="76">
        <v>1.2E-2</v>
      </c>
      <c r="J387" s="76">
        <v>1</v>
      </c>
      <c r="K387" s="76" t="s">
        <v>232</v>
      </c>
      <c r="L387" s="76">
        <v>12</v>
      </c>
      <c r="M387" s="76" t="s">
        <v>235</v>
      </c>
      <c r="BQ387" t="s">
        <v>21</v>
      </c>
      <c r="BR387">
        <v>1674</v>
      </c>
      <c r="BS387">
        <v>1</v>
      </c>
      <c r="BT387" s="2">
        <v>33051</v>
      </c>
      <c r="BU387" s="33">
        <f t="shared" si="16"/>
        <v>1990</v>
      </c>
      <c r="BX387">
        <v>5</v>
      </c>
      <c r="BY387" t="s">
        <v>211</v>
      </c>
      <c r="BZ387">
        <v>1.4999999999999999E-2</v>
      </c>
      <c r="CA387">
        <f t="shared" si="17"/>
        <v>15</v>
      </c>
      <c r="CB387">
        <v>1</v>
      </c>
      <c r="CC387" t="s">
        <v>232</v>
      </c>
      <c r="CD387">
        <v>7</v>
      </c>
      <c r="CE387" t="s">
        <v>235</v>
      </c>
    </row>
    <row r="388" spans="1:83" x14ac:dyDescent="0.2">
      <c r="A388" s="76" t="s">
        <v>21</v>
      </c>
      <c r="B388" s="76">
        <v>1674</v>
      </c>
      <c r="C388" s="76">
        <v>1</v>
      </c>
      <c r="D388" s="77">
        <v>32734</v>
      </c>
      <c r="G388" s="257">
        <v>7</v>
      </c>
      <c r="H388" s="76" t="s">
        <v>211</v>
      </c>
      <c r="I388" s="76">
        <v>1.4E-2</v>
      </c>
      <c r="J388" s="76">
        <v>1</v>
      </c>
      <c r="K388" s="76" t="s">
        <v>232</v>
      </c>
      <c r="L388" s="76">
        <v>12</v>
      </c>
      <c r="M388" s="76" t="s">
        <v>235</v>
      </c>
      <c r="BQ388" t="s">
        <v>21</v>
      </c>
      <c r="BR388">
        <v>1674</v>
      </c>
      <c r="BS388">
        <v>1</v>
      </c>
      <c r="BT388" s="2">
        <v>33051</v>
      </c>
      <c r="BU388" s="33">
        <f t="shared" ref="BU388:BU451" si="18">YEAR(BT388)</f>
        <v>1990</v>
      </c>
      <c r="BX388">
        <v>7</v>
      </c>
      <c r="BY388" t="s">
        <v>211</v>
      </c>
      <c r="BZ388">
        <v>1.2999999999999999E-2</v>
      </c>
      <c r="CA388">
        <f t="shared" ref="CA388:CA451" si="19">BZ388*1000</f>
        <v>13</v>
      </c>
      <c r="CB388">
        <v>1</v>
      </c>
      <c r="CC388" t="s">
        <v>232</v>
      </c>
      <c r="CD388">
        <v>7</v>
      </c>
      <c r="CE388" t="s">
        <v>235</v>
      </c>
    </row>
    <row r="389" spans="1:83" x14ac:dyDescent="0.2">
      <c r="A389" s="76" t="s">
        <v>21</v>
      </c>
      <c r="B389" s="76">
        <v>1674</v>
      </c>
      <c r="C389" s="76">
        <v>1</v>
      </c>
      <c r="D389" s="77">
        <v>32734</v>
      </c>
      <c r="G389" s="257">
        <v>8</v>
      </c>
      <c r="H389" s="76" t="s">
        <v>211</v>
      </c>
      <c r="I389" s="76">
        <v>1.2999999999999999E-2</v>
      </c>
      <c r="J389" s="76">
        <v>1</v>
      </c>
      <c r="K389" s="76" t="s">
        <v>232</v>
      </c>
      <c r="L389" s="76">
        <v>12</v>
      </c>
      <c r="M389" s="76" t="s">
        <v>235</v>
      </c>
      <c r="BQ389" t="s">
        <v>21</v>
      </c>
      <c r="BR389">
        <v>1674</v>
      </c>
      <c r="BS389">
        <v>1</v>
      </c>
      <c r="BT389" s="2">
        <v>33051</v>
      </c>
      <c r="BU389" s="33">
        <f t="shared" si="18"/>
        <v>1990</v>
      </c>
      <c r="BX389">
        <v>9</v>
      </c>
      <c r="BY389" t="s">
        <v>211</v>
      </c>
      <c r="BZ389">
        <v>2.4E-2</v>
      </c>
      <c r="CA389">
        <f t="shared" si="19"/>
        <v>24</v>
      </c>
      <c r="CB389">
        <v>1</v>
      </c>
      <c r="CC389" t="s">
        <v>232</v>
      </c>
      <c r="CD389">
        <v>7</v>
      </c>
      <c r="CE389" t="s">
        <v>235</v>
      </c>
    </row>
    <row r="390" spans="1:83" x14ac:dyDescent="0.2">
      <c r="A390" s="76" t="s">
        <v>21</v>
      </c>
      <c r="B390" s="76">
        <v>1674</v>
      </c>
      <c r="C390" s="76">
        <v>1</v>
      </c>
      <c r="D390" s="77">
        <v>32734</v>
      </c>
      <c r="G390" s="257">
        <v>9</v>
      </c>
      <c r="H390" s="76" t="s">
        <v>211</v>
      </c>
      <c r="I390" s="76">
        <v>1.4E-2</v>
      </c>
      <c r="J390" s="76">
        <v>1</v>
      </c>
      <c r="K390" s="76" t="s">
        <v>232</v>
      </c>
      <c r="L390" s="76">
        <v>12</v>
      </c>
      <c r="M390" s="76" t="s">
        <v>235</v>
      </c>
      <c r="BQ390" t="s">
        <v>21</v>
      </c>
      <c r="BR390">
        <v>1674</v>
      </c>
      <c r="BS390">
        <v>1</v>
      </c>
      <c r="BT390" s="2">
        <v>33051</v>
      </c>
      <c r="BU390" s="33">
        <f t="shared" si="18"/>
        <v>1990</v>
      </c>
      <c r="BX390">
        <v>11</v>
      </c>
      <c r="BY390" t="s">
        <v>211</v>
      </c>
      <c r="BZ390">
        <v>2.4E-2</v>
      </c>
      <c r="CA390">
        <f t="shared" si="19"/>
        <v>24</v>
      </c>
      <c r="CB390">
        <v>1</v>
      </c>
      <c r="CC390" t="s">
        <v>232</v>
      </c>
      <c r="CD390">
        <v>7</v>
      </c>
      <c r="CE390" t="s">
        <v>235</v>
      </c>
    </row>
    <row r="391" spans="1:83" x14ac:dyDescent="0.2">
      <c r="A391" s="76" t="s">
        <v>21</v>
      </c>
      <c r="B391" s="76">
        <v>1674</v>
      </c>
      <c r="C391" s="76">
        <v>1</v>
      </c>
      <c r="D391" s="77">
        <v>32734</v>
      </c>
      <c r="G391" s="257">
        <v>10</v>
      </c>
      <c r="H391" s="76" t="s">
        <v>211</v>
      </c>
      <c r="I391" s="76">
        <v>1.4E-2</v>
      </c>
      <c r="J391" s="76">
        <v>1</v>
      </c>
      <c r="K391" s="76" t="s">
        <v>232</v>
      </c>
      <c r="L391" s="76">
        <v>12</v>
      </c>
      <c r="M391" s="76" t="s">
        <v>235</v>
      </c>
      <c r="BQ391" t="s">
        <v>21</v>
      </c>
      <c r="BR391">
        <v>1674</v>
      </c>
      <c r="BS391">
        <v>1</v>
      </c>
      <c r="BT391" s="2">
        <v>33051</v>
      </c>
      <c r="BU391" s="33">
        <f t="shared" si="18"/>
        <v>1990</v>
      </c>
      <c r="BX391">
        <v>13</v>
      </c>
      <c r="BY391" t="s">
        <v>211</v>
      </c>
      <c r="BZ391">
        <v>2.5000000000000001E-2</v>
      </c>
      <c r="CA391">
        <f t="shared" si="19"/>
        <v>25</v>
      </c>
      <c r="CB391">
        <v>1</v>
      </c>
      <c r="CC391" t="s">
        <v>232</v>
      </c>
      <c r="CD391">
        <v>7</v>
      </c>
      <c r="CE391" t="s">
        <v>235</v>
      </c>
    </row>
    <row r="392" spans="1:83" x14ac:dyDescent="0.2">
      <c r="A392" s="76" t="s">
        <v>21</v>
      </c>
      <c r="B392" s="76">
        <v>1674</v>
      </c>
      <c r="C392" s="76">
        <v>1</v>
      </c>
      <c r="D392" s="77">
        <v>32734</v>
      </c>
      <c r="G392" s="257">
        <v>11</v>
      </c>
      <c r="H392" s="76" t="s">
        <v>211</v>
      </c>
      <c r="I392" s="76">
        <v>1.2999999999999999E-2</v>
      </c>
      <c r="J392" s="76">
        <v>1</v>
      </c>
      <c r="K392" s="76" t="s">
        <v>232</v>
      </c>
      <c r="L392" s="76">
        <v>12</v>
      </c>
      <c r="M392" s="76" t="s">
        <v>235</v>
      </c>
      <c r="BQ392" t="s">
        <v>21</v>
      </c>
      <c r="BR392">
        <v>1674</v>
      </c>
      <c r="BS392">
        <v>1</v>
      </c>
      <c r="BT392" s="2">
        <v>33078</v>
      </c>
      <c r="BU392" s="33">
        <f t="shared" si="18"/>
        <v>1990</v>
      </c>
      <c r="BX392">
        <v>1</v>
      </c>
      <c r="BY392" t="s">
        <v>211</v>
      </c>
      <c r="BZ392">
        <v>2.5999999999999999E-2</v>
      </c>
      <c r="CA392">
        <f t="shared" si="19"/>
        <v>26</v>
      </c>
      <c r="CB392">
        <v>1</v>
      </c>
      <c r="CC392" t="s">
        <v>232</v>
      </c>
      <c r="CD392">
        <v>7</v>
      </c>
      <c r="CE392" t="s">
        <v>235</v>
      </c>
    </row>
    <row r="393" spans="1:83" x14ac:dyDescent="0.2">
      <c r="A393" s="76" t="s">
        <v>21</v>
      </c>
      <c r="B393" s="76">
        <v>1674</v>
      </c>
      <c r="C393" s="76">
        <v>1</v>
      </c>
      <c r="D393" s="77">
        <v>32734</v>
      </c>
      <c r="G393" s="257">
        <v>12</v>
      </c>
      <c r="H393" s="76" t="s">
        <v>211</v>
      </c>
      <c r="I393" s="76">
        <v>1.4999999999999999E-2</v>
      </c>
      <c r="J393" s="76">
        <v>1</v>
      </c>
      <c r="K393" s="76" t="s">
        <v>232</v>
      </c>
      <c r="L393" s="76">
        <v>12</v>
      </c>
      <c r="M393" s="76" t="s">
        <v>235</v>
      </c>
      <c r="BQ393" t="s">
        <v>21</v>
      </c>
      <c r="BR393">
        <v>1674</v>
      </c>
      <c r="BS393">
        <v>1</v>
      </c>
      <c r="BT393" s="2">
        <v>33078</v>
      </c>
      <c r="BU393" s="33">
        <f t="shared" si="18"/>
        <v>1990</v>
      </c>
      <c r="BX393">
        <v>3</v>
      </c>
      <c r="BY393" t="s">
        <v>211</v>
      </c>
      <c r="BZ393">
        <v>3.4000000000000002E-2</v>
      </c>
      <c r="CA393">
        <f t="shared" si="19"/>
        <v>34</v>
      </c>
      <c r="CB393">
        <v>1</v>
      </c>
      <c r="CC393" t="s">
        <v>232</v>
      </c>
      <c r="CD393">
        <v>7</v>
      </c>
      <c r="CE393" t="s">
        <v>235</v>
      </c>
    </row>
    <row r="394" spans="1:83" x14ac:dyDescent="0.2">
      <c r="A394" s="76" t="s">
        <v>21</v>
      </c>
      <c r="B394" s="76">
        <v>1674</v>
      </c>
      <c r="C394" s="76">
        <v>1</v>
      </c>
      <c r="D394" s="77">
        <v>32751</v>
      </c>
      <c r="G394" s="257">
        <v>1</v>
      </c>
      <c r="H394" s="76" t="s">
        <v>211</v>
      </c>
      <c r="I394" s="76">
        <v>1.7000000000000001E-2</v>
      </c>
      <c r="J394" s="76">
        <v>1</v>
      </c>
      <c r="K394" s="76" t="s">
        <v>232</v>
      </c>
      <c r="L394" s="76">
        <v>10</v>
      </c>
      <c r="M394" s="76" t="s">
        <v>235</v>
      </c>
      <c r="BQ394" t="s">
        <v>21</v>
      </c>
      <c r="BR394">
        <v>1674</v>
      </c>
      <c r="BS394">
        <v>1</v>
      </c>
      <c r="BT394" s="2">
        <v>33078</v>
      </c>
      <c r="BU394" s="33">
        <f t="shared" si="18"/>
        <v>1990</v>
      </c>
      <c r="BX394">
        <v>5</v>
      </c>
      <c r="BY394" t="s">
        <v>211</v>
      </c>
      <c r="BZ394">
        <v>2.5000000000000001E-2</v>
      </c>
      <c r="CA394">
        <f t="shared" si="19"/>
        <v>25</v>
      </c>
      <c r="CB394">
        <v>1</v>
      </c>
      <c r="CC394" t="s">
        <v>232</v>
      </c>
      <c r="CD394">
        <v>7</v>
      </c>
      <c r="CE394" t="s">
        <v>235</v>
      </c>
    </row>
    <row r="395" spans="1:83" x14ac:dyDescent="0.2">
      <c r="A395" s="76" t="s">
        <v>21</v>
      </c>
      <c r="B395" s="76">
        <v>1674</v>
      </c>
      <c r="C395" s="76">
        <v>1</v>
      </c>
      <c r="D395" s="77">
        <v>32751</v>
      </c>
      <c r="G395" s="257">
        <v>2</v>
      </c>
      <c r="H395" s="76" t="s">
        <v>211</v>
      </c>
      <c r="I395" s="76">
        <v>1.9E-2</v>
      </c>
      <c r="J395" s="76">
        <v>1</v>
      </c>
      <c r="K395" s="76" t="s">
        <v>232</v>
      </c>
      <c r="L395" s="76">
        <v>10</v>
      </c>
      <c r="M395" s="76" t="s">
        <v>235</v>
      </c>
      <c r="BQ395" t="s">
        <v>21</v>
      </c>
      <c r="BR395">
        <v>1674</v>
      </c>
      <c r="BS395">
        <v>1</v>
      </c>
      <c r="BT395" s="2">
        <v>33078</v>
      </c>
      <c r="BU395" s="33">
        <f t="shared" si="18"/>
        <v>1990</v>
      </c>
      <c r="BX395">
        <v>7</v>
      </c>
      <c r="BY395" t="s">
        <v>211</v>
      </c>
      <c r="BZ395">
        <v>2.5000000000000001E-2</v>
      </c>
      <c r="CA395">
        <f t="shared" si="19"/>
        <v>25</v>
      </c>
      <c r="CB395">
        <v>1</v>
      </c>
      <c r="CC395" t="s">
        <v>232</v>
      </c>
      <c r="CD395">
        <v>7</v>
      </c>
      <c r="CE395" t="s">
        <v>235</v>
      </c>
    </row>
    <row r="396" spans="1:83" x14ac:dyDescent="0.2">
      <c r="A396" s="76" t="s">
        <v>21</v>
      </c>
      <c r="B396" s="76">
        <v>1674</v>
      </c>
      <c r="C396" s="76">
        <v>1</v>
      </c>
      <c r="D396" s="77">
        <v>32751</v>
      </c>
      <c r="G396" s="257">
        <v>3</v>
      </c>
      <c r="H396" s="76" t="s">
        <v>211</v>
      </c>
      <c r="I396" s="76">
        <v>1.6E-2</v>
      </c>
      <c r="J396" s="76">
        <v>1</v>
      </c>
      <c r="K396" s="76" t="s">
        <v>232</v>
      </c>
      <c r="L396" s="76">
        <v>10</v>
      </c>
      <c r="M396" s="76" t="s">
        <v>235</v>
      </c>
      <c r="BQ396" t="s">
        <v>21</v>
      </c>
      <c r="BR396">
        <v>1674</v>
      </c>
      <c r="BS396">
        <v>1</v>
      </c>
      <c r="BT396" s="2">
        <v>33078</v>
      </c>
      <c r="BU396" s="33">
        <f t="shared" si="18"/>
        <v>1990</v>
      </c>
      <c r="BX396">
        <v>9</v>
      </c>
      <c r="BY396" t="s">
        <v>211</v>
      </c>
      <c r="BZ396">
        <v>3.1E-2</v>
      </c>
      <c r="CA396" s="212">
        <f t="shared" si="19"/>
        <v>31</v>
      </c>
      <c r="CB396">
        <v>1</v>
      </c>
      <c r="CC396" t="s">
        <v>232</v>
      </c>
      <c r="CD396">
        <v>7</v>
      </c>
      <c r="CE396" t="s">
        <v>235</v>
      </c>
    </row>
    <row r="397" spans="1:83" x14ac:dyDescent="0.2">
      <c r="A397" s="76" t="s">
        <v>21</v>
      </c>
      <c r="B397" s="76">
        <v>1674</v>
      </c>
      <c r="C397" s="76">
        <v>1</v>
      </c>
      <c r="D397" s="77">
        <v>32751</v>
      </c>
      <c r="G397" s="257">
        <v>4</v>
      </c>
      <c r="H397" s="76" t="s">
        <v>211</v>
      </c>
      <c r="I397" s="76">
        <v>1.6E-2</v>
      </c>
      <c r="J397" s="76">
        <v>1</v>
      </c>
      <c r="K397" s="76" t="s">
        <v>232</v>
      </c>
      <c r="L397" s="76">
        <v>10</v>
      </c>
      <c r="M397" s="76" t="s">
        <v>235</v>
      </c>
      <c r="BQ397" t="s">
        <v>21</v>
      </c>
      <c r="BR397">
        <v>1674</v>
      </c>
      <c r="BS397">
        <v>1</v>
      </c>
      <c r="BT397" s="2">
        <v>33078</v>
      </c>
      <c r="BU397" s="33">
        <f t="shared" si="18"/>
        <v>1990</v>
      </c>
      <c r="BX397">
        <v>11</v>
      </c>
      <c r="BY397" t="s">
        <v>211</v>
      </c>
      <c r="BZ397">
        <v>2.3E-2</v>
      </c>
      <c r="CA397">
        <f t="shared" si="19"/>
        <v>23</v>
      </c>
      <c r="CB397">
        <v>1</v>
      </c>
      <c r="CC397" t="s">
        <v>232</v>
      </c>
      <c r="CD397">
        <v>7</v>
      </c>
      <c r="CE397" t="s">
        <v>235</v>
      </c>
    </row>
    <row r="398" spans="1:83" x14ac:dyDescent="0.2">
      <c r="A398" s="76" t="s">
        <v>21</v>
      </c>
      <c r="B398" s="76">
        <v>1674</v>
      </c>
      <c r="C398" s="76">
        <v>1</v>
      </c>
      <c r="D398" s="77">
        <v>32751</v>
      </c>
      <c r="G398" s="257">
        <v>5</v>
      </c>
      <c r="H398" s="76" t="s">
        <v>211</v>
      </c>
      <c r="I398" s="76">
        <v>1.4999999999999999E-2</v>
      </c>
      <c r="J398" s="76">
        <v>1</v>
      </c>
      <c r="K398" s="76" t="s">
        <v>232</v>
      </c>
      <c r="L398" s="76">
        <v>10</v>
      </c>
      <c r="M398" s="76" t="s">
        <v>235</v>
      </c>
      <c r="BQ398" t="s">
        <v>21</v>
      </c>
      <c r="BR398">
        <v>1674</v>
      </c>
      <c r="BS398">
        <v>1</v>
      </c>
      <c r="BT398" s="2">
        <v>33078</v>
      </c>
      <c r="BU398" s="33">
        <f t="shared" si="18"/>
        <v>1990</v>
      </c>
      <c r="BX398">
        <v>13</v>
      </c>
      <c r="BY398" t="s">
        <v>211</v>
      </c>
      <c r="BZ398">
        <v>3.2000000000000001E-2</v>
      </c>
      <c r="CA398" s="212">
        <f t="shared" si="19"/>
        <v>32</v>
      </c>
      <c r="CB398">
        <v>1</v>
      </c>
      <c r="CC398" t="s">
        <v>232</v>
      </c>
      <c r="CD398">
        <v>7</v>
      </c>
      <c r="CE398" t="s">
        <v>235</v>
      </c>
    </row>
    <row r="399" spans="1:83" x14ac:dyDescent="0.2">
      <c r="A399" s="76" t="s">
        <v>21</v>
      </c>
      <c r="B399" s="76">
        <v>1674</v>
      </c>
      <c r="C399" s="76">
        <v>1</v>
      </c>
      <c r="D399" s="77">
        <v>32751</v>
      </c>
      <c r="G399" s="257">
        <v>7</v>
      </c>
      <c r="H399" s="76" t="s">
        <v>211</v>
      </c>
      <c r="I399" s="76">
        <v>1.2999999999999999E-2</v>
      </c>
      <c r="J399" s="76">
        <v>1</v>
      </c>
      <c r="K399" s="76" t="s">
        <v>232</v>
      </c>
      <c r="L399" s="76">
        <v>10</v>
      </c>
      <c r="M399" s="76" t="s">
        <v>235</v>
      </c>
      <c r="BQ399" t="s">
        <v>21</v>
      </c>
      <c r="BR399">
        <v>1674</v>
      </c>
      <c r="BS399">
        <v>1</v>
      </c>
      <c r="BT399" s="2">
        <v>33106</v>
      </c>
      <c r="BU399" s="33">
        <f t="shared" si="18"/>
        <v>1990</v>
      </c>
      <c r="BX399">
        <v>1</v>
      </c>
      <c r="BY399" t="s">
        <v>211</v>
      </c>
      <c r="BZ399">
        <v>1.6E-2</v>
      </c>
      <c r="CA399">
        <f t="shared" si="19"/>
        <v>16</v>
      </c>
      <c r="CB399">
        <v>1</v>
      </c>
      <c r="CC399" t="s">
        <v>232</v>
      </c>
      <c r="CD399">
        <v>7</v>
      </c>
      <c r="CE399" t="s">
        <v>235</v>
      </c>
    </row>
    <row r="400" spans="1:83" x14ac:dyDescent="0.2">
      <c r="A400" s="76" t="s">
        <v>21</v>
      </c>
      <c r="B400" s="76">
        <v>1674</v>
      </c>
      <c r="C400" s="76">
        <v>1</v>
      </c>
      <c r="D400" s="77">
        <v>32751</v>
      </c>
      <c r="G400" s="257">
        <v>8</v>
      </c>
      <c r="H400" s="76" t="s">
        <v>211</v>
      </c>
      <c r="I400" s="76">
        <v>1.7000000000000001E-2</v>
      </c>
      <c r="J400" s="76">
        <v>1</v>
      </c>
      <c r="K400" s="76" t="s">
        <v>232</v>
      </c>
      <c r="L400" s="76">
        <v>10</v>
      </c>
      <c r="M400" s="76" t="s">
        <v>235</v>
      </c>
      <c r="BQ400" t="s">
        <v>21</v>
      </c>
      <c r="BR400">
        <v>1674</v>
      </c>
      <c r="BS400">
        <v>1</v>
      </c>
      <c r="BT400" s="2">
        <v>33106</v>
      </c>
      <c r="BU400" s="33">
        <f t="shared" si="18"/>
        <v>1990</v>
      </c>
      <c r="BX400">
        <v>3</v>
      </c>
      <c r="BY400" t="s">
        <v>211</v>
      </c>
      <c r="BZ400">
        <v>2.1000000000000001E-2</v>
      </c>
      <c r="CA400">
        <f t="shared" si="19"/>
        <v>21</v>
      </c>
      <c r="CB400">
        <v>1</v>
      </c>
      <c r="CC400" t="s">
        <v>232</v>
      </c>
      <c r="CD400">
        <v>7</v>
      </c>
      <c r="CE400" t="s">
        <v>235</v>
      </c>
    </row>
    <row r="401" spans="1:83" x14ac:dyDescent="0.2">
      <c r="A401" s="76" t="s">
        <v>21</v>
      </c>
      <c r="B401" s="76">
        <v>1674</v>
      </c>
      <c r="C401" s="76">
        <v>1</v>
      </c>
      <c r="D401" s="77">
        <v>32751</v>
      </c>
      <c r="G401" s="257">
        <v>9</v>
      </c>
      <c r="H401" s="76" t="s">
        <v>211</v>
      </c>
      <c r="I401" s="76">
        <v>1.7000000000000001E-2</v>
      </c>
      <c r="J401" s="76">
        <v>1</v>
      </c>
      <c r="K401" s="76" t="s">
        <v>232</v>
      </c>
      <c r="L401" s="76">
        <v>10</v>
      </c>
      <c r="M401" s="76" t="s">
        <v>235</v>
      </c>
      <c r="BQ401" t="s">
        <v>21</v>
      </c>
      <c r="BR401">
        <v>1674</v>
      </c>
      <c r="BS401">
        <v>1</v>
      </c>
      <c r="BT401" s="2">
        <v>33106</v>
      </c>
      <c r="BU401" s="33">
        <f t="shared" si="18"/>
        <v>1990</v>
      </c>
      <c r="BX401">
        <v>5</v>
      </c>
      <c r="BY401" t="s">
        <v>211</v>
      </c>
      <c r="BZ401">
        <v>0.02</v>
      </c>
      <c r="CA401">
        <f t="shared" si="19"/>
        <v>20</v>
      </c>
      <c r="CB401">
        <v>1</v>
      </c>
      <c r="CC401" t="s">
        <v>232</v>
      </c>
      <c r="CD401">
        <v>7</v>
      </c>
      <c r="CE401" t="s">
        <v>235</v>
      </c>
    </row>
    <row r="402" spans="1:83" x14ac:dyDescent="0.2">
      <c r="A402" s="76" t="s">
        <v>21</v>
      </c>
      <c r="B402" s="76">
        <v>1674</v>
      </c>
      <c r="C402" s="76">
        <v>1</v>
      </c>
      <c r="D402" s="77">
        <v>32751</v>
      </c>
      <c r="G402" s="257">
        <v>10</v>
      </c>
      <c r="H402" s="76" t="s">
        <v>211</v>
      </c>
      <c r="I402" s="76">
        <v>1.4999999999999999E-2</v>
      </c>
      <c r="J402" s="76">
        <v>1</v>
      </c>
      <c r="K402" s="76" t="s">
        <v>232</v>
      </c>
      <c r="L402" s="76">
        <v>10</v>
      </c>
      <c r="M402" s="76" t="s">
        <v>235</v>
      </c>
      <c r="BQ402" t="s">
        <v>21</v>
      </c>
      <c r="BR402">
        <v>1674</v>
      </c>
      <c r="BS402">
        <v>1</v>
      </c>
      <c r="BT402" s="2">
        <v>33106</v>
      </c>
      <c r="BU402" s="33">
        <f t="shared" si="18"/>
        <v>1990</v>
      </c>
      <c r="BX402">
        <v>7</v>
      </c>
      <c r="BY402" t="s">
        <v>211</v>
      </c>
      <c r="BZ402">
        <v>1.7999999999999999E-2</v>
      </c>
      <c r="CA402">
        <f t="shared" si="19"/>
        <v>18</v>
      </c>
      <c r="CB402">
        <v>1</v>
      </c>
      <c r="CC402" t="s">
        <v>232</v>
      </c>
      <c r="CD402">
        <v>7</v>
      </c>
      <c r="CE402" t="s">
        <v>235</v>
      </c>
    </row>
    <row r="403" spans="1:83" x14ac:dyDescent="0.2">
      <c r="A403" s="76" t="s">
        <v>21</v>
      </c>
      <c r="B403" s="76">
        <v>1674</v>
      </c>
      <c r="C403" s="76">
        <v>1</v>
      </c>
      <c r="D403" s="77">
        <v>32751</v>
      </c>
      <c r="G403" s="257">
        <v>11</v>
      </c>
      <c r="H403" s="76" t="s">
        <v>211</v>
      </c>
      <c r="I403" s="76">
        <v>1.4999999999999999E-2</v>
      </c>
      <c r="J403" s="76">
        <v>1</v>
      </c>
      <c r="K403" s="76" t="s">
        <v>232</v>
      </c>
      <c r="L403" s="76">
        <v>10</v>
      </c>
      <c r="M403" s="76" t="s">
        <v>235</v>
      </c>
      <c r="BQ403" t="s">
        <v>21</v>
      </c>
      <c r="BR403">
        <v>1674</v>
      </c>
      <c r="BS403">
        <v>1</v>
      </c>
      <c r="BT403" s="2">
        <v>33106</v>
      </c>
      <c r="BU403" s="33">
        <f t="shared" si="18"/>
        <v>1990</v>
      </c>
      <c r="BX403">
        <v>9</v>
      </c>
      <c r="BY403" t="s">
        <v>211</v>
      </c>
      <c r="BZ403">
        <v>1.6E-2</v>
      </c>
      <c r="CA403">
        <f t="shared" si="19"/>
        <v>16</v>
      </c>
      <c r="CB403">
        <v>1</v>
      </c>
      <c r="CC403" t="s">
        <v>232</v>
      </c>
      <c r="CD403">
        <v>7</v>
      </c>
      <c r="CE403" t="s">
        <v>235</v>
      </c>
    </row>
    <row r="404" spans="1:83" x14ac:dyDescent="0.2">
      <c r="A404" s="76" t="s">
        <v>21</v>
      </c>
      <c r="B404" s="76">
        <v>1674</v>
      </c>
      <c r="C404" s="76">
        <v>1</v>
      </c>
      <c r="D404" s="77">
        <v>32768</v>
      </c>
      <c r="G404" s="257">
        <v>1</v>
      </c>
      <c r="H404" s="76" t="s">
        <v>211</v>
      </c>
      <c r="I404" s="76">
        <v>1.7000000000000001E-2</v>
      </c>
      <c r="J404" s="76">
        <v>1</v>
      </c>
      <c r="K404" s="76" t="s">
        <v>232</v>
      </c>
      <c r="L404" s="76">
        <v>11</v>
      </c>
      <c r="M404" s="76" t="s">
        <v>235</v>
      </c>
      <c r="BQ404" t="s">
        <v>21</v>
      </c>
      <c r="BR404">
        <v>1674</v>
      </c>
      <c r="BS404">
        <v>1</v>
      </c>
      <c r="BT404" s="2">
        <v>33106</v>
      </c>
      <c r="BU404" s="33">
        <f t="shared" si="18"/>
        <v>1990</v>
      </c>
      <c r="BX404">
        <v>11</v>
      </c>
      <c r="BY404" t="s">
        <v>211</v>
      </c>
      <c r="BZ404">
        <v>1.6E-2</v>
      </c>
      <c r="CA404">
        <f t="shared" si="19"/>
        <v>16</v>
      </c>
      <c r="CB404">
        <v>1</v>
      </c>
      <c r="CC404" t="s">
        <v>232</v>
      </c>
      <c r="CD404">
        <v>7</v>
      </c>
      <c r="CE404" t="s">
        <v>235</v>
      </c>
    </row>
    <row r="405" spans="1:83" x14ac:dyDescent="0.2">
      <c r="A405" s="76" t="s">
        <v>21</v>
      </c>
      <c r="B405" s="76">
        <v>1674</v>
      </c>
      <c r="C405" s="76">
        <v>1</v>
      </c>
      <c r="D405" s="77">
        <v>32768</v>
      </c>
      <c r="G405" s="257">
        <v>2</v>
      </c>
      <c r="H405" s="76" t="s">
        <v>211</v>
      </c>
      <c r="I405" s="76">
        <v>1.6E-2</v>
      </c>
      <c r="J405" s="76">
        <v>1</v>
      </c>
      <c r="K405" s="76" t="s">
        <v>232</v>
      </c>
      <c r="L405" s="76">
        <v>11</v>
      </c>
      <c r="M405" s="76" t="s">
        <v>235</v>
      </c>
      <c r="BQ405" t="s">
        <v>21</v>
      </c>
      <c r="BR405">
        <v>1674</v>
      </c>
      <c r="BS405">
        <v>1</v>
      </c>
      <c r="BT405" s="2">
        <v>33106</v>
      </c>
      <c r="BU405" s="33">
        <f t="shared" si="18"/>
        <v>1990</v>
      </c>
      <c r="BX405">
        <v>13</v>
      </c>
      <c r="BY405" t="s">
        <v>211</v>
      </c>
      <c r="BZ405">
        <v>2.8000000000000001E-2</v>
      </c>
      <c r="CA405">
        <f t="shared" si="19"/>
        <v>28</v>
      </c>
      <c r="CB405">
        <v>1</v>
      </c>
      <c r="CC405" t="s">
        <v>232</v>
      </c>
      <c r="CD405">
        <v>7</v>
      </c>
      <c r="CE405" t="s">
        <v>235</v>
      </c>
    </row>
    <row r="406" spans="1:83" x14ac:dyDescent="0.2">
      <c r="A406" s="76" t="s">
        <v>21</v>
      </c>
      <c r="B406" s="76">
        <v>1674</v>
      </c>
      <c r="C406" s="76">
        <v>1</v>
      </c>
      <c r="D406" s="77">
        <v>32768</v>
      </c>
      <c r="G406" s="257">
        <v>3</v>
      </c>
      <c r="H406" s="76" t="s">
        <v>211</v>
      </c>
      <c r="I406" s="76">
        <v>1.4999999999999999E-2</v>
      </c>
      <c r="J406" s="76">
        <v>1</v>
      </c>
      <c r="K406" s="76" t="s">
        <v>232</v>
      </c>
      <c r="L406" s="76">
        <v>11</v>
      </c>
      <c r="M406" s="76" t="s">
        <v>235</v>
      </c>
      <c r="BQ406" t="s">
        <v>21</v>
      </c>
      <c r="BR406">
        <v>1674</v>
      </c>
      <c r="BS406">
        <v>1</v>
      </c>
      <c r="BT406" s="2">
        <v>33437</v>
      </c>
      <c r="BU406" s="33">
        <f t="shared" si="18"/>
        <v>1991</v>
      </c>
      <c r="BV406" t="s">
        <v>22</v>
      </c>
      <c r="BW406">
        <v>2</v>
      </c>
      <c r="BX406">
        <v>3</v>
      </c>
      <c r="BY406" t="s">
        <v>211</v>
      </c>
      <c r="BZ406">
        <v>1.6E-2</v>
      </c>
      <c r="CA406">
        <f t="shared" si="19"/>
        <v>16</v>
      </c>
      <c r="CB406">
        <v>1</v>
      </c>
      <c r="CC406" t="s">
        <v>232</v>
      </c>
      <c r="CD406">
        <v>3</v>
      </c>
      <c r="CE406" t="s">
        <v>235</v>
      </c>
    </row>
    <row r="407" spans="1:83" x14ac:dyDescent="0.2">
      <c r="A407" s="76" t="s">
        <v>21</v>
      </c>
      <c r="B407" s="76">
        <v>1674</v>
      </c>
      <c r="C407" s="76">
        <v>1</v>
      </c>
      <c r="D407" s="77">
        <v>32768</v>
      </c>
      <c r="G407" s="257">
        <v>4</v>
      </c>
      <c r="H407" s="76" t="s">
        <v>211</v>
      </c>
      <c r="I407" s="76">
        <v>1.9E-2</v>
      </c>
      <c r="J407" s="76">
        <v>1</v>
      </c>
      <c r="K407" s="76" t="s">
        <v>232</v>
      </c>
      <c r="L407" s="76">
        <v>11</v>
      </c>
      <c r="M407" s="76" t="s">
        <v>235</v>
      </c>
      <c r="BQ407" t="s">
        <v>21</v>
      </c>
      <c r="BR407">
        <v>1674</v>
      </c>
      <c r="BS407">
        <v>1</v>
      </c>
      <c r="BT407" s="2">
        <v>33437</v>
      </c>
      <c r="BU407" s="33">
        <f t="shared" si="18"/>
        <v>1991</v>
      </c>
      <c r="BV407" t="s">
        <v>22</v>
      </c>
      <c r="BW407">
        <v>2</v>
      </c>
      <c r="BX407">
        <v>7</v>
      </c>
      <c r="BY407" t="s">
        <v>211</v>
      </c>
      <c r="BZ407">
        <v>1.4999999999999999E-2</v>
      </c>
      <c r="CA407">
        <f t="shared" si="19"/>
        <v>15</v>
      </c>
      <c r="CB407">
        <v>1</v>
      </c>
      <c r="CC407" t="s">
        <v>232</v>
      </c>
      <c r="CD407">
        <v>3</v>
      </c>
      <c r="CE407" t="s">
        <v>235</v>
      </c>
    </row>
    <row r="408" spans="1:83" x14ac:dyDescent="0.2">
      <c r="A408" s="76" t="s">
        <v>21</v>
      </c>
      <c r="B408" s="76">
        <v>1674</v>
      </c>
      <c r="C408" s="76">
        <v>1</v>
      </c>
      <c r="D408" s="77">
        <v>32768</v>
      </c>
      <c r="G408" s="257">
        <v>5</v>
      </c>
      <c r="H408" s="76" t="s">
        <v>211</v>
      </c>
      <c r="I408" s="76">
        <v>1.2999999999999999E-2</v>
      </c>
      <c r="J408" s="76">
        <v>1</v>
      </c>
      <c r="K408" s="76" t="s">
        <v>232</v>
      </c>
      <c r="L408" s="76">
        <v>11</v>
      </c>
      <c r="M408" s="76" t="s">
        <v>235</v>
      </c>
      <c r="BQ408" t="s">
        <v>21</v>
      </c>
      <c r="BR408">
        <v>1674</v>
      </c>
      <c r="BS408">
        <v>1</v>
      </c>
      <c r="BT408" s="2">
        <v>33437</v>
      </c>
      <c r="BU408" s="33">
        <f t="shared" si="18"/>
        <v>1991</v>
      </c>
      <c r="BV408" t="s">
        <v>22</v>
      </c>
      <c r="BW408">
        <v>2</v>
      </c>
      <c r="BX408">
        <v>13</v>
      </c>
      <c r="BY408" t="s">
        <v>211</v>
      </c>
      <c r="BZ408">
        <v>2.3E-2</v>
      </c>
      <c r="CA408">
        <f t="shared" si="19"/>
        <v>23</v>
      </c>
      <c r="CB408">
        <v>1</v>
      </c>
      <c r="CC408" t="s">
        <v>232</v>
      </c>
      <c r="CD408">
        <v>3</v>
      </c>
      <c r="CE408" t="s">
        <v>235</v>
      </c>
    </row>
    <row r="409" spans="1:83" x14ac:dyDescent="0.2">
      <c r="A409" s="76" t="s">
        <v>21</v>
      </c>
      <c r="B409" s="76">
        <v>1674</v>
      </c>
      <c r="C409" s="76">
        <v>1</v>
      </c>
      <c r="D409" s="77">
        <v>32768</v>
      </c>
      <c r="G409" s="257">
        <v>6</v>
      </c>
      <c r="H409" s="76" t="s">
        <v>211</v>
      </c>
      <c r="I409" s="76">
        <v>1.4E-2</v>
      </c>
      <c r="J409" s="76">
        <v>1</v>
      </c>
      <c r="K409" s="76" t="s">
        <v>232</v>
      </c>
      <c r="L409" s="76">
        <v>11</v>
      </c>
      <c r="M409" s="76" t="s">
        <v>235</v>
      </c>
      <c r="BQ409" t="s">
        <v>21</v>
      </c>
      <c r="BR409">
        <v>1674</v>
      </c>
      <c r="BS409">
        <v>1</v>
      </c>
      <c r="BT409" s="2">
        <v>33448</v>
      </c>
      <c r="BU409" s="33">
        <f t="shared" si="18"/>
        <v>1991</v>
      </c>
      <c r="BV409" t="s">
        <v>22</v>
      </c>
      <c r="BW409">
        <v>2</v>
      </c>
      <c r="BX409">
        <v>1</v>
      </c>
      <c r="BY409" t="s">
        <v>211</v>
      </c>
      <c r="BZ409">
        <v>1.2999999999999999E-2</v>
      </c>
      <c r="CA409">
        <f t="shared" si="19"/>
        <v>13</v>
      </c>
      <c r="CB409">
        <v>1</v>
      </c>
      <c r="CC409" t="s">
        <v>232</v>
      </c>
      <c r="CD409">
        <v>7</v>
      </c>
      <c r="CE409" t="s">
        <v>235</v>
      </c>
    </row>
    <row r="410" spans="1:83" x14ac:dyDescent="0.2">
      <c r="A410" s="76" t="s">
        <v>21</v>
      </c>
      <c r="B410" s="76">
        <v>1674</v>
      </c>
      <c r="C410" s="76">
        <v>1</v>
      </c>
      <c r="D410" s="77">
        <v>32768</v>
      </c>
      <c r="G410" s="257">
        <v>7</v>
      </c>
      <c r="H410" s="76" t="s">
        <v>211</v>
      </c>
      <c r="I410" s="76">
        <v>1.4999999999999999E-2</v>
      </c>
      <c r="J410" s="76">
        <v>1</v>
      </c>
      <c r="K410" s="76" t="s">
        <v>232</v>
      </c>
      <c r="L410" s="76">
        <v>11</v>
      </c>
      <c r="M410" s="76" t="s">
        <v>235</v>
      </c>
      <c r="BQ410" t="s">
        <v>21</v>
      </c>
      <c r="BR410">
        <v>1674</v>
      </c>
      <c r="BS410">
        <v>1</v>
      </c>
      <c r="BT410" s="2">
        <v>33448</v>
      </c>
      <c r="BU410" s="33">
        <f t="shared" si="18"/>
        <v>1991</v>
      </c>
      <c r="BV410" t="s">
        <v>22</v>
      </c>
      <c r="BW410">
        <v>2</v>
      </c>
      <c r="BX410">
        <v>3</v>
      </c>
      <c r="BY410" t="s">
        <v>211</v>
      </c>
      <c r="BZ410">
        <v>1.7999999999999999E-2</v>
      </c>
      <c r="CA410">
        <f t="shared" si="19"/>
        <v>18</v>
      </c>
      <c r="CB410">
        <v>1</v>
      </c>
      <c r="CC410" t="s">
        <v>232</v>
      </c>
      <c r="CD410">
        <v>7</v>
      </c>
      <c r="CE410" t="s">
        <v>235</v>
      </c>
    </row>
    <row r="411" spans="1:83" x14ac:dyDescent="0.2">
      <c r="A411" s="76" t="s">
        <v>21</v>
      </c>
      <c r="B411" s="76">
        <v>1674</v>
      </c>
      <c r="C411" s="76">
        <v>1</v>
      </c>
      <c r="D411" s="77">
        <v>32768</v>
      </c>
      <c r="G411" s="257">
        <v>8</v>
      </c>
      <c r="H411" s="76" t="s">
        <v>211</v>
      </c>
      <c r="I411" s="76">
        <v>0.02</v>
      </c>
      <c r="J411" s="76">
        <v>1</v>
      </c>
      <c r="K411" s="76" t="s">
        <v>232</v>
      </c>
      <c r="L411" s="76">
        <v>11</v>
      </c>
      <c r="M411" s="76" t="s">
        <v>235</v>
      </c>
      <c r="BQ411" t="s">
        <v>21</v>
      </c>
      <c r="BR411">
        <v>1674</v>
      </c>
      <c r="BS411">
        <v>1</v>
      </c>
      <c r="BT411" s="2">
        <v>33448</v>
      </c>
      <c r="BU411" s="33">
        <f t="shared" si="18"/>
        <v>1991</v>
      </c>
      <c r="BV411" t="s">
        <v>22</v>
      </c>
      <c r="BW411">
        <v>2</v>
      </c>
      <c r="BX411">
        <v>5</v>
      </c>
      <c r="BY411" t="s">
        <v>211</v>
      </c>
      <c r="BZ411">
        <v>1.2999999999999999E-2</v>
      </c>
      <c r="CA411">
        <f t="shared" si="19"/>
        <v>13</v>
      </c>
      <c r="CB411">
        <v>1</v>
      </c>
      <c r="CC411" t="s">
        <v>232</v>
      </c>
      <c r="CD411">
        <v>7</v>
      </c>
      <c r="CE411" t="s">
        <v>235</v>
      </c>
    </row>
    <row r="412" spans="1:83" x14ac:dyDescent="0.2">
      <c r="A412" s="76" t="s">
        <v>21</v>
      </c>
      <c r="B412" s="76">
        <v>1674</v>
      </c>
      <c r="C412" s="76">
        <v>1</v>
      </c>
      <c r="D412" s="77">
        <v>32768</v>
      </c>
      <c r="G412" s="257">
        <v>9</v>
      </c>
      <c r="H412" s="76" t="s">
        <v>211</v>
      </c>
      <c r="I412" s="76">
        <v>1.7999999999999999E-2</v>
      </c>
      <c r="J412" s="76">
        <v>1</v>
      </c>
      <c r="K412" s="76" t="s">
        <v>232</v>
      </c>
      <c r="L412" s="76">
        <v>11</v>
      </c>
      <c r="M412" s="76" t="s">
        <v>235</v>
      </c>
      <c r="BQ412" t="s">
        <v>21</v>
      </c>
      <c r="BR412">
        <v>1674</v>
      </c>
      <c r="BS412">
        <v>1</v>
      </c>
      <c r="BT412" s="2">
        <v>33448</v>
      </c>
      <c r="BU412" s="33">
        <f t="shared" si="18"/>
        <v>1991</v>
      </c>
      <c r="BV412" t="s">
        <v>22</v>
      </c>
      <c r="BW412">
        <v>2</v>
      </c>
      <c r="BX412">
        <v>7</v>
      </c>
      <c r="BY412" t="s">
        <v>211</v>
      </c>
      <c r="BZ412">
        <v>1.4999999999999999E-2</v>
      </c>
      <c r="CA412">
        <f t="shared" si="19"/>
        <v>15</v>
      </c>
      <c r="CB412">
        <v>1</v>
      </c>
      <c r="CC412" t="s">
        <v>232</v>
      </c>
      <c r="CD412">
        <v>7</v>
      </c>
      <c r="CE412" t="s">
        <v>235</v>
      </c>
    </row>
    <row r="413" spans="1:83" x14ac:dyDescent="0.2">
      <c r="A413" s="76" t="s">
        <v>21</v>
      </c>
      <c r="B413" s="76">
        <v>1674</v>
      </c>
      <c r="C413" s="76">
        <v>1</v>
      </c>
      <c r="D413" s="77">
        <v>32768</v>
      </c>
      <c r="G413" s="257">
        <v>10</v>
      </c>
      <c r="H413" s="76" t="s">
        <v>211</v>
      </c>
      <c r="I413" s="76">
        <v>0.02</v>
      </c>
      <c r="J413" s="76">
        <v>1</v>
      </c>
      <c r="K413" s="76" t="s">
        <v>232</v>
      </c>
      <c r="L413" s="76">
        <v>11</v>
      </c>
      <c r="M413" s="76" t="s">
        <v>235</v>
      </c>
      <c r="BQ413" t="s">
        <v>21</v>
      </c>
      <c r="BR413">
        <v>1674</v>
      </c>
      <c r="BS413">
        <v>1</v>
      </c>
      <c r="BT413" s="2">
        <v>33448</v>
      </c>
      <c r="BU413" s="33">
        <f t="shared" si="18"/>
        <v>1991</v>
      </c>
      <c r="BV413" t="s">
        <v>22</v>
      </c>
      <c r="BW413">
        <v>2</v>
      </c>
      <c r="BX413">
        <v>9</v>
      </c>
      <c r="BY413" t="s">
        <v>211</v>
      </c>
      <c r="BZ413">
        <v>1.7000000000000001E-2</v>
      </c>
      <c r="CA413">
        <f t="shared" si="19"/>
        <v>17</v>
      </c>
      <c r="CB413">
        <v>1</v>
      </c>
      <c r="CC413" t="s">
        <v>232</v>
      </c>
      <c r="CD413">
        <v>7</v>
      </c>
      <c r="CE413" t="s">
        <v>235</v>
      </c>
    </row>
    <row r="414" spans="1:83" x14ac:dyDescent="0.2">
      <c r="A414" s="76" t="s">
        <v>21</v>
      </c>
      <c r="B414" s="76">
        <v>1674</v>
      </c>
      <c r="C414" s="76">
        <v>1</v>
      </c>
      <c r="D414" s="77">
        <v>32768</v>
      </c>
      <c r="G414" s="257">
        <v>11</v>
      </c>
      <c r="H414" s="76" t="s">
        <v>211</v>
      </c>
      <c r="I414" s="76">
        <v>2.3E-2</v>
      </c>
      <c r="J414" s="76">
        <v>1</v>
      </c>
      <c r="K414" s="76" t="s">
        <v>232</v>
      </c>
      <c r="L414" s="76">
        <v>11</v>
      </c>
      <c r="M414" s="76" t="s">
        <v>235</v>
      </c>
      <c r="BQ414" t="s">
        <v>21</v>
      </c>
      <c r="BR414">
        <v>1674</v>
      </c>
      <c r="BS414">
        <v>1</v>
      </c>
      <c r="BT414" s="2">
        <v>33448</v>
      </c>
      <c r="BU414" s="33">
        <f t="shared" si="18"/>
        <v>1991</v>
      </c>
      <c r="BV414" t="s">
        <v>22</v>
      </c>
      <c r="BW414">
        <v>2</v>
      </c>
      <c r="BX414">
        <v>11</v>
      </c>
      <c r="BY414" t="s">
        <v>211</v>
      </c>
      <c r="BZ414">
        <v>2.3E-2</v>
      </c>
      <c r="CA414">
        <f t="shared" si="19"/>
        <v>23</v>
      </c>
      <c r="CB414">
        <v>1</v>
      </c>
      <c r="CC414" t="s">
        <v>232</v>
      </c>
      <c r="CD414">
        <v>7</v>
      </c>
      <c r="CE414" t="s">
        <v>235</v>
      </c>
    </row>
    <row r="415" spans="1:83" x14ac:dyDescent="0.2">
      <c r="A415" s="76" t="s">
        <v>21</v>
      </c>
      <c r="B415" s="76">
        <v>1674</v>
      </c>
      <c r="C415" s="76">
        <v>1</v>
      </c>
      <c r="D415" s="77">
        <v>33021</v>
      </c>
      <c r="G415" s="257">
        <v>1</v>
      </c>
      <c r="H415" s="76" t="s">
        <v>211</v>
      </c>
      <c r="I415" s="76">
        <v>1.2E-2</v>
      </c>
      <c r="J415" s="76">
        <v>1</v>
      </c>
      <c r="K415" s="76" t="s">
        <v>232</v>
      </c>
      <c r="L415" s="76">
        <v>7</v>
      </c>
      <c r="M415" s="76" t="s">
        <v>235</v>
      </c>
      <c r="BQ415" t="s">
        <v>21</v>
      </c>
      <c r="BR415">
        <v>1674</v>
      </c>
      <c r="BS415">
        <v>1</v>
      </c>
      <c r="BT415" s="2">
        <v>33448</v>
      </c>
      <c r="BU415" s="33">
        <f t="shared" si="18"/>
        <v>1991</v>
      </c>
      <c r="BV415" t="s">
        <v>22</v>
      </c>
      <c r="BW415">
        <v>2</v>
      </c>
      <c r="BX415">
        <v>13</v>
      </c>
      <c r="BY415" t="s">
        <v>211</v>
      </c>
      <c r="BZ415">
        <v>3.1E-2</v>
      </c>
      <c r="CA415">
        <f t="shared" si="19"/>
        <v>31</v>
      </c>
      <c r="CB415">
        <v>1</v>
      </c>
      <c r="CC415" t="s">
        <v>232</v>
      </c>
      <c r="CD415">
        <v>7</v>
      </c>
      <c r="CE415" t="s">
        <v>235</v>
      </c>
    </row>
    <row r="416" spans="1:83" x14ac:dyDescent="0.2">
      <c r="A416" s="76" t="s">
        <v>21</v>
      </c>
      <c r="B416" s="76">
        <v>1674</v>
      </c>
      <c r="C416" s="76">
        <v>1</v>
      </c>
      <c r="D416" s="77">
        <v>33021</v>
      </c>
      <c r="G416" s="257">
        <v>3</v>
      </c>
      <c r="H416" s="76" t="s">
        <v>211</v>
      </c>
      <c r="I416" s="76">
        <v>1.0999999999999999E-2</v>
      </c>
      <c r="J416" s="76">
        <v>1</v>
      </c>
      <c r="K416" s="76" t="s">
        <v>232</v>
      </c>
      <c r="L416" s="76">
        <v>7</v>
      </c>
      <c r="M416" s="76" t="s">
        <v>235</v>
      </c>
      <c r="BQ416" t="s">
        <v>21</v>
      </c>
      <c r="BR416">
        <v>1674</v>
      </c>
      <c r="BS416">
        <v>1</v>
      </c>
      <c r="BT416" s="2">
        <v>33471</v>
      </c>
      <c r="BU416" s="33">
        <f t="shared" si="18"/>
        <v>1991</v>
      </c>
      <c r="BV416" t="s">
        <v>22</v>
      </c>
      <c r="BW416">
        <v>2</v>
      </c>
      <c r="BX416">
        <v>1</v>
      </c>
      <c r="BY416" t="s">
        <v>211</v>
      </c>
      <c r="BZ416">
        <v>2.1000000000000001E-2</v>
      </c>
      <c r="CA416">
        <f t="shared" si="19"/>
        <v>21</v>
      </c>
      <c r="CB416">
        <v>1</v>
      </c>
      <c r="CC416" t="s">
        <v>232</v>
      </c>
      <c r="CD416">
        <v>6</v>
      </c>
      <c r="CE416" t="s">
        <v>235</v>
      </c>
    </row>
    <row r="417" spans="1:83" x14ac:dyDescent="0.2">
      <c r="A417" s="76" t="s">
        <v>21</v>
      </c>
      <c r="B417" s="76">
        <v>1674</v>
      </c>
      <c r="C417" s="76">
        <v>1</v>
      </c>
      <c r="D417" s="77">
        <v>33021</v>
      </c>
      <c r="G417" s="257">
        <v>5</v>
      </c>
      <c r="H417" s="76" t="s">
        <v>211</v>
      </c>
      <c r="I417" s="76">
        <v>1.0999999999999999E-2</v>
      </c>
      <c r="J417" s="76">
        <v>1</v>
      </c>
      <c r="K417" s="76" t="s">
        <v>232</v>
      </c>
      <c r="L417" s="76">
        <v>7</v>
      </c>
      <c r="M417" s="76" t="s">
        <v>235</v>
      </c>
      <c r="BQ417" t="s">
        <v>21</v>
      </c>
      <c r="BR417">
        <v>1674</v>
      </c>
      <c r="BS417">
        <v>1</v>
      </c>
      <c r="BT417" s="2">
        <v>33471</v>
      </c>
      <c r="BU417" s="33">
        <f t="shared" si="18"/>
        <v>1991</v>
      </c>
      <c r="BV417" t="s">
        <v>22</v>
      </c>
      <c r="BW417">
        <v>2</v>
      </c>
      <c r="BX417">
        <v>3</v>
      </c>
      <c r="BY417" t="s">
        <v>211</v>
      </c>
      <c r="BZ417">
        <v>2.3E-2</v>
      </c>
      <c r="CA417">
        <f t="shared" si="19"/>
        <v>23</v>
      </c>
      <c r="CB417">
        <v>1</v>
      </c>
      <c r="CC417" t="s">
        <v>232</v>
      </c>
      <c r="CD417">
        <v>6</v>
      </c>
      <c r="CE417" t="s">
        <v>235</v>
      </c>
    </row>
    <row r="418" spans="1:83" x14ac:dyDescent="0.2">
      <c r="A418" s="76" t="s">
        <v>21</v>
      </c>
      <c r="B418" s="76">
        <v>1674</v>
      </c>
      <c r="C418" s="76">
        <v>1</v>
      </c>
      <c r="D418" s="77">
        <v>33021</v>
      </c>
      <c r="G418" s="257">
        <v>7</v>
      </c>
      <c r="H418" s="76" t="s">
        <v>211</v>
      </c>
      <c r="I418" s="76">
        <v>1.0999999999999999E-2</v>
      </c>
      <c r="J418" s="76">
        <v>1</v>
      </c>
      <c r="K418" s="76" t="s">
        <v>232</v>
      </c>
      <c r="L418" s="76">
        <v>7</v>
      </c>
      <c r="M418" s="76" t="s">
        <v>235</v>
      </c>
      <c r="BQ418" t="s">
        <v>21</v>
      </c>
      <c r="BR418">
        <v>1674</v>
      </c>
      <c r="BS418">
        <v>1</v>
      </c>
      <c r="BT418" s="2">
        <v>33471</v>
      </c>
      <c r="BU418" s="33">
        <f t="shared" si="18"/>
        <v>1991</v>
      </c>
      <c r="BV418" t="s">
        <v>22</v>
      </c>
      <c r="BW418">
        <v>2</v>
      </c>
      <c r="BX418">
        <v>5</v>
      </c>
      <c r="BY418" t="s">
        <v>211</v>
      </c>
      <c r="BZ418">
        <v>2.1000000000000001E-2</v>
      </c>
      <c r="CA418">
        <f t="shared" si="19"/>
        <v>21</v>
      </c>
      <c r="CB418">
        <v>1</v>
      </c>
      <c r="CC418" t="s">
        <v>232</v>
      </c>
      <c r="CD418">
        <v>6</v>
      </c>
      <c r="CE418" t="s">
        <v>235</v>
      </c>
    </row>
    <row r="419" spans="1:83" x14ac:dyDescent="0.2">
      <c r="A419" s="76" t="s">
        <v>21</v>
      </c>
      <c r="B419" s="76">
        <v>1674</v>
      </c>
      <c r="C419" s="76">
        <v>1</v>
      </c>
      <c r="D419" s="77">
        <v>33021</v>
      </c>
      <c r="G419" s="257">
        <v>9</v>
      </c>
      <c r="H419" s="76" t="s">
        <v>211</v>
      </c>
      <c r="I419" s="76">
        <v>1.4E-2</v>
      </c>
      <c r="J419" s="76">
        <v>1</v>
      </c>
      <c r="K419" s="76" t="s">
        <v>232</v>
      </c>
      <c r="L419" s="76">
        <v>7</v>
      </c>
      <c r="M419" s="76" t="s">
        <v>235</v>
      </c>
      <c r="BQ419" t="s">
        <v>21</v>
      </c>
      <c r="BR419">
        <v>1674</v>
      </c>
      <c r="BS419">
        <v>1</v>
      </c>
      <c r="BT419" s="2">
        <v>33471</v>
      </c>
      <c r="BU419" s="33">
        <f t="shared" si="18"/>
        <v>1991</v>
      </c>
      <c r="BV419" t="s">
        <v>22</v>
      </c>
      <c r="BW419">
        <v>2</v>
      </c>
      <c r="BX419">
        <v>7</v>
      </c>
      <c r="BY419" t="s">
        <v>211</v>
      </c>
      <c r="BZ419">
        <v>2.5999999999999999E-2</v>
      </c>
      <c r="CA419">
        <f t="shared" si="19"/>
        <v>26</v>
      </c>
      <c r="CB419">
        <v>1</v>
      </c>
      <c r="CC419" t="s">
        <v>232</v>
      </c>
      <c r="CD419">
        <v>6</v>
      </c>
      <c r="CE419" t="s">
        <v>235</v>
      </c>
    </row>
    <row r="420" spans="1:83" x14ac:dyDescent="0.2">
      <c r="A420" s="76" t="s">
        <v>21</v>
      </c>
      <c r="B420" s="76">
        <v>1674</v>
      </c>
      <c r="C420" s="76">
        <v>1</v>
      </c>
      <c r="D420" s="77">
        <v>33021</v>
      </c>
      <c r="G420" s="257">
        <v>11</v>
      </c>
      <c r="H420" s="76" t="s">
        <v>211</v>
      </c>
      <c r="I420" s="76">
        <v>1.4E-2</v>
      </c>
      <c r="J420" s="76">
        <v>1</v>
      </c>
      <c r="K420" s="76" t="s">
        <v>232</v>
      </c>
      <c r="L420" s="76">
        <v>7</v>
      </c>
      <c r="M420" s="76" t="s">
        <v>235</v>
      </c>
      <c r="BQ420" t="s">
        <v>21</v>
      </c>
      <c r="BR420">
        <v>1674</v>
      </c>
      <c r="BS420">
        <v>1</v>
      </c>
      <c r="BT420" s="2">
        <v>33471</v>
      </c>
      <c r="BU420" s="33">
        <f t="shared" si="18"/>
        <v>1991</v>
      </c>
      <c r="BV420" t="s">
        <v>22</v>
      </c>
      <c r="BW420">
        <v>2</v>
      </c>
      <c r="BX420">
        <v>9</v>
      </c>
      <c r="BY420" t="s">
        <v>211</v>
      </c>
      <c r="BZ420">
        <v>2.1999999999999999E-2</v>
      </c>
      <c r="CA420">
        <f t="shared" si="19"/>
        <v>22</v>
      </c>
      <c r="CB420">
        <v>1</v>
      </c>
      <c r="CC420" t="s">
        <v>232</v>
      </c>
      <c r="CD420">
        <v>6</v>
      </c>
      <c r="CE420" t="s">
        <v>235</v>
      </c>
    </row>
    <row r="421" spans="1:83" x14ac:dyDescent="0.2">
      <c r="A421" s="76" t="s">
        <v>21</v>
      </c>
      <c r="B421" s="76">
        <v>1674</v>
      </c>
      <c r="C421" s="76">
        <v>1</v>
      </c>
      <c r="D421" s="77">
        <v>33021</v>
      </c>
      <c r="G421" s="257">
        <v>13</v>
      </c>
      <c r="H421" s="76" t="s">
        <v>211</v>
      </c>
      <c r="I421" s="76">
        <v>1.6E-2</v>
      </c>
      <c r="J421" s="76">
        <v>1</v>
      </c>
      <c r="K421" s="76" t="s">
        <v>232</v>
      </c>
      <c r="L421" s="76">
        <v>7</v>
      </c>
      <c r="M421" s="76" t="s">
        <v>235</v>
      </c>
      <c r="BQ421" t="s">
        <v>21</v>
      </c>
      <c r="BR421">
        <v>1674</v>
      </c>
      <c r="BS421">
        <v>1</v>
      </c>
      <c r="BT421" s="2">
        <v>33471</v>
      </c>
      <c r="BU421" s="33">
        <f t="shared" si="18"/>
        <v>1991</v>
      </c>
      <c r="BV421" t="s">
        <v>22</v>
      </c>
      <c r="BW421">
        <v>2</v>
      </c>
      <c r="BX421">
        <v>11</v>
      </c>
      <c r="BY421" t="s">
        <v>211</v>
      </c>
      <c r="BZ421">
        <v>1.9E-2</v>
      </c>
      <c r="CA421">
        <f t="shared" si="19"/>
        <v>19</v>
      </c>
      <c r="CB421">
        <v>1</v>
      </c>
      <c r="CC421" t="s">
        <v>232</v>
      </c>
      <c r="CD421">
        <v>6</v>
      </c>
      <c r="CE421" t="s">
        <v>235</v>
      </c>
    </row>
    <row r="422" spans="1:83" x14ac:dyDescent="0.2">
      <c r="A422" s="76" t="s">
        <v>21</v>
      </c>
      <c r="B422" s="76">
        <v>1674</v>
      </c>
      <c r="C422" s="76">
        <v>1</v>
      </c>
      <c r="D422" s="77">
        <v>33051</v>
      </c>
      <c r="G422" s="257">
        <v>1</v>
      </c>
      <c r="H422" s="76" t="s">
        <v>211</v>
      </c>
      <c r="I422" s="76">
        <v>2.1999999999999999E-2</v>
      </c>
      <c r="J422" s="76">
        <v>1</v>
      </c>
      <c r="K422" s="76" t="s">
        <v>232</v>
      </c>
      <c r="L422" s="76">
        <v>7</v>
      </c>
      <c r="M422" s="76" t="s">
        <v>235</v>
      </c>
      <c r="BQ422" t="s">
        <v>21</v>
      </c>
      <c r="BR422">
        <v>1674</v>
      </c>
      <c r="BS422">
        <v>1</v>
      </c>
      <c r="BT422" s="2">
        <v>33793</v>
      </c>
      <c r="BU422" s="33">
        <f t="shared" si="18"/>
        <v>1992</v>
      </c>
      <c r="BV422" t="s">
        <v>22</v>
      </c>
      <c r="BW422">
        <v>2</v>
      </c>
      <c r="BX422">
        <v>1</v>
      </c>
      <c r="BY422" t="s">
        <v>211</v>
      </c>
      <c r="BZ422">
        <v>1.7999999999999999E-2</v>
      </c>
      <c r="CA422">
        <f t="shared" si="19"/>
        <v>18</v>
      </c>
      <c r="CB422">
        <v>1</v>
      </c>
      <c r="CD422">
        <v>13</v>
      </c>
      <c r="CE422" t="s">
        <v>235</v>
      </c>
    </row>
    <row r="423" spans="1:83" x14ac:dyDescent="0.2">
      <c r="A423" s="76" t="s">
        <v>21</v>
      </c>
      <c r="B423" s="76">
        <v>1674</v>
      </c>
      <c r="C423" s="76">
        <v>1</v>
      </c>
      <c r="D423" s="77">
        <v>33051</v>
      </c>
      <c r="G423" s="257">
        <v>3</v>
      </c>
      <c r="H423" s="76" t="s">
        <v>211</v>
      </c>
      <c r="I423" s="76">
        <v>1.4E-2</v>
      </c>
      <c r="J423" s="76">
        <v>1</v>
      </c>
      <c r="K423" s="76" t="s">
        <v>232</v>
      </c>
      <c r="L423" s="76">
        <v>7</v>
      </c>
      <c r="M423" s="76" t="s">
        <v>235</v>
      </c>
      <c r="BQ423" t="s">
        <v>21</v>
      </c>
      <c r="BR423">
        <v>1674</v>
      </c>
      <c r="BS423">
        <v>1</v>
      </c>
      <c r="BT423" s="2">
        <v>33793</v>
      </c>
      <c r="BU423" s="33">
        <f t="shared" si="18"/>
        <v>1992</v>
      </c>
      <c r="BV423" t="s">
        <v>22</v>
      </c>
      <c r="BW423">
        <v>2</v>
      </c>
      <c r="BX423">
        <v>2</v>
      </c>
      <c r="BY423" t="s">
        <v>211</v>
      </c>
      <c r="BZ423">
        <v>1.7999999999999999E-2</v>
      </c>
      <c r="CA423">
        <f t="shared" si="19"/>
        <v>18</v>
      </c>
      <c r="CB423">
        <v>1</v>
      </c>
      <c r="CD423">
        <v>13</v>
      </c>
      <c r="CE423" t="s">
        <v>235</v>
      </c>
    </row>
    <row r="424" spans="1:83" x14ac:dyDescent="0.2">
      <c r="A424" s="76" t="s">
        <v>21</v>
      </c>
      <c r="B424" s="76">
        <v>1674</v>
      </c>
      <c r="C424" s="76">
        <v>1</v>
      </c>
      <c r="D424" s="77">
        <v>33051</v>
      </c>
      <c r="G424" s="257">
        <v>5</v>
      </c>
      <c r="H424" s="76" t="s">
        <v>211</v>
      </c>
      <c r="I424" s="76">
        <v>1.4999999999999999E-2</v>
      </c>
      <c r="J424" s="76">
        <v>1</v>
      </c>
      <c r="K424" s="76" t="s">
        <v>232</v>
      </c>
      <c r="L424" s="76">
        <v>7</v>
      </c>
      <c r="M424" s="76" t="s">
        <v>235</v>
      </c>
      <c r="BQ424" t="s">
        <v>21</v>
      </c>
      <c r="BR424">
        <v>1674</v>
      </c>
      <c r="BS424">
        <v>1</v>
      </c>
      <c r="BT424" s="2">
        <v>33793</v>
      </c>
      <c r="BU424" s="33">
        <f t="shared" si="18"/>
        <v>1992</v>
      </c>
      <c r="BV424" t="s">
        <v>22</v>
      </c>
      <c r="BW424">
        <v>2</v>
      </c>
      <c r="BX424">
        <v>3</v>
      </c>
      <c r="BY424" t="s">
        <v>211</v>
      </c>
      <c r="BZ424">
        <v>0.02</v>
      </c>
      <c r="CA424">
        <f t="shared" si="19"/>
        <v>20</v>
      </c>
      <c r="CB424">
        <v>1</v>
      </c>
      <c r="CD424">
        <v>13</v>
      </c>
      <c r="CE424" t="s">
        <v>235</v>
      </c>
    </row>
    <row r="425" spans="1:83" x14ac:dyDescent="0.2">
      <c r="A425" s="76" t="s">
        <v>21</v>
      </c>
      <c r="B425" s="76">
        <v>1674</v>
      </c>
      <c r="C425" s="76">
        <v>1</v>
      </c>
      <c r="D425" s="77">
        <v>33051</v>
      </c>
      <c r="G425" s="257">
        <v>7</v>
      </c>
      <c r="H425" s="76" t="s">
        <v>211</v>
      </c>
      <c r="I425" s="76">
        <v>1.2999999999999999E-2</v>
      </c>
      <c r="J425" s="76">
        <v>1</v>
      </c>
      <c r="K425" s="76" t="s">
        <v>232</v>
      </c>
      <c r="L425" s="76">
        <v>7</v>
      </c>
      <c r="M425" s="76" t="s">
        <v>235</v>
      </c>
      <c r="BQ425" t="s">
        <v>21</v>
      </c>
      <c r="BR425">
        <v>1674</v>
      </c>
      <c r="BS425">
        <v>1</v>
      </c>
      <c r="BT425" s="2">
        <v>33793</v>
      </c>
      <c r="BU425" s="33">
        <f t="shared" si="18"/>
        <v>1992</v>
      </c>
      <c r="BV425" t="s">
        <v>22</v>
      </c>
      <c r="BW425">
        <v>2</v>
      </c>
      <c r="BX425">
        <v>4</v>
      </c>
      <c r="BY425" t="s">
        <v>211</v>
      </c>
      <c r="BZ425">
        <v>0.02</v>
      </c>
      <c r="CA425">
        <f t="shared" si="19"/>
        <v>20</v>
      </c>
      <c r="CB425">
        <v>1</v>
      </c>
      <c r="CD425">
        <v>13</v>
      </c>
      <c r="CE425" t="s">
        <v>235</v>
      </c>
    </row>
    <row r="426" spans="1:83" x14ac:dyDescent="0.2">
      <c r="A426" s="76" t="s">
        <v>21</v>
      </c>
      <c r="B426" s="76">
        <v>1674</v>
      </c>
      <c r="C426" s="76">
        <v>1</v>
      </c>
      <c r="D426" s="77">
        <v>33051</v>
      </c>
      <c r="G426" s="257">
        <v>9</v>
      </c>
      <c r="H426" s="76" t="s">
        <v>211</v>
      </c>
      <c r="I426" s="76">
        <v>2.4E-2</v>
      </c>
      <c r="J426" s="76">
        <v>1</v>
      </c>
      <c r="K426" s="76" t="s">
        <v>232</v>
      </c>
      <c r="L426" s="76">
        <v>7</v>
      </c>
      <c r="M426" s="76" t="s">
        <v>235</v>
      </c>
      <c r="BQ426" t="s">
        <v>21</v>
      </c>
      <c r="BR426">
        <v>1674</v>
      </c>
      <c r="BS426">
        <v>1</v>
      </c>
      <c r="BT426" s="2">
        <v>33793</v>
      </c>
      <c r="BU426" s="33">
        <f t="shared" si="18"/>
        <v>1992</v>
      </c>
      <c r="BV426" t="s">
        <v>22</v>
      </c>
      <c r="BW426">
        <v>2</v>
      </c>
      <c r="BX426">
        <v>5</v>
      </c>
      <c r="BY426" t="s">
        <v>211</v>
      </c>
      <c r="BZ426">
        <v>2.1000000000000001E-2</v>
      </c>
      <c r="CA426">
        <f t="shared" si="19"/>
        <v>21</v>
      </c>
      <c r="CB426">
        <v>1</v>
      </c>
      <c r="CD426">
        <v>13</v>
      </c>
      <c r="CE426" t="s">
        <v>235</v>
      </c>
    </row>
    <row r="427" spans="1:83" x14ac:dyDescent="0.2">
      <c r="A427" s="76" t="s">
        <v>21</v>
      </c>
      <c r="B427" s="76">
        <v>1674</v>
      </c>
      <c r="C427" s="76">
        <v>1</v>
      </c>
      <c r="D427" s="77">
        <v>33051</v>
      </c>
      <c r="G427" s="257">
        <v>11</v>
      </c>
      <c r="H427" s="76" t="s">
        <v>211</v>
      </c>
      <c r="I427" s="76">
        <v>2.4E-2</v>
      </c>
      <c r="J427" s="76">
        <v>1</v>
      </c>
      <c r="K427" s="76" t="s">
        <v>232</v>
      </c>
      <c r="L427" s="76">
        <v>7</v>
      </c>
      <c r="M427" s="76" t="s">
        <v>235</v>
      </c>
      <c r="BQ427" t="s">
        <v>21</v>
      </c>
      <c r="BR427">
        <v>1674</v>
      </c>
      <c r="BS427">
        <v>1</v>
      </c>
      <c r="BT427" s="2">
        <v>33793</v>
      </c>
      <c r="BU427" s="33">
        <f t="shared" si="18"/>
        <v>1992</v>
      </c>
      <c r="BV427" t="s">
        <v>22</v>
      </c>
      <c r="BW427">
        <v>2</v>
      </c>
      <c r="BX427">
        <v>6</v>
      </c>
      <c r="BY427" t="s">
        <v>211</v>
      </c>
      <c r="BZ427">
        <v>2.4E-2</v>
      </c>
      <c r="CA427">
        <f t="shared" si="19"/>
        <v>24</v>
      </c>
      <c r="CB427">
        <v>1</v>
      </c>
      <c r="CD427">
        <v>13</v>
      </c>
      <c r="CE427" t="s">
        <v>235</v>
      </c>
    </row>
    <row r="428" spans="1:83" x14ac:dyDescent="0.2">
      <c r="A428" s="76" t="s">
        <v>21</v>
      </c>
      <c r="B428" s="76">
        <v>1674</v>
      </c>
      <c r="C428" s="76">
        <v>1</v>
      </c>
      <c r="D428" s="77">
        <v>33051</v>
      </c>
      <c r="G428" s="257">
        <v>13</v>
      </c>
      <c r="H428" s="76" t="s">
        <v>211</v>
      </c>
      <c r="I428" s="76">
        <v>2.5000000000000001E-2</v>
      </c>
      <c r="J428" s="76">
        <v>1</v>
      </c>
      <c r="K428" s="76" t="s">
        <v>232</v>
      </c>
      <c r="L428" s="76">
        <v>7</v>
      </c>
      <c r="M428" s="76" t="s">
        <v>235</v>
      </c>
      <c r="BQ428" t="s">
        <v>21</v>
      </c>
      <c r="BR428">
        <v>1674</v>
      </c>
      <c r="BS428">
        <v>1</v>
      </c>
      <c r="BT428" s="2">
        <v>33793</v>
      </c>
      <c r="BU428" s="33">
        <f t="shared" si="18"/>
        <v>1992</v>
      </c>
      <c r="BV428" t="s">
        <v>22</v>
      </c>
      <c r="BW428">
        <v>2</v>
      </c>
      <c r="BX428">
        <v>7</v>
      </c>
      <c r="BY428" t="s">
        <v>211</v>
      </c>
      <c r="BZ428">
        <v>1.7000000000000001E-2</v>
      </c>
      <c r="CA428">
        <f t="shared" si="19"/>
        <v>17</v>
      </c>
      <c r="CB428">
        <v>1</v>
      </c>
      <c r="CD428">
        <v>13</v>
      </c>
      <c r="CE428" t="s">
        <v>235</v>
      </c>
    </row>
    <row r="429" spans="1:83" x14ac:dyDescent="0.2">
      <c r="A429" s="76" t="s">
        <v>21</v>
      </c>
      <c r="B429" s="76">
        <v>1674</v>
      </c>
      <c r="C429" s="76">
        <v>1</v>
      </c>
      <c r="D429" s="77">
        <v>33078</v>
      </c>
      <c r="G429" s="257">
        <v>1</v>
      </c>
      <c r="H429" s="76" t="s">
        <v>211</v>
      </c>
      <c r="I429" s="76">
        <v>2.5999999999999999E-2</v>
      </c>
      <c r="J429" s="76">
        <v>1</v>
      </c>
      <c r="K429" s="76" t="s">
        <v>232</v>
      </c>
      <c r="L429" s="76">
        <v>7</v>
      </c>
      <c r="M429" s="76" t="s">
        <v>235</v>
      </c>
      <c r="BQ429" t="s">
        <v>21</v>
      </c>
      <c r="BR429">
        <v>1674</v>
      </c>
      <c r="BS429">
        <v>1</v>
      </c>
      <c r="BT429" s="2">
        <v>33793</v>
      </c>
      <c r="BU429" s="33">
        <f t="shared" si="18"/>
        <v>1992</v>
      </c>
      <c r="BV429" t="s">
        <v>22</v>
      </c>
      <c r="BW429">
        <v>2</v>
      </c>
      <c r="BX429">
        <v>8</v>
      </c>
      <c r="BY429" t="s">
        <v>211</v>
      </c>
      <c r="BZ429">
        <v>1.6E-2</v>
      </c>
      <c r="CA429">
        <f t="shared" si="19"/>
        <v>16</v>
      </c>
      <c r="CB429">
        <v>1</v>
      </c>
      <c r="CD429">
        <v>13</v>
      </c>
      <c r="CE429" t="s">
        <v>235</v>
      </c>
    </row>
    <row r="430" spans="1:83" x14ac:dyDescent="0.2">
      <c r="A430" s="76" t="s">
        <v>21</v>
      </c>
      <c r="B430" s="76">
        <v>1674</v>
      </c>
      <c r="C430" s="76">
        <v>1</v>
      </c>
      <c r="D430" s="77">
        <v>33078</v>
      </c>
      <c r="G430" s="257">
        <v>3</v>
      </c>
      <c r="H430" s="76" t="s">
        <v>211</v>
      </c>
      <c r="I430" s="76">
        <v>3.4000000000000002E-2</v>
      </c>
      <c r="J430" s="76">
        <v>1</v>
      </c>
      <c r="K430" s="76" t="s">
        <v>232</v>
      </c>
      <c r="L430" s="76">
        <v>7</v>
      </c>
      <c r="M430" s="76" t="s">
        <v>235</v>
      </c>
      <c r="BQ430" t="s">
        <v>21</v>
      </c>
      <c r="BR430">
        <v>1674</v>
      </c>
      <c r="BS430">
        <v>1</v>
      </c>
      <c r="BT430" s="2">
        <v>33793</v>
      </c>
      <c r="BU430" s="33">
        <f t="shared" si="18"/>
        <v>1992</v>
      </c>
      <c r="BV430" t="s">
        <v>22</v>
      </c>
      <c r="BW430">
        <v>2</v>
      </c>
      <c r="BX430">
        <v>9</v>
      </c>
      <c r="BY430" t="s">
        <v>211</v>
      </c>
      <c r="BZ430">
        <v>1.6E-2</v>
      </c>
      <c r="CA430">
        <f t="shared" si="19"/>
        <v>16</v>
      </c>
      <c r="CB430">
        <v>1</v>
      </c>
      <c r="CD430">
        <v>13</v>
      </c>
      <c r="CE430" t="s">
        <v>235</v>
      </c>
    </row>
    <row r="431" spans="1:83" x14ac:dyDescent="0.2">
      <c r="A431" s="76" t="s">
        <v>21</v>
      </c>
      <c r="B431" s="76">
        <v>1674</v>
      </c>
      <c r="C431" s="76">
        <v>1</v>
      </c>
      <c r="D431" s="77">
        <v>33078</v>
      </c>
      <c r="G431" s="257">
        <v>5</v>
      </c>
      <c r="H431" s="76" t="s">
        <v>211</v>
      </c>
      <c r="I431" s="76">
        <v>2.5000000000000001E-2</v>
      </c>
      <c r="J431" s="76">
        <v>1</v>
      </c>
      <c r="K431" s="76" t="s">
        <v>232</v>
      </c>
      <c r="L431" s="76">
        <v>7</v>
      </c>
      <c r="M431" s="76" t="s">
        <v>235</v>
      </c>
      <c r="BQ431" t="s">
        <v>21</v>
      </c>
      <c r="BR431">
        <v>1674</v>
      </c>
      <c r="BS431">
        <v>1</v>
      </c>
      <c r="BT431" s="2">
        <v>33793</v>
      </c>
      <c r="BU431" s="33">
        <f t="shared" si="18"/>
        <v>1992</v>
      </c>
      <c r="BV431" t="s">
        <v>22</v>
      </c>
      <c r="BW431">
        <v>2</v>
      </c>
      <c r="BX431">
        <v>10</v>
      </c>
      <c r="BY431" t="s">
        <v>211</v>
      </c>
      <c r="BZ431">
        <v>1.7000000000000001E-2</v>
      </c>
      <c r="CA431">
        <f t="shared" si="19"/>
        <v>17</v>
      </c>
      <c r="CB431">
        <v>1</v>
      </c>
      <c r="CD431">
        <v>13</v>
      </c>
      <c r="CE431" t="s">
        <v>235</v>
      </c>
    </row>
    <row r="432" spans="1:83" x14ac:dyDescent="0.2">
      <c r="A432" s="76" t="s">
        <v>21</v>
      </c>
      <c r="B432" s="76">
        <v>1674</v>
      </c>
      <c r="C432" s="76">
        <v>1</v>
      </c>
      <c r="D432" s="77">
        <v>33078</v>
      </c>
      <c r="G432" s="257">
        <v>7</v>
      </c>
      <c r="H432" s="76" t="s">
        <v>211</v>
      </c>
      <c r="I432" s="76">
        <v>2.5000000000000001E-2</v>
      </c>
      <c r="J432" s="76">
        <v>1</v>
      </c>
      <c r="K432" s="76" t="s">
        <v>232</v>
      </c>
      <c r="L432" s="76">
        <v>7</v>
      </c>
      <c r="M432" s="76" t="s">
        <v>235</v>
      </c>
      <c r="BQ432" t="s">
        <v>21</v>
      </c>
      <c r="BR432">
        <v>1674</v>
      </c>
      <c r="BS432">
        <v>1</v>
      </c>
      <c r="BT432" s="2">
        <v>33793</v>
      </c>
      <c r="BU432" s="33">
        <f t="shared" si="18"/>
        <v>1992</v>
      </c>
      <c r="BV432" t="s">
        <v>22</v>
      </c>
      <c r="BW432">
        <v>2</v>
      </c>
      <c r="BX432">
        <v>11</v>
      </c>
      <c r="BY432" t="s">
        <v>211</v>
      </c>
      <c r="BZ432">
        <v>2.1000000000000001E-2</v>
      </c>
      <c r="CA432">
        <f t="shared" si="19"/>
        <v>21</v>
      </c>
      <c r="CB432">
        <v>1</v>
      </c>
      <c r="CD432">
        <v>13</v>
      </c>
      <c r="CE432" t="s">
        <v>235</v>
      </c>
    </row>
    <row r="433" spans="1:83" x14ac:dyDescent="0.2">
      <c r="A433" s="76" t="s">
        <v>21</v>
      </c>
      <c r="B433" s="76">
        <v>1674</v>
      </c>
      <c r="C433" s="76">
        <v>1</v>
      </c>
      <c r="D433" s="77">
        <v>33078</v>
      </c>
      <c r="G433" s="257">
        <v>9</v>
      </c>
      <c r="H433" s="76" t="s">
        <v>211</v>
      </c>
      <c r="I433" s="76">
        <v>3.1E-2</v>
      </c>
      <c r="J433" s="76">
        <v>1</v>
      </c>
      <c r="K433" s="76" t="s">
        <v>232</v>
      </c>
      <c r="L433" s="76">
        <v>7</v>
      </c>
      <c r="M433" s="76" t="s">
        <v>235</v>
      </c>
      <c r="BQ433" t="s">
        <v>21</v>
      </c>
      <c r="BR433">
        <v>1674</v>
      </c>
      <c r="BS433">
        <v>1</v>
      </c>
      <c r="BT433" s="2">
        <v>33793</v>
      </c>
      <c r="BU433" s="33">
        <f t="shared" si="18"/>
        <v>1992</v>
      </c>
      <c r="BV433" t="s">
        <v>22</v>
      </c>
      <c r="BW433">
        <v>2</v>
      </c>
      <c r="BX433">
        <v>12</v>
      </c>
      <c r="BY433" t="s">
        <v>211</v>
      </c>
      <c r="BZ433">
        <v>3.1E-2</v>
      </c>
      <c r="CA433" s="212">
        <f t="shared" si="19"/>
        <v>31</v>
      </c>
      <c r="CB433">
        <v>1</v>
      </c>
      <c r="CD433">
        <v>13</v>
      </c>
      <c r="CE433" t="s">
        <v>235</v>
      </c>
    </row>
    <row r="434" spans="1:83" x14ac:dyDescent="0.2">
      <c r="A434" s="76" t="s">
        <v>21</v>
      </c>
      <c r="B434" s="76">
        <v>1674</v>
      </c>
      <c r="C434" s="76">
        <v>1</v>
      </c>
      <c r="D434" s="77">
        <v>33078</v>
      </c>
      <c r="G434" s="257">
        <v>11</v>
      </c>
      <c r="H434" s="76" t="s">
        <v>211</v>
      </c>
      <c r="I434" s="76">
        <v>2.3E-2</v>
      </c>
      <c r="J434" s="76">
        <v>1</v>
      </c>
      <c r="K434" s="76" t="s">
        <v>232</v>
      </c>
      <c r="L434" s="76">
        <v>7</v>
      </c>
      <c r="M434" s="76" t="s">
        <v>235</v>
      </c>
      <c r="BQ434" t="s">
        <v>21</v>
      </c>
      <c r="BR434">
        <v>1674</v>
      </c>
      <c r="BS434">
        <v>1</v>
      </c>
      <c r="BT434" s="2">
        <v>33793</v>
      </c>
      <c r="BU434" s="33">
        <f t="shared" si="18"/>
        <v>1992</v>
      </c>
      <c r="BV434" t="s">
        <v>22</v>
      </c>
      <c r="BW434">
        <v>2</v>
      </c>
      <c r="BX434">
        <v>13</v>
      </c>
      <c r="BY434" t="s">
        <v>211</v>
      </c>
      <c r="BZ434">
        <v>3.3000000000000002E-2</v>
      </c>
      <c r="CA434" s="212">
        <f t="shared" si="19"/>
        <v>33</v>
      </c>
      <c r="CB434">
        <v>1</v>
      </c>
      <c r="CD434">
        <v>13</v>
      </c>
      <c r="CE434" t="s">
        <v>235</v>
      </c>
    </row>
    <row r="435" spans="1:83" x14ac:dyDescent="0.2">
      <c r="A435" s="76" t="s">
        <v>21</v>
      </c>
      <c r="B435" s="76">
        <v>1674</v>
      </c>
      <c r="C435" s="76">
        <v>1</v>
      </c>
      <c r="D435" s="77">
        <v>33078</v>
      </c>
      <c r="G435" s="257">
        <v>13</v>
      </c>
      <c r="H435" s="76" t="s">
        <v>211</v>
      </c>
      <c r="I435" s="76">
        <v>3.2000000000000001E-2</v>
      </c>
      <c r="J435" s="76">
        <v>1</v>
      </c>
      <c r="K435" s="76" t="s">
        <v>232</v>
      </c>
      <c r="L435" s="76">
        <v>7</v>
      </c>
      <c r="M435" s="76" t="s">
        <v>235</v>
      </c>
      <c r="BQ435" t="s">
        <v>21</v>
      </c>
      <c r="BR435">
        <v>1674</v>
      </c>
      <c r="BS435">
        <v>1</v>
      </c>
      <c r="BT435" s="2">
        <v>33815</v>
      </c>
      <c r="BU435" s="33">
        <f t="shared" si="18"/>
        <v>1992</v>
      </c>
      <c r="BV435" t="s">
        <v>22</v>
      </c>
      <c r="BW435">
        <v>2</v>
      </c>
      <c r="BX435">
        <v>1</v>
      </c>
      <c r="BY435" t="s">
        <v>211</v>
      </c>
      <c r="BZ435">
        <v>1.7999999999999999E-2</v>
      </c>
      <c r="CA435">
        <f t="shared" si="19"/>
        <v>18</v>
      </c>
      <c r="CB435">
        <v>1</v>
      </c>
      <c r="CD435">
        <v>7</v>
      </c>
      <c r="CE435" t="s">
        <v>235</v>
      </c>
    </row>
    <row r="436" spans="1:83" x14ac:dyDescent="0.2">
      <c r="A436" s="76" t="s">
        <v>21</v>
      </c>
      <c r="B436" s="76">
        <v>1674</v>
      </c>
      <c r="C436" s="76">
        <v>1</v>
      </c>
      <c r="D436" s="77">
        <v>33106</v>
      </c>
      <c r="G436" s="257">
        <v>1</v>
      </c>
      <c r="H436" s="76" t="s">
        <v>211</v>
      </c>
      <c r="I436" s="76">
        <v>1.6E-2</v>
      </c>
      <c r="J436" s="76">
        <v>1</v>
      </c>
      <c r="K436" s="76" t="s">
        <v>232</v>
      </c>
      <c r="L436" s="76">
        <v>7</v>
      </c>
      <c r="M436" s="76" t="s">
        <v>235</v>
      </c>
      <c r="BQ436" t="s">
        <v>21</v>
      </c>
      <c r="BR436">
        <v>1674</v>
      </c>
      <c r="BS436">
        <v>1</v>
      </c>
      <c r="BT436" s="2">
        <v>33815</v>
      </c>
      <c r="BU436" s="33">
        <f t="shared" si="18"/>
        <v>1992</v>
      </c>
      <c r="BV436" t="s">
        <v>22</v>
      </c>
      <c r="BW436">
        <v>2</v>
      </c>
      <c r="BX436">
        <v>3</v>
      </c>
      <c r="BY436" t="s">
        <v>211</v>
      </c>
      <c r="BZ436">
        <v>1.7000000000000001E-2</v>
      </c>
      <c r="CA436">
        <f t="shared" si="19"/>
        <v>17</v>
      </c>
      <c r="CB436">
        <v>1</v>
      </c>
      <c r="CD436">
        <v>7</v>
      </c>
      <c r="CE436" t="s">
        <v>235</v>
      </c>
    </row>
    <row r="437" spans="1:83" x14ac:dyDescent="0.2">
      <c r="A437" s="76" t="s">
        <v>21</v>
      </c>
      <c r="B437" s="76">
        <v>1674</v>
      </c>
      <c r="C437" s="76">
        <v>1</v>
      </c>
      <c r="D437" s="77">
        <v>33106</v>
      </c>
      <c r="G437" s="257">
        <v>3</v>
      </c>
      <c r="H437" s="76" t="s">
        <v>211</v>
      </c>
      <c r="I437" s="76">
        <v>2.1000000000000001E-2</v>
      </c>
      <c r="J437" s="76">
        <v>1</v>
      </c>
      <c r="K437" s="76" t="s">
        <v>232</v>
      </c>
      <c r="L437" s="76">
        <v>7</v>
      </c>
      <c r="M437" s="76" t="s">
        <v>235</v>
      </c>
      <c r="BQ437" t="s">
        <v>21</v>
      </c>
      <c r="BR437">
        <v>1674</v>
      </c>
      <c r="BS437">
        <v>1</v>
      </c>
      <c r="BT437" s="2">
        <v>33815</v>
      </c>
      <c r="BU437" s="33">
        <f t="shared" si="18"/>
        <v>1992</v>
      </c>
      <c r="BV437" t="s">
        <v>22</v>
      </c>
      <c r="BW437">
        <v>2</v>
      </c>
      <c r="BX437">
        <v>5</v>
      </c>
      <c r="BY437" t="s">
        <v>211</v>
      </c>
      <c r="BZ437">
        <v>2.1000000000000001E-2</v>
      </c>
      <c r="CA437">
        <f t="shared" si="19"/>
        <v>21</v>
      </c>
      <c r="CB437">
        <v>1</v>
      </c>
      <c r="CD437">
        <v>7</v>
      </c>
      <c r="CE437" t="s">
        <v>235</v>
      </c>
    </row>
    <row r="438" spans="1:83" x14ac:dyDescent="0.2">
      <c r="A438" s="76" t="s">
        <v>21</v>
      </c>
      <c r="B438" s="76">
        <v>1674</v>
      </c>
      <c r="C438" s="76">
        <v>1</v>
      </c>
      <c r="D438" s="77">
        <v>33106</v>
      </c>
      <c r="G438" s="257">
        <v>5</v>
      </c>
      <c r="H438" s="76" t="s">
        <v>211</v>
      </c>
      <c r="I438" s="76">
        <v>0.02</v>
      </c>
      <c r="J438" s="76">
        <v>1</v>
      </c>
      <c r="K438" s="76" t="s">
        <v>232</v>
      </c>
      <c r="L438" s="76">
        <v>7</v>
      </c>
      <c r="M438" s="76" t="s">
        <v>235</v>
      </c>
      <c r="BQ438" t="s">
        <v>21</v>
      </c>
      <c r="BR438">
        <v>1674</v>
      </c>
      <c r="BS438">
        <v>1</v>
      </c>
      <c r="BT438" s="2">
        <v>33815</v>
      </c>
      <c r="BU438" s="33">
        <f t="shared" si="18"/>
        <v>1992</v>
      </c>
      <c r="BV438" t="s">
        <v>22</v>
      </c>
      <c r="BW438">
        <v>2</v>
      </c>
      <c r="BX438">
        <v>7</v>
      </c>
      <c r="BY438" t="s">
        <v>211</v>
      </c>
      <c r="BZ438">
        <v>2.3E-2</v>
      </c>
      <c r="CA438">
        <f t="shared" si="19"/>
        <v>23</v>
      </c>
      <c r="CB438">
        <v>1</v>
      </c>
      <c r="CD438">
        <v>7</v>
      </c>
      <c r="CE438" t="s">
        <v>235</v>
      </c>
    </row>
    <row r="439" spans="1:83" x14ac:dyDescent="0.2">
      <c r="A439" s="76" t="s">
        <v>21</v>
      </c>
      <c r="B439" s="76">
        <v>1674</v>
      </c>
      <c r="C439" s="76">
        <v>1</v>
      </c>
      <c r="D439" s="77">
        <v>33106</v>
      </c>
      <c r="G439" s="257">
        <v>7</v>
      </c>
      <c r="H439" s="76" t="s">
        <v>211</v>
      </c>
      <c r="I439" s="76">
        <v>1.7999999999999999E-2</v>
      </c>
      <c r="J439" s="76">
        <v>1</v>
      </c>
      <c r="K439" s="76" t="s">
        <v>232</v>
      </c>
      <c r="L439" s="76">
        <v>7</v>
      </c>
      <c r="M439" s="76" t="s">
        <v>235</v>
      </c>
      <c r="BQ439" t="s">
        <v>21</v>
      </c>
      <c r="BR439">
        <v>1674</v>
      </c>
      <c r="BS439">
        <v>1</v>
      </c>
      <c r="BT439" s="2">
        <v>33815</v>
      </c>
      <c r="BU439" s="33">
        <f t="shared" si="18"/>
        <v>1992</v>
      </c>
      <c r="BV439" t="s">
        <v>22</v>
      </c>
      <c r="BW439">
        <v>2</v>
      </c>
      <c r="BX439">
        <v>9</v>
      </c>
      <c r="BY439" t="s">
        <v>211</v>
      </c>
      <c r="BZ439">
        <v>1.7999999999999999E-2</v>
      </c>
      <c r="CA439">
        <f t="shared" si="19"/>
        <v>18</v>
      </c>
      <c r="CB439">
        <v>1</v>
      </c>
      <c r="CD439">
        <v>7</v>
      </c>
      <c r="CE439" t="s">
        <v>235</v>
      </c>
    </row>
    <row r="440" spans="1:83" x14ac:dyDescent="0.2">
      <c r="A440" s="76" t="s">
        <v>21</v>
      </c>
      <c r="B440" s="76">
        <v>1674</v>
      </c>
      <c r="C440" s="76">
        <v>1</v>
      </c>
      <c r="D440" s="77">
        <v>33106</v>
      </c>
      <c r="G440" s="257">
        <v>9</v>
      </c>
      <c r="H440" s="76" t="s">
        <v>211</v>
      </c>
      <c r="I440" s="76">
        <v>1.6E-2</v>
      </c>
      <c r="J440" s="76">
        <v>1</v>
      </c>
      <c r="K440" s="76" t="s">
        <v>232</v>
      </c>
      <c r="L440" s="76">
        <v>7</v>
      </c>
      <c r="M440" s="76" t="s">
        <v>235</v>
      </c>
      <c r="BQ440" t="s">
        <v>21</v>
      </c>
      <c r="BR440">
        <v>1674</v>
      </c>
      <c r="BS440">
        <v>1</v>
      </c>
      <c r="BT440" s="2">
        <v>33815</v>
      </c>
      <c r="BU440" s="33">
        <f t="shared" si="18"/>
        <v>1992</v>
      </c>
      <c r="BV440" t="s">
        <v>22</v>
      </c>
      <c r="BW440">
        <v>2</v>
      </c>
      <c r="BX440">
        <v>11</v>
      </c>
      <c r="BY440" t="s">
        <v>211</v>
      </c>
      <c r="BZ440">
        <v>0.02</v>
      </c>
      <c r="CA440">
        <f t="shared" si="19"/>
        <v>20</v>
      </c>
      <c r="CB440">
        <v>1</v>
      </c>
      <c r="CD440">
        <v>7</v>
      </c>
      <c r="CE440" t="s">
        <v>235</v>
      </c>
    </row>
    <row r="441" spans="1:83" x14ac:dyDescent="0.2">
      <c r="A441" s="76" t="s">
        <v>21</v>
      </c>
      <c r="B441" s="76">
        <v>1674</v>
      </c>
      <c r="C441" s="76">
        <v>1</v>
      </c>
      <c r="D441" s="77">
        <v>33106</v>
      </c>
      <c r="G441" s="257">
        <v>11</v>
      </c>
      <c r="H441" s="76" t="s">
        <v>211</v>
      </c>
      <c r="I441" s="76">
        <v>1.6E-2</v>
      </c>
      <c r="J441" s="76">
        <v>1</v>
      </c>
      <c r="K441" s="76" t="s">
        <v>232</v>
      </c>
      <c r="L441" s="76">
        <v>7</v>
      </c>
      <c r="M441" s="76" t="s">
        <v>235</v>
      </c>
      <c r="BQ441" t="s">
        <v>21</v>
      </c>
      <c r="BR441">
        <v>1674</v>
      </c>
      <c r="BS441">
        <v>1</v>
      </c>
      <c r="BT441" s="2">
        <v>33815</v>
      </c>
      <c r="BU441" s="33">
        <f t="shared" si="18"/>
        <v>1992</v>
      </c>
      <c r="BV441" t="s">
        <v>22</v>
      </c>
      <c r="BW441">
        <v>2</v>
      </c>
      <c r="BX441">
        <v>13</v>
      </c>
      <c r="BY441" t="s">
        <v>211</v>
      </c>
      <c r="BZ441">
        <v>3.4000000000000002E-2</v>
      </c>
      <c r="CA441" s="212">
        <f t="shared" si="19"/>
        <v>34</v>
      </c>
      <c r="CB441">
        <v>1</v>
      </c>
      <c r="CD441">
        <v>7</v>
      </c>
      <c r="CE441" t="s">
        <v>235</v>
      </c>
    </row>
    <row r="442" spans="1:83" x14ac:dyDescent="0.2">
      <c r="A442" s="76" t="s">
        <v>21</v>
      </c>
      <c r="B442" s="76">
        <v>1674</v>
      </c>
      <c r="C442" s="76">
        <v>1</v>
      </c>
      <c r="D442" s="77">
        <v>33106</v>
      </c>
      <c r="G442" s="257">
        <v>13</v>
      </c>
      <c r="H442" s="76" t="s">
        <v>211</v>
      </c>
      <c r="I442" s="76">
        <v>2.8000000000000001E-2</v>
      </c>
      <c r="J442" s="76">
        <v>1</v>
      </c>
      <c r="K442" s="76" t="s">
        <v>232</v>
      </c>
      <c r="L442" s="76">
        <v>7</v>
      </c>
      <c r="M442" s="76" t="s">
        <v>235</v>
      </c>
      <c r="BQ442" t="s">
        <v>21</v>
      </c>
      <c r="BR442">
        <v>1674</v>
      </c>
      <c r="BS442">
        <v>1</v>
      </c>
      <c r="BT442" s="2">
        <v>33829</v>
      </c>
      <c r="BU442" s="33">
        <f t="shared" si="18"/>
        <v>1992</v>
      </c>
      <c r="BV442" t="s">
        <v>22</v>
      </c>
      <c r="BW442">
        <v>2</v>
      </c>
      <c r="BX442">
        <v>1</v>
      </c>
      <c r="BY442" t="s">
        <v>211</v>
      </c>
      <c r="BZ442">
        <v>1.9E-2</v>
      </c>
      <c r="CA442">
        <f t="shared" si="19"/>
        <v>19</v>
      </c>
      <c r="CB442">
        <v>1</v>
      </c>
      <c r="CD442">
        <v>12</v>
      </c>
      <c r="CE442" t="s">
        <v>235</v>
      </c>
    </row>
    <row r="443" spans="1:83" x14ac:dyDescent="0.2">
      <c r="A443" s="76" t="s">
        <v>21</v>
      </c>
      <c r="B443" s="76">
        <v>1674</v>
      </c>
      <c r="C443" s="76">
        <v>1</v>
      </c>
      <c r="D443" s="77">
        <v>33437</v>
      </c>
      <c r="E443" s="76" t="s">
        <v>22</v>
      </c>
      <c r="F443" s="76">
        <v>2</v>
      </c>
      <c r="G443" s="257">
        <v>3</v>
      </c>
      <c r="H443" s="76" t="s">
        <v>211</v>
      </c>
      <c r="I443" s="76">
        <v>1.6E-2</v>
      </c>
      <c r="J443" s="76">
        <v>1</v>
      </c>
      <c r="K443" s="76" t="s">
        <v>232</v>
      </c>
      <c r="L443" s="76">
        <v>3</v>
      </c>
      <c r="M443" s="76" t="s">
        <v>235</v>
      </c>
      <c r="BQ443" t="s">
        <v>21</v>
      </c>
      <c r="BR443">
        <v>1674</v>
      </c>
      <c r="BS443">
        <v>1</v>
      </c>
      <c r="BT443" s="2">
        <v>33829</v>
      </c>
      <c r="BU443" s="33">
        <f t="shared" si="18"/>
        <v>1992</v>
      </c>
      <c r="BV443" t="s">
        <v>22</v>
      </c>
      <c r="BW443">
        <v>2</v>
      </c>
      <c r="BX443">
        <v>2</v>
      </c>
      <c r="BY443" t="s">
        <v>211</v>
      </c>
      <c r="BZ443">
        <v>1.9E-2</v>
      </c>
      <c r="CA443">
        <f t="shared" si="19"/>
        <v>19</v>
      </c>
      <c r="CB443">
        <v>1</v>
      </c>
      <c r="CD443">
        <v>12</v>
      </c>
      <c r="CE443" t="s">
        <v>235</v>
      </c>
    </row>
    <row r="444" spans="1:83" x14ac:dyDescent="0.2">
      <c r="A444" s="76" t="s">
        <v>21</v>
      </c>
      <c r="B444" s="76">
        <v>1674</v>
      </c>
      <c r="C444" s="76">
        <v>1</v>
      </c>
      <c r="D444" s="77">
        <v>33437</v>
      </c>
      <c r="E444" s="76" t="s">
        <v>22</v>
      </c>
      <c r="F444" s="76">
        <v>2</v>
      </c>
      <c r="G444" s="257">
        <v>7</v>
      </c>
      <c r="H444" s="76" t="s">
        <v>211</v>
      </c>
      <c r="I444" s="76">
        <v>1.4999999999999999E-2</v>
      </c>
      <c r="J444" s="76">
        <v>1</v>
      </c>
      <c r="K444" s="76" t="s">
        <v>232</v>
      </c>
      <c r="L444" s="76">
        <v>3</v>
      </c>
      <c r="M444" s="76" t="s">
        <v>235</v>
      </c>
      <c r="BQ444" t="s">
        <v>21</v>
      </c>
      <c r="BR444">
        <v>1674</v>
      </c>
      <c r="BS444">
        <v>1</v>
      </c>
      <c r="BT444" s="2">
        <v>33829</v>
      </c>
      <c r="BU444" s="33">
        <f t="shared" si="18"/>
        <v>1992</v>
      </c>
      <c r="BV444" t="s">
        <v>22</v>
      </c>
      <c r="BW444">
        <v>2</v>
      </c>
      <c r="BX444">
        <v>3</v>
      </c>
      <c r="BY444" t="s">
        <v>211</v>
      </c>
      <c r="BZ444">
        <v>1.6E-2</v>
      </c>
      <c r="CA444">
        <f t="shared" si="19"/>
        <v>16</v>
      </c>
      <c r="CB444">
        <v>1</v>
      </c>
      <c r="CD444">
        <v>12</v>
      </c>
      <c r="CE444" t="s">
        <v>235</v>
      </c>
    </row>
    <row r="445" spans="1:83" x14ac:dyDescent="0.2">
      <c r="A445" s="76" t="s">
        <v>21</v>
      </c>
      <c r="B445" s="76">
        <v>1674</v>
      </c>
      <c r="C445" s="76">
        <v>1</v>
      </c>
      <c r="D445" s="77">
        <v>33437</v>
      </c>
      <c r="E445" s="76" t="s">
        <v>22</v>
      </c>
      <c r="F445" s="76">
        <v>2</v>
      </c>
      <c r="G445" s="257">
        <v>13</v>
      </c>
      <c r="H445" s="76" t="s">
        <v>211</v>
      </c>
      <c r="I445" s="76">
        <v>2.3E-2</v>
      </c>
      <c r="J445" s="76">
        <v>1</v>
      </c>
      <c r="K445" s="76" t="s">
        <v>232</v>
      </c>
      <c r="L445" s="76">
        <v>3</v>
      </c>
      <c r="M445" s="76" t="s">
        <v>235</v>
      </c>
      <c r="BQ445" t="s">
        <v>21</v>
      </c>
      <c r="BR445">
        <v>1674</v>
      </c>
      <c r="BS445">
        <v>1</v>
      </c>
      <c r="BT445" s="2">
        <v>33829</v>
      </c>
      <c r="BU445" s="33">
        <f t="shared" si="18"/>
        <v>1992</v>
      </c>
      <c r="BV445" t="s">
        <v>22</v>
      </c>
      <c r="BW445">
        <v>2</v>
      </c>
      <c r="BX445">
        <v>4</v>
      </c>
      <c r="BY445" t="s">
        <v>211</v>
      </c>
      <c r="BZ445">
        <v>1.7999999999999999E-2</v>
      </c>
      <c r="CA445">
        <f t="shared" si="19"/>
        <v>18</v>
      </c>
      <c r="CB445">
        <v>1</v>
      </c>
      <c r="CD445">
        <v>12</v>
      </c>
      <c r="CE445" t="s">
        <v>235</v>
      </c>
    </row>
    <row r="446" spans="1:83" x14ac:dyDescent="0.2">
      <c r="A446" s="76" t="s">
        <v>21</v>
      </c>
      <c r="B446" s="76">
        <v>1674</v>
      </c>
      <c r="C446" s="76">
        <v>1</v>
      </c>
      <c r="D446" s="77">
        <v>33448</v>
      </c>
      <c r="E446" s="76" t="s">
        <v>22</v>
      </c>
      <c r="F446" s="76">
        <v>2</v>
      </c>
      <c r="G446" s="257">
        <v>1</v>
      </c>
      <c r="H446" s="76" t="s">
        <v>211</v>
      </c>
      <c r="I446" s="76">
        <v>1.2999999999999999E-2</v>
      </c>
      <c r="J446" s="76">
        <v>1</v>
      </c>
      <c r="K446" s="76" t="s">
        <v>232</v>
      </c>
      <c r="L446" s="76">
        <v>7</v>
      </c>
      <c r="M446" s="76" t="s">
        <v>235</v>
      </c>
      <c r="BQ446" t="s">
        <v>21</v>
      </c>
      <c r="BR446">
        <v>1674</v>
      </c>
      <c r="BS446">
        <v>1</v>
      </c>
      <c r="BT446" s="2">
        <v>33829</v>
      </c>
      <c r="BU446" s="33">
        <f t="shared" si="18"/>
        <v>1992</v>
      </c>
      <c r="BV446" t="s">
        <v>22</v>
      </c>
      <c r="BW446">
        <v>2</v>
      </c>
      <c r="BX446">
        <v>5</v>
      </c>
      <c r="BY446" t="s">
        <v>211</v>
      </c>
      <c r="BZ446">
        <v>1.6E-2</v>
      </c>
      <c r="CA446">
        <f t="shared" si="19"/>
        <v>16</v>
      </c>
      <c r="CB446">
        <v>1</v>
      </c>
      <c r="CD446">
        <v>12</v>
      </c>
      <c r="CE446" t="s">
        <v>235</v>
      </c>
    </row>
    <row r="447" spans="1:83" x14ac:dyDescent="0.2">
      <c r="A447" s="76" t="s">
        <v>21</v>
      </c>
      <c r="B447" s="76">
        <v>1674</v>
      </c>
      <c r="C447" s="76">
        <v>1</v>
      </c>
      <c r="D447" s="77">
        <v>33448</v>
      </c>
      <c r="E447" s="76" t="s">
        <v>22</v>
      </c>
      <c r="F447" s="76">
        <v>2</v>
      </c>
      <c r="G447" s="257">
        <v>3</v>
      </c>
      <c r="H447" s="76" t="s">
        <v>211</v>
      </c>
      <c r="I447" s="76">
        <v>1.7999999999999999E-2</v>
      </c>
      <c r="J447" s="76">
        <v>1</v>
      </c>
      <c r="K447" s="76" t="s">
        <v>232</v>
      </c>
      <c r="L447" s="76">
        <v>7</v>
      </c>
      <c r="M447" s="76" t="s">
        <v>235</v>
      </c>
      <c r="BQ447" t="s">
        <v>21</v>
      </c>
      <c r="BR447">
        <v>1674</v>
      </c>
      <c r="BS447">
        <v>1</v>
      </c>
      <c r="BT447" s="2">
        <v>33829</v>
      </c>
      <c r="BU447" s="33">
        <f t="shared" si="18"/>
        <v>1992</v>
      </c>
      <c r="BV447" t="s">
        <v>22</v>
      </c>
      <c r="BW447">
        <v>2</v>
      </c>
      <c r="BX447">
        <v>6</v>
      </c>
      <c r="BY447" t="s">
        <v>211</v>
      </c>
      <c r="BZ447">
        <v>1.4E-2</v>
      </c>
      <c r="CA447">
        <f t="shared" si="19"/>
        <v>14</v>
      </c>
      <c r="CB447">
        <v>1</v>
      </c>
      <c r="CD447">
        <v>12</v>
      </c>
      <c r="CE447" t="s">
        <v>235</v>
      </c>
    </row>
    <row r="448" spans="1:83" x14ac:dyDescent="0.2">
      <c r="A448" s="76" t="s">
        <v>21</v>
      </c>
      <c r="B448" s="76">
        <v>1674</v>
      </c>
      <c r="C448" s="76">
        <v>1</v>
      </c>
      <c r="D448" s="77">
        <v>33448</v>
      </c>
      <c r="E448" s="76" t="s">
        <v>22</v>
      </c>
      <c r="F448" s="76">
        <v>2</v>
      </c>
      <c r="G448" s="257">
        <v>5</v>
      </c>
      <c r="H448" s="76" t="s">
        <v>211</v>
      </c>
      <c r="I448" s="76">
        <v>1.2999999999999999E-2</v>
      </c>
      <c r="J448" s="76">
        <v>1</v>
      </c>
      <c r="K448" s="76" t="s">
        <v>232</v>
      </c>
      <c r="L448" s="76">
        <v>7</v>
      </c>
      <c r="M448" s="76" t="s">
        <v>235</v>
      </c>
      <c r="BQ448" t="s">
        <v>21</v>
      </c>
      <c r="BR448">
        <v>1674</v>
      </c>
      <c r="BS448">
        <v>1</v>
      </c>
      <c r="BT448" s="2">
        <v>33829</v>
      </c>
      <c r="BU448" s="33">
        <f t="shared" si="18"/>
        <v>1992</v>
      </c>
      <c r="BV448" t="s">
        <v>22</v>
      </c>
      <c r="BW448">
        <v>2</v>
      </c>
      <c r="BX448">
        <v>7</v>
      </c>
      <c r="BY448" t="s">
        <v>211</v>
      </c>
      <c r="BZ448">
        <v>0.02</v>
      </c>
      <c r="CA448">
        <f t="shared" si="19"/>
        <v>20</v>
      </c>
      <c r="CB448">
        <v>1</v>
      </c>
      <c r="CD448">
        <v>12</v>
      </c>
      <c r="CE448" t="s">
        <v>235</v>
      </c>
    </row>
    <row r="449" spans="1:85" x14ac:dyDescent="0.2">
      <c r="A449" s="76" t="s">
        <v>21</v>
      </c>
      <c r="B449" s="76">
        <v>1674</v>
      </c>
      <c r="C449" s="76">
        <v>1</v>
      </c>
      <c r="D449" s="77">
        <v>33448</v>
      </c>
      <c r="E449" s="76" t="s">
        <v>22</v>
      </c>
      <c r="F449" s="76">
        <v>2</v>
      </c>
      <c r="G449" s="257">
        <v>7</v>
      </c>
      <c r="H449" s="76" t="s">
        <v>211</v>
      </c>
      <c r="I449" s="76">
        <v>1.4999999999999999E-2</v>
      </c>
      <c r="J449" s="76">
        <v>1</v>
      </c>
      <c r="K449" s="76" t="s">
        <v>232</v>
      </c>
      <c r="L449" s="76">
        <v>7</v>
      </c>
      <c r="M449" s="76" t="s">
        <v>235</v>
      </c>
      <c r="BQ449" t="s">
        <v>21</v>
      </c>
      <c r="BR449">
        <v>1674</v>
      </c>
      <c r="BS449">
        <v>1</v>
      </c>
      <c r="BT449" s="2">
        <v>33829</v>
      </c>
      <c r="BU449" s="33">
        <f t="shared" si="18"/>
        <v>1992</v>
      </c>
      <c r="BV449" t="s">
        <v>22</v>
      </c>
      <c r="BW449">
        <v>2</v>
      </c>
      <c r="BX449">
        <v>8</v>
      </c>
      <c r="BY449" t="s">
        <v>211</v>
      </c>
      <c r="BZ449">
        <v>1.6E-2</v>
      </c>
      <c r="CA449">
        <f t="shared" si="19"/>
        <v>16</v>
      </c>
      <c r="CB449">
        <v>1</v>
      </c>
      <c r="CD449">
        <v>12</v>
      </c>
      <c r="CE449" t="s">
        <v>235</v>
      </c>
    </row>
    <row r="450" spans="1:85" x14ac:dyDescent="0.2">
      <c r="A450" s="76" t="s">
        <v>21</v>
      </c>
      <c r="B450" s="76">
        <v>1674</v>
      </c>
      <c r="C450" s="76">
        <v>1</v>
      </c>
      <c r="D450" s="77">
        <v>33448</v>
      </c>
      <c r="E450" s="76" t="s">
        <v>22</v>
      </c>
      <c r="F450" s="76">
        <v>2</v>
      </c>
      <c r="G450" s="257">
        <v>9</v>
      </c>
      <c r="H450" s="76" t="s">
        <v>211</v>
      </c>
      <c r="I450" s="76">
        <v>1.7000000000000001E-2</v>
      </c>
      <c r="J450" s="76">
        <v>1</v>
      </c>
      <c r="K450" s="76" t="s">
        <v>232</v>
      </c>
      <c r="L450" s="76">
        <v>7</v>
      </c>
      <c r="M450" s="76" t="s">
        <v>235</v>
      </c>
      <c r="BQ450" t="s">
        <v>21</v>
      </c>
      <c r="BR450">
        <v>1674</v>
      </c>
      <c r="BS450">
        <v>1</v>
      </c>
      <c r="BT450" s="2">
        <v>33829</v>
      </c>
      <c r="BU450" s="33">
        <f t="shared" si="18"/>
        <v>1992</v>
      </c>
      <c r="BV450" t="s">
        <v>22</v>
      </c>
      <c r="BW450">
        <v>2</v>
      </c>
      <c r="BX450">
        <v>9</v>
      </c>
      <c r="BY450" t="s">
        <v>211</v>
      </c>
      <c r="BZ450">
        <v>1.7000000000000001E-2</v>
      </c>
      <c r="CA450">
        <f t="shared" si="19"/>
        <v>17</v>
      </c>
      <c r="CB450">
        <v>1</v>
      </c>
      <c r="CD450">
        <v>12</v>
      </c>
      <c r="CE450" t="s">
        <v>235</v>
      </c>
    </row>
    <row r="451" spans="1:85" x14ac:dyDescent="0.2">
      <c r="A451" s="76" t="s">
        <v>21</v>
      </c>
      <c r="B451" s="76">
        <v>1674</v>
      </c>
      <c r="C451" s="76">
        <v>1</v>
      </c>
      <c r="D451" s="77">
        <v>33448</v>
      </c>
      <c r="E451" s="76" t="s">
        <v>22</v>
      </c>
      <c r="F451" s="76">
        <v>2</v>
      </c>
      <c r="G451" s="257">
        <v>11</v>
      </c>
      <c r="H451" s="76" t="s">
        <v>211</v>
      </c>
      <c r="I451" s="76">
        <v>2.3E-2</v>
      </c>
      <c r="J451" s="76">
        <v>1</v>
      </c>
      <c r="K451" s="76" t="s">
        <v>232</v>
      </c>
      <c r="L451" s="76">
        <v>7</v>
      </c>
      <c r="M451" s="76" t="s">
        <v>235</v>
      </c>
      <c r="BQ451" t="s">
        <v>21</v>
      </c>
      <c r="BR451">
        <v>1674</v>
      </c>
      <c r="BS451">
        <v>1</v>
      </c>
      <c r="BT451" s="2">
        <v>33829</v>
      </c>
      <c r="BU451" s="33">
        <f t="shared" si="18"/>
        <v>1992</v>
      </c>
      <c r="BV451" t="s">
        <v>22</v>
      </c>
      <c r="BW451">
        <v>2</v>
      </c>
      <c r="BX451">
        <v>10</v>
      </c>
      <c r="BY451" t="s">
        <v>211</v>
      </c>
      <c r="BZ451">
        <v>0.02</v>
      </c>
      <c r="CA451">
        <f t="shared" si="19"/>
        <v>20</v>
      </c>
      <c r="CB451">
        <v>1</v>
      </c>
      <c r="CD451">
        <v>12</v>
      </c>
      <c r="CE451" t="s">
        <v>235</v>
      </c>
    </row>
    <row r="452" spans="1:85" x14ac:dyDescent="0.2">
      <c r="A452" s="76" t="s">
        <v>21</v>
      </c>
      <c r="B452" s="76">
        <v>1674</v>
      </c>
      <c r="C452" s="76">
        <v>1</v>
      </c>
      <c r="D452" s="77">
        <v>33448</v>
      </c>
      <c r="E452" s="76" t="s">
        <v>22</v>
      </c>
      <c r="F452" s="76">
        <v>2</v>
      </c>
      <c r="G452" s="257">
        <v>13</v>
      </c>
      <c r="H452" s="76" t="s">
        <v>211</v>
      </c>
      <c r="I452" s="76">
        <v>3.1E-2</v>
      </c>
      <c r="J452" s="76">
        <v>1</v>
      </c>
      <c r="K452" s="76" t="s">
        <v>232</v>
      </c>
      <c r="L452" s="76">
        <v>7</v>
      </c>
      <c r="M452" s="76" t="s">
        <v>235</v>
      </c>
      <c r="BQ452" t="s">
        <v>21</v>
      </c>
      <c r="BR452">
        <v>1674</v>
      </c>
      <c r="BS452">
        <v>1</v>
      </c>
      <c r="BT452" s="2">
        <v>33829</v>
      </c>
      <c r="BU452" s="33">
        <f t="shared" ref="BU452:BU486" si="20">YEAR(BT452)</f>
        <v>1992</v>
      </c>
      <c r="BV452" t="s">
        <v>22</v>
      </c>
      <c r="BW452">
        <v>2</v>
      </c>
      <c r="BX452">
        <v>11</v>
      </c>
      <c r="BY452" t="s">
        <v>211</v>
      </c>
      <c r="BZ452">
        <v>0.02</v>
      </c>
      <c r="CA452">
        <f t="shared" ref="CA452:CA486" si="21">BZ452*1000</f>
        <v>20</v>
      </c>
      <c r="CB452">
        <v>1</v>
      </c>
      <c r="CD452">
        <v>12</v>
      </c>
      <c r="CE452" t="s">
        <v>235</v>
      </c>
    </row>
    <row r="453" spans="1:85" x14ac:dyDescent="0.2">
      <c r="A453" s="76" t="s">
        <v>21</v>
      </c>
      <c r="B453" s="76">
        <v>1674</v>
      </c>
      <c r="C453" s="76">
        <v>1</v>
      </c>
      <c r="D453" s="77">
        <v>33471</v>
      </c>
      <c r="E453" s="76" t="s">
        <v>22</v>
      </c>
      <c r="F453" s="76">
        <v>2</v>
      </c>
      <c r="G453" s="257">
        <v>1</v>
      </c>
      <c r="H453" s="76" t="s">
        <v>211</v>
      </c>
      <c r="I453" s="76">
        <v>2.1000000000000001E-2</v>
      </c>
      <c r="J453" s="76">
        <v>1</v>
      </c>
      <c r="K453" s="76" t="s">
        <v>232</v>
      </c>
      <c r="L453" s="76">
        <v>6</v>
      </c>
      <c r="M453" s="76" t="s">
        <v>235</v>
      </c>
      <c r="BQ453" t="s">
        <v>21</v>
      </c>
      <c r="BR453">
        <v>1674</v>
      </c>
      <c r="BS453">
        <v>1</v>
      </c>
      <c r="BT453" s="2">
        <v>33829</v>
      </c>
      <c r="BU453" s="33">
        <f t="shared" si="20"/>
        <v>1992</v>
      </c>
      <c r="BV453" t="s">
        <v>22</v>
      </c>
      <c r="BW453">
        <v>2</v>
      </c>
      <c r="BX453">
        <v>12</v>
      </c>
      <c r="BY453" t="s">
        <v>211</v>
      </c>
      <c r="BZ453">
        <v>2.3E-2</v>
      </c>
      <c r="CA453">
        <f t="shared" si="21"/>
        <v>23</v>
      </c>
      <c r="CB453">
        <v>1</v>
      </c>
      <c r="CD453">
        <v>12</v>
      </c>
      <c r="CE453" t="s">
        <v>235</v>
      </c>
    </row>
    <row r="454" spans="1:85" x14ac:dyDescent="0.2">
      <c r="A454" s="76" t="s">
        <v>21</v>
      </c>
      <c r="B454" s="76">
        <v>1674</v>
      </c>
      <c r="C454" s="76">
        <v>1</v>
      </c>
      <c r="D454" s="77">
        <v>33471</v>
      </c>
      <c r="E454" s="76" t="s">
        <v>22</v>
      </c>
      <c r="F454" s="76">
        <v>2</v>
      </c>
      <c r="G454" s="257">
        <v>3</v>
      </c>
      <c r="H454" s="76" t="s">
        <v>211</v>
      </c>
      <c r="I454" s="76">
        <v>2.3E-2</v>
      </c>
      <c r="J454" s="76">
        <v>1</v>
      </c>
      <c r="K454" s="76" t="s">
        <v>232</v>
      </c>
      <c r="L454" s="76">
        <v>6</v>
      </c>
      <c r="M454" s="76" t="s">
        <v>235</v>
      </c>
      <c r="BQ454" t="s">
        <v>21</v>
      </c>
      <c r="BR454">
        <v>1674</v>
      </c>
      <c r="BS454">
        <v>1</v>
      </c>
      <c r="BT454" s="2">
        <v>33862</v>
      </c>
      <c r="BU454" s="33">
        <f t="shared" si="20"/>
        <v>1992</v>
      </c>
      <c r="BV454" t="s">
        <v>22</v>
      </c>
      <c r="BW454">
        <v>2</v>
      </c>
      <c r="BX454">
        <v>1</v>
      </c>
      <c r="BY454" t="s">
        <v>211</v>
      </c>
      <c r="BZ454">
        <v>1.4999999999999999E-2</v>
      </c>
      <c r="CA454">
        <f t="shared" si="21"/>
        <v>15</v>
      </c>
      <c r="CB454">
        <v>1</v>
      </c>
      <c r="CD454">
        <v>14</v>
      </c>
      <c r="CE454" t="s">
        <v>235</v>
      </c>
    </row>
    <row r="455" spans="1:85" x14ac:dyDescent="0.2">
      <c r="A455" s="76" t="s">
        <v>21</v>
      </c>
      <c r="B455" s="76">
        <v>1674</v>
      </c>
      <c r="C455" s="76">
        <v>1</v>
      </c>
      <c r="D455" s="77">
        <v>33471</v>
      </c>
      <c r="E455" s="76" t="s">
        <v>22</v>
      </c>
      <c r="F455" s="76">
        <v>2</v>
      </c>
      <c r="G455" s="257">
        <v>5</v>
      </c>
      <c r="H455" s="76" t="s">
        <v>211</v>
      </c>
      <c r="I455" s="76">
        <v>2.1000000000000001E-2</v>
      </c>
      <c r="J455" s="76">
        <v>1</v>
      </c>
      <c r="K455" s="76" t="s">
        <v>232</v>
      </c>
      <c r="L455" s="76">
        <v>6</v>
      </c>
      <c r="M455" s="76" t="s">
        <v>235</v>
      </c>
      <c r="BQ455" t="s">
        <v>21</v>
      </c>
      <c r="BR455">
        <v>1674</v>
      </c>
      <c r="BS455">
        <v>1</v>
      </c>
      <c r="BT455" s="2">
        <v>33862</v>
      </c>
      <c r="BU455" s="33">
        <f t="shared" si="20"/>
        <v>1992</v>
      </c>
      <c r="BV455" t="s">
        <v>22</v>
      </c>
      <c r="BW455">
        <v>2</v>
      </c>
      <c r="BX455">
        <v>2</v>
      </c>
      <c r="BY455" t="s">
        <v>211</v>
      </c>
      <c r="BZ455">
        <v>1.6E-2</v>
      </c>
      <c r="CA455">
        <f t="shared" si="21"/>
        <v>16</v>
      </c>
      <c r="CB455">
        <v>1</v>
      </c>
      <c r="CD455">
        <v>14</v>
      </c>
      <c r="CE455" t="s">
        <v>235</v>
      </c>
    </row>
    <row r="456" spans="1:85" x14ac:dyDescent="0.2">
      <c r="A456" s="76" t="s">
        <v>21</v>
      </c>
      <c r="B456" s="76">
        <v>1674</v>
      </c>
      <c r="C456" s="76">
        <v>1</v>
      </c>
      <c r="D456" s="77">
        <v>33471</v>
      </c>
      <c r="E456" s="76" t="s">
        <v>22</v>
      </c>
      <c r="F456" s="76">
        <v>2</v>
      </c>
      <c r="G456" s="257">
        <v>7</v>
      </c>
      <c r="H456" s="76" t="s">
        <v>211</v>
      </c>
      <c r="I456" s="76">
        <v>2.5999999999999999E-2</v>
      </c>
      <c r="J456" s="76">
        <v>1</v>
      </c>
      <c r="K456" s="76" t="s">
        <v>232</v>
      </c>
      <c r="L456" s="76">
        <v>6</v>
      </c>
      <c r="M456" s="76" t="s">
        <v>235</v>
      </c>
      <c r="BQ456" t="s">
        <v>21</v>
      </c>
      <c r="BR456">
        <v>1674</v>
      </c>
      <c r="BS456">
        <v>1</v>
      </c>
      <c r="BT456" s="2">
        <v>33862</v>
      </c>
      <c r="BU456" s="33">
        <f t="shared" si="20"/>
        <v>1992</v>
      </c>
      <c r="BV456" t="s">
        <v>22</v>
      </c>
      <c r="BW456">
        <v>2</v>
      </c>
      <c r="BX456">
        <v>3</v>
      </c>
      <c r="BY456" t="s">
        <v>211</v>
      </c>
      <c r="BZ456">
        <v>1.7999999999999999E-2</v>
      </c>
      <c r="CA456">
        <f t="shared" si="21"/>
        <v>18</v>
      </c>
      <c r="CB456">
        <v>1</v>
      </c>
      <c r="CD456">
        <v>14</v>
      </c>
      <c r="CE456" t="s">
        <v>235</v>
      </c>
    </row>
    <row r="457" spans="1:85" x14ac:dyDescent="0.2">
      <c r="A457" s="76" t="s">
        <v>21</v>
      </c>
      <c r="B457" s="76">
        <v>1674</v>
      </c>
      <c r="C457" s="76">
        <v>1</v>
      </c>
      <c r="D457" s="77">
        <v>33471</v>
      </c>
      <c r="E457" s="76" t="s">
        <v>22</v>
      </c>
      <c r="F457" s="76">
        <v>2</v>
      </c>
      <c r="G457" s="257">
        <v>9</v>
      </c>
      <c r="H457" s="76" t="s">
        <v>211</v>
      </c>
      <c r="I457" s="76">
        <v>2.1999999999999999E-2</v>
      </c>
      <c r="J457" s="76">
        <v>1</v>
      </c>
      <c r="K457" s="76" t="s">
        <v>232</v>
      </c>
      <c r="L457" s="76">
        <v>6</v>
      </c>
      <c r="M457" s="76" t="s">
        <v>235</v>
      </c>
      <c r="BQ457" t="s">
        <v>21</v>
      </c>
      <c r="BR457">
        <v>1674</v>
      </c>
      <c r="BS457">
        <v>1</v>
      </c>
      <c r="BT457" s="2">
        <v>33862</v>
      </c>
      <c r="BU457" s="33">
        <f t="shared" si="20"/>
        <v>1992</v>
      </c>
      <c r="BV457" t="s">
        <v>22</v>
      </c>
      <c r="BW457">
        <v>2</v>
      </c>
      <c r="BX457">
        <v>4</v>
      </c>
      <c r="BY457" t="s">
        <v>211</v>
      </c>
      <c r="BZ457">
        <v>1.7000000000000001E-2</v>
      </c>
      <c r="CA457">
        <f t="shared" si="21"/>
        <v>17</v>
      </c>
      <c r="CB457">
        <v>1</v>
      </c>
      <c r="CD457">
        <v>14</v>
      </c>
      <c r="CE457" t="s">
        <v>235</v>
      </c>
    </row>
    <row r="458" spans="1:85" x14ac:dyDescent="0.2">
      <c r="A458" s="76" t="s">
        <v>21</v>
      </c>
      <c r="B458" s="76">
        <v>1674</v>
      </c>
      <c r="C458" s="76">
        <v>1</v>
      </c>
      <c r="D458" s="77">
        <v>33471</v>
      </c>
      <c r="E458" s="76" t="s">
        <v>22</v>
      </c>
      <c r="F458" s="76">
        <v>2</v>
      </c>
      <c r="G458" s="257">
        <v>11</v>
      </c>
      <c r="H458" s="76" t="s">
        <v>211</v>
      </c>
      <c r="I458" s="76">
        <v>1.9E-2</v>
      </c>
      <c r="J458" s="76">
        <v>1</v>
      </c>
      <c r="K458" s="76" t="s">
        <v>232</v>
      </c>
      <c r="L458" s="76">
        <v>6</v>
      </c>
      <c r="M458" s="76" t="s">
        <v>235</v>
      </c>
      <c r="BQ458" t="s">
        <v>21</v>
      </c>
      <c r="BR458">
        <v>1674</v>
      </c>
      <c r="BS458">
        <v>1</v>
      </c>
      <c r="BT458" s="2">
        <v>33862</v>
      </c>
      <c r="BU458" s="33">
        <f t="shared" si="20"/>
        <v>1992</v>
      </c>
      <c r="BV458" t="s">
        <v>22</v>
      </c>
      <c r="BW458">
        <v>2</v>
      </c>
      <c r="BX458">
        <v>5</v>
      </c>
      <c r="BY458" t="s">
        <v>211</v>
      </c>
      <c r="BZ458">
        <v>1.4E-2</v>
      </c>
      <c r="CA458">
        <f t="shared" si="21"/>
        <v>14</v>
      </c>
      <c r="CB458">
        <v>1</v>
      </c>
      <c r="CD458">
        <v>14</v>
      </c>
      <c r="CE458" t="s">
        <v>235</v>
      </c>
    </row>
    <row r="459" spans="1:85" x14ac:dyDescent="0.2">
      <c r="A459" s="76" t="s">
        <v>21</v>
      </c>
      <c r="B459" s="76">
        <v>1674</v>
      </c>
      <c r="C459" s="76">
        <v>1</v>
      </c>
      <c r="D459" s="77">
        <v>33793</v>
      </c>
      <c r="E459" s="76" t="s">
        <v>22</v>
      </c>
      <c r="F459" s="76">
        <v>2</v>
      </c>
      <c r="G459" s="257">
        <v>1</v>
      </c>
      <c r="H459" s="76" t="s">
        <v>211</v>
      </c>
      <c r="I459" s="76">
        <v>1.7999999999999999E-2</v>
      </c>
      <c r="J459" s="76">
        <v>1</v>
      </c>
      <c r="L459" s="76">
        <v>13</v>
      </c>
      <c r="M459" s="76" t="s">
        <v>235</v>
      </c>
      <c r="BQ459" t="s">
        <v>21</v>
      </c>
      <c r="BR459">
        <v>1674</v>
      </c>
      <c r="BS459">
        <v>1</v>
      </c>
      <c r="BT459" s="2">
        <v>33862</v>
      </c>
      <c r="BU459" s="33">
        <f t="shared" si="20"/>
        <v>1992</v>
      </c>
      <c r="BV459" t="s">
        <v>22</v>
      </c>
      <c r="BW459">
        <v>2</v>
      </c>
      <c r="BX459">
        <v>6</v>
      </c>
      <c r="BY459" t="s">
        <v>211</v>
      </c>
      <c r="BZ459">
        <v>1.4999999999999999E-2</v>
      </c>
      <c r="CA459">
        <f t="shared" si="21"/>
        <v>15</v>
      </c>
      <c r="CB459">
        <v>1</v>
      </c>
      <c r="CD459">
        <v>14</v>
      </c>
      <c r="CE459" t="s">
        <v>235</v>
      </c>
    </row>
    <row r="460" spans="1:85" x14ac:dyDescent="0.2">
      <c r="A460" s="76" t="s">
        <v>21</v>
      </c>
      <c r="B460" s="76">
        <v>1674</v>
      </c>
      <c r="C460" s="76">
        <v>1</v>
      </c>
      <c r="D460" s="77">
        <v>33793</v>
      </c>
      <c r="E460" s="76" t="s">
        <v>22</v>
      </c>
      <c r="F460" s="76">
        <v>2</v>
      </c>
      <c r="G460" s="257">
        <v>2</v>
      </c>
      <c r="H460" s="76" t="s">
        <v>211</v>
      </c>
      <c r="I460" s="76">
        <v>1.7999999999999999E-2</v>
      </c>
      <c r="J460" s="76">
        <v>1</v>
      </c>
      <c r="L460" s="76">
        <v>13</v>
      </c>
      <c r="M460" s="76" t="s">
        <v>235</v>
      </c>
      <c r="BQ460" t="s">
        <v>21</v>
      </c>
      <c r="BR460">
        <v>1674</v>
      </c>
      <c r="BS460">
        <v>1</v>
      </c>
      <c r="BT460" s="2">
        <v>33862</v>
      </c>
      <c r="BU460" s="33">
        <f t="shared" si="20"/>
        <v>1992</v>
      </c>
      <c r="BV460" t="s">
        <v>22</v>
      </c>
      <c r="BW460">
        <v>2</v>
      </c>
      <c r="BX460">
        <v>7</v>
      </c>
      <c r="BY460" t="s">
        <v>211</v>
      </c>
      <c r="BZ460">
        <v>1.4999999999999999E-2</v>
      </c>
      <c r="CA460">
        <f t="shared" si="21"/>
        <v>15</v>
      </c>
      <c r="CB460">
        <v>1</v>
      </c>
      <c r="CD460">
        <v>14</v>
      </c>
      <c r="CE460" t="s">
        <v>235</v>
      </c>
    </row>
    <row r="461" spans="1:85" x14ac:dyDescent="0.2">
      <c r="A461" s="76" t="s">
        <v>21</v>
      </c>
      <c r="B461" s="76">
        <v>1674</v>
      </c>
      <c r="C461" s="76">
        <v>1</v>
      </c>
      <c r="D461" s="77">
        <v>33793</v>
      </c>
      <c r="E461" s="76" t="s">
        <v>22</v>
      </c>
      <c r="F461" s="76">
        <v>2</v>
      </c>
      <c r="G461" s="257">
        <v>3</v>
      </c>
      <c r="H461" s="76" t="s">
        <v>211</v>
      </c>
      <c r="I461" s="76">
        <v>0.02</v>
      </c>
      <c r="J461" s="76">
        <v>1</v>
      </c>
      <c r="L461" s="76">
        <v>13</v>
      </c>
      <c r="M461" s="76" t="s">
        <v>235</v>
      </c>
      <c r="BQ461" t="s">
        <v>21</v>
      </c>
      <c r="BR461">
        <v>1674</v>
      </c>
      <c r="BS461">
        <v>1</v>
      </c>
      <c r="BT461" s="2">
        <v>33862</v>
      </c>
      <c r="BU461" s="33">
        <f t="shared" si="20"/>
        <v>1992</v>
      </c>
      <c r="BV461" t="s">
        <v>22</v>
      </c>
      <c r="BW461">
        <v>2</v>
      </c>
      <c r="BX461">
        <v>8</v>
      </c>
      <c r="BY461" t="s">
        <v>211</v>
      </c>
      <c r="BZ461">
        <v>1.4999999999999999E-2</v>
      </c>
      <c r="CA461">
        <f t="shared" si="21"/>
        <v>15</v>
      </c>
      <c r="CB461">
        <v>1</v>
      </c>
      <c r="CD461">
        <v>14</v>
      </c>
      <c r="CE461" t="s">
        <v>235</v>
      </c>
    </row>
    <row r="462" spans="1:85" x14ac:dyDescent="0.2">
      <c r="A462" s="76" t="s">
        <v>21</v>
      </c>
      <c r="B462" s="76">
        <v>1674</v>
      </c>
      <c r="C462" s="76">
        <v>1</v>
      </c>
      <c r="D462" s="77">
        <v>33793</v>
      </c>
      <c r="E462" s="76" t="s">
        <v>22</v>
      </c>
      <c r="F462" s="76">
        <v>2</v>
      </c>
      <c r="G462" s="257">
        <v>4</v>
      </c>
      <c r="H462" s="76" t="s">
        <v>211</v>
      </c>
      <c r="I462" s="76">
        <v>0.02</v>
      </c>
      <c r="J462" s="76">
        <v>1</v>
      </c>
      <c r="L462" s="76">
        <v>13</v>
      </c>
      <c r="M462" s="76" t="s">
        <v>235</v>
      </c>
      <c r="BQ462" t="s">
        <v>21</v>
      </c>
      <c r="BR462">
        <v>1674</v>
      </c>
      <c r="BS462">
        <v>1</v>
      </c>
      <c r="BT462" s="2">
        <v>33862</v>
      </c>
      <c r="BU462" s="33">
        <f t="shared" si="20"/>
        <v>1992</v>
      </c>
      <c r="BV462" t="s">
        <v>22</v>
      </c>
      <c r="BW462">
        <v>2</v>
      </c>
      <c r="BX462">
        <v>9</v>
      </c>
      <c r="BY462" t="s">
        <v>211</v>
      </c>
      <c r="BZ462">
        <v>1.6E-2</v>
      </c>
      <c r="CA462">
        <f t="shared" si="21"/>
        <v>16</v>
      </c>
      <c r="CB462">
        <v>1</v>
      </c>
      <c r="CD462">
        <v>14</v>
      </c>
      <c r="CE462" t="s">
        <v>235</v>
      </c>
    </row>
    <row r="463" spans="1:85" x14ac:dyDescent="0.2">
      <c r="A463" s="76" t="s">
        <v>21</v>
      </c>
      <c r="B463" s="76">
        <v>1674</v>
      </c>
      <c r="C463" s="76">
        <v>1</v>
      </c>
      <c r="D463" s="77">
        <v>33793</v>
      </c>
      <c r="E463" s="76" t="s">
        <v>22</v>
      </c>
      <c r="F463" s="76">
        <v>2</v>
      </c>
      <c r="G463" s="257">
        <v>5</v>
      </c>
      <c r="H463" s="76" t="s">
        <v>211</v>
      </c>
      <c r="I463" s="76">
        <v>2.1000000000000001E-2</v>
      </c>
      <c r="J463" s="76">
        <v>1</v>
      </c>
      <c r="L463" s="76">
        <v>13</v>
      </c>
      <c r="M463" s="76" t="s">
        <v>235</v>
      </c>
      <c r="BQ463" t="s">
        <v>21</v>
      </c>
      <c r="BR463">
        <v>1674</v>
      </c>
      <c r="BS463">
        <v>1</v>
      </c>
      <c r="BT463" s="2">
        <v>33862</v>
      </c>
      <c r="BU463" s="33">
        <f t="shared" si="20"/>
        <v>1992</v>
      </c>
      <c r="BV463" t="s">
        <v>22</v>
      </c>
      <c r="BW463">
        <v>2</v>
      </c>
      <c r="BX463">
        <v>10</v>
      </c>
      <c r="BY463" t="s">
        <v>211</v>
      </c>
      <c r="BZ463">
        <v>1.6E-2</v>
      </c>
      <c r="CA463">
        <f t="shared" si="21"/>
        <v>16</v>
      </c>
      <c r="CB463">
        <v>1</v>
      </c>
      <c r="CD463">
        <v>14</v>
      </c>
      <c r="CE463" t="s">
        <v>235</v>
      </c>
      <c r="CF463">
        <f>MIN(CA3:CA486)</f>
        <v>2</v>
      </c>
      <c r="CG463">
        <v>1989</v>
      </c>
    </row>
    <row r="464" spans="1:85" x14ac:dyDescent="0.2">
      <c r="A464" s="76" t="s">
        <v>21</v>
      </c>
      <c r="B464" s="76">
        <v>1674</v>
      </c>
      <c r="C464" s="76">
        <v>1</v>
      </c>
      <c r="D464" s="77">
        <v>33793</v>
      </c>
      <c r="E464" s="76" t="s">
        <v>22</v>
      </c>
      <c r="F464" s="76">
        <v>2</v>
      </c>
      <c r="G464" s="257">
        <v>6</v>
      </c>
      <c r="H464" s="76" t="s">
        <v>211</v>
      </c>
      <c r="I464" s="76">
        <v>2.4E-2</v>
      </c>
      <c r="J464" s="76">
        <v>1</v>
      </c>
      <c r="L464" s="76">
        <v>13</v>
      </c>
      <c r="M464" s="76" t="s">
        <v>235</v>
      </c>
      <c r="BQ464" t="s">
        <v>21</v>
      </c>
      <c r="BR464">
        <v>1674</v>
      </c>
      <c r="BS464">
        <v>1</v>
      </c>
      <c r="BT464" s="2">
        <v>33862</v>
      </c>
      <c r="BU464" s="33">
        <f t="shared" si="20"/>
        <v>1992</v>
      </c>
      <c r="BV464" t="s">
        <v>22</v>
      </c>
      <c r="BW464">
        <v>2</v>
      </c>
      <c r="BX464">
        <v>11</v>
      </c>
      <c r="BY464" t="s">
        <v>211</v>
      </c>
      <c r="BZ464">
        <v>2.1999999999999999E-2</v>
      </c>
      <c r="CA464">
        <f t="shared" si="21"/>
        <v>22</v>
      </c>
      <c r="CB464">
        <v>1</v>
      </c>
      <c r="CD464">
        <v>14</v>
      </c>
      <c r="CE464" t="s">
        <v>235</v>
      </c>
      <c r="CF464">
        <f>MAX(CA3:CA486)</f>
        <v>70</v>
      </c>
    </row>
    <row r="465" spans="1:83" x14ac:dyDescent="0.2">
      <c r="A465" s="76" t="s">
        <v>21</v>
      </c>
      <c r="B465" s="76">
        <v>1674</v>
      </c>
      <c r="C465" s="76">
        <v>1</v>
      </c>
      <c r="D465" s="77">
        <v>33793</v>
      </c>
      <c r="E465" s="76" t="s">
        <v>22</v>
      </c>
      <c r="F465" s="76">
        <v>2</v>
      </c>
      <c r="G465" s="257">
        <v>7</v>
      </c>
      <c r="H465" s="76" t="s">
        <v>211</v>
      </c>
      <c r="I465" s="76">
        <v>1.7000000000000001E-2</v>
      </c>
      <c r="J465" s="76">
        <v>1</v>
      </c>
      <c r="L465" s="76">
        <v>13</v>
      </c>
      <c r="M465" s="76" t="s">
        <v>235</v>
      </c>
      <c r="BQ465" t="s">
        <v>21</v>
      </c>
      <c r="BR465">
        <v>1674</v>
      </c>
      <c r="BS465">
        <v>1</v>
      </c>
      <c r="BT465" s="2">
        <v>33862</v>
      </c>
      <c r="BU465" s="33">
        <f t="shared" si="20"/>
        <v>1992</v>
      </c>
      <c r="BV465" t="s">
        <v>22</v>
      </c>
      <c r="BW465">
        <v>2</v>
      </c>
      <c r="BX465">
        <v>12</v>
      </c>
      <c r="BY465" t="s">
        <v>211</v>
      </c>
      <c r="BZ465">
        <v>2.9000000000000001E-2</v>
      </c>
      <c r="CA465">
        <f t="shared" si="21"/>
        <v>29</v>
      </c>
      <c r="CB465">
        <v>1</v>
      </c>
      <c r="CD465">
        <v>14</v>
      </c>
      <c r="CE465" t="s">
        <v>235</v>
      </c>
    </row>
    <row r="466" spans="1:83" x14ac:dyDescent="0.2">
      <c r="A466" s="76" t="s">
        <v>21</v>
      </c>
      <c r="B466" s="76">
        <v>1674</v>
      </c>
      <c r="C466" s="76">
        <v>1</v>
      </c>
      <c r="D466" s="77">
        <v>33793</v>
      </c>
      <c r="E466" s="76" t="s">
        <v>22</v>
      </c>
      <c r="F466" s="76">
        <v>2</v>
      </c>
      <c r="G466" s="257">
        <v>8</v>
      </c>
      <c r="H466" s="76" t="s">
        <v>211</v>
      </c>
      <c r="I466" s="76">
        <v>1.6E-2</v>
      </c>
      <c r="J466" s="76">
        <v>1</v>
      </c>
      <c r="L466" s="76">
        <v>13</v>
      </c>
      <c r="M466" s="76" t="s">
        <v>235</v>
      </c>
      <c r="BQ466" t="s">
        <v>21</v>
      </c>
      <c r="BR466">
        <v>1674</v>
      </c>
      <c r="BS466">
        <v>1</v>
      </c>
      <c r="BT466" s="2">
        <v>33862</v>
      </c>
      <c r="BU466" s="33">
        <f t="shared" si="20"/>
        <v>1992</v>
      </c>
      <c r="BV466" t="s">
        <v>22</v>
      </c>
      <c r="BW466">
        <v>2</v>
      </c>
      <c r="BX466">
        <v>13</v>
      </c>
      <c r="BY466" t="s">
        <v>211</v>
      </c>
      <c r="BZ466">
        <v>1.7999999999999999E-2</v>
      </c>
      <c r="CA466">
        <f t="shared" si="21"/>
        <v>18</v>
      </c>
      <c r="CB466">
        <v>1</v>
      </c>
      <c r="CD466">
        <v>14</v>
      </c>
      <c r="CE466" t="s">
        <v>235</v>
      </c>
    </row>
    <row r="467" spans="1:83" x14ac:dyDescent="0.2">
      <c r="A467" s="76" t="s">
        <v>21</v>
      </c>
      <c r="B467" s="76">
        <v>1674</v>
      </c>
      <c r="C467" s="76">
        <v>1</v>
      </c>
      <c r="D467" s="77">
        <v>33793</v>
      </c>
      <c r="E467" s="76" t="s">
        <v>22</v>
      </c>
      <c r="F467" s="76">
        <v>2</v>
      </c>
      <c r="G467" s="257">
        <v>9</v>
      </c>
      <c r="H467" s="76" t="s">
        <v>211</v>
      </c>
      <c r="I467" s="76">
        <v>1.6E-2</v>
      </c>
      <c r="J467" s="76">
        <v>1</v>
      </c>
      <c r="L467" s="76">
        <v>13</v>
      </c>
      <c r="M467" s="76" t="s">
        <v>235</v>
      </c>
      <c r="BQ467" t="s">
        <v>21</v>
      </c>
      <c r="BR467">
        <v>1674</v>
      </c>
      <c r="BS467">
        <v>1</v>
      </c>
      <c r="BT467" s="2">
        <v>33862</v>
      </c>
      <c r="BU467" s="33">
        <f t="shared" si="20"/>
        <v>1992</v>
      </c>
      <c r="BV467" t="s">
        <v>22</v>
      </c>
      <c r="BW467">
        <v>2</v>
      </c>
      <c r="BX467">
        <v>14</v>
      </c>
      <c r="BY467" t="s">
        <v>211</v>
      </c>
      <c r="BZ467">
        <v>3.9E-2</v>
      </c>
      <c r="CA467" s="212">
        <f t="shared" si="21"/>
        <v>39</v>
      </c>
      <c r="CB467">
        <v>1</v>
      </c>
      <c r="CD467">
        <v>14</v>
      </c>
      <c r="CE467" t="s">
        <v>235</v>
      </c>
    </row>
    <row r="468" spans="1:83" x14ac:dyDescent="0.2">
      <c r="A468" s="76" t="s">
        <v>21</v>
      </c>
      <c r="B468" s="76">
        <v>1674</v>
      </c>
      <c r="C468" s="76">
        <v>1</v>
      </c>
      <c r="D468" s="77">
        <v>33793</v>
      </c>
      <c r="E468" s="76" t="s">
        <v>22</v>
      </c>
      <c r="F468" s="76">
        <v>2</v>
      </c>
      <c r="G468" s="257">
        <v>10</v>
      </c>
      <c r="H468" s="76" t="s">
        <v>211</v>
      </c>
      <c r="I468" s="76">
        <v>1.7000000000000001E-2</v>
      </c>
      <c r="J468" s="76">
        <v>1</v>
      </c>
      <c r="L468" s="76">
        <v>13</v>
      </c>
      <c r="M468" s="76" t="s">
        <v>235</v>
      </c>
      <c r="BQ468" t="s">
        <v>21</v>
      </c>
      <c r="BR468">
        <v>1674</v>
      </c>
      <c r="BS468">
        <v>1</v>
      </c>
      <c r="BT468" s="2">
        <v>37769</v>
      </c>
      <c r="BU468" s="33">
        <f t="shared" si="20"/>
        <v>2003</v>
      </c>
      <c r="BV468" t="s">
        <v>22</v>
      </c>
      <c r="BW468">
        <v>2</v>
      </c>
      <c r="BX468">
        <v>0.1</v>
      </c>
      <c r="BY468" t="s">
        <v>211</v>
      </c>
      <c r="BZ468">
        <v>8.9999999999999993E-3</v>
      </c>
      <c r="CA468">
        <f t="shared" si="21"/>
        <v>9</v>
      </c>
      <c r="CB468">
        <v>1</v>
      </c>
      <c r="CC468" t="s">
        <v>237</v>
      </c>
      <c r="CD468">
        <v>6</v>
      </c>
      <c r="CE468" t="s">
        <v>235</v>
      </c>
    </row>
    <row r="469" spans="1:83" x14ac:dyDescent="0.2">
      <c r="A469" s="76" t="s">
        <v>21</v>
      </c>
      <c r="B469" s="76">
        <v>1674</v>
      </c>
      <c r="C469" s="76">
        <v>1</v>
      </c>
      <c r="D469" s="77">
        <v>33793</v>
      </c>
      <c r="E469" s="76" t="s">
        <v>22</v>
      </c>
      <c r="F469" s="76">
        <v>2</v>
      </c>
      <c r="G469" s="257">
        <v>11</v>
      </c>
      <c r="H469" s="76" t="s">
        <v>211</v>
      </c>
      <c r="I469" s="76">
        <v>2.1000000000000001E-2</v>
      </c>
      <c r="J469" s="76">
        <v>1</v>
      </c>
      <c r="L469" s="76">
        <v>13</v>
      </c>
      <c r="M469" s="76" t="s">
        <v>235</v>
      </c>
      <c r="BQ469" t="s">
        <v>21</v>
      </c>
      <c r="BR469">
        <v>1674</v>
      </c>
      <c r="BS469">
        <v>1</v>
      </c>
      <c r="BT469" s="2">
        <v>37769</v>
      </c>
      <c r="BU469" s="33">
        <f t="shared" si="20"/>
        <v>2003</v>
      </c>
      <c r="BV469" t="s">
        <v>22</v>
      </c>
      <c r="BW469">
        <v>2</v>
      </c>
      <c r="BX469">
        <v>1</v>
      </c>
      <c r="BY469" t="s">
        <v>211</v>
      </c>
      <c r="BZ469">
        <v>8.9999999999999993E-3</v>
      </c>
      <c r="CA469">
        <f t="shared" si="21"/>
        <v>9</v>
      </c>
      <c r="CB469">
        <v>1</v>
      </c>
      <c r="CC469" t="s">
        <v>237</v>
      </c>
      <c r="CD469">
        <v>6</v>
      </c>
      <c r="CE469" t="s">
        <v>235</v>
      </c>
    </row>
    <row r="470" spans="1:83" x14ac:dyDescent="0.2">
      <c r="A470" s="76" t="s">
        <v>21</v>
      </c>
      <c r="B470" s="76">
        <v>1674</v>
      </c>
      <c r="C470" s="76">
        <v>1</v>
      </c>
      <c r="D470" s="77">
        <v>33793</v>
      </c>
      <c r="E470" s="76" t="s">
        <v>22</v>
      </c>
      <c r="F470" s="76">
        <v>2</v>
      </c>
      <c r="G470" s="257">
        <v>12</v>
      </c>
      <c r="H470" s="76" t="s">
        <v>211</v>
      </c>
      <c r="I470" s="76">
        <v>3.1E-2</v>
      </c>
      <c r="J470" s="76">
        <v>1</v>
      </c>
      <c r="L470" s="76">
        <v>13</v>
      </c>
      <c r="M470" s="76" t="s">
        <v>235</v>
      </c>
      <c r="BQ470" t="s">
        <v>21</v>
      </c>
      <c r="BR470">
        <v>1674</v>
      </c>
      <c r="BS470">
        <v>1</v>
      </c>
      <c r="BT470" s="2">
        <v>37769</v>
      </c>
      <c r="BU470" s="33">
        <f t="shared" si="20"/>
        <v>2003</v>
      </c>
      <c r="BV470" t="s">
        <v>22</v>
      </c>
      <c r="BW470">
        <v>2</v>
      </c>
      <c r="BX470">
        <v>3</v>
      </c>
      <c r="BY470" t="s">
        <v>211</v>
      </c>
      <c r="BZ470">
        <v>8.9999999999999993E-3</v>
      </c>
      <c r="CA470">
        <f t="shared" si="21"/>
        <v>9</v>
      </c>
      <c r="CB470">
        <v>1</v>
      </c>
      <c r="CC470" t="s">
        <v>237</v>
      </c>
      <c r="CD470">
        <v>6</v>
      </c>
      <c r="CE470" t="s">
        <v>235</v>
      </c>
    </row>
    <row r="471" spans="1:83" x14ac:dyDescent="0.2">
      <c r="A471" s="76" t="s">
        <v>21</v>
      </c>
      <c r="B471" s="76">
        <v>1674</v>
      </c>
      <c r="C471" s="76">
        <v>1</v>
      </c>
      <c r="D471" s="77">
        <v>33793</v>
      </c>
      <c r="E471" s="76" t="s">
        <v>22</v>
      </c>
      <c r="F471" s="76">
        <v>2</v>
      </c>
      <c r="G471" s="257">
        <v>13</v>
      </c>
      <c r="H471" s="76" t="s">
        <v>211</v>
      </c>
      <c r="I471" s="76">
        <v>3.3000000000000002E-2</v>
      </c>
      <c r="J471" s="76">
        <v>1</v>
      </c>
      <c r="L471" s="76">
        <v>13</v>
      </c>
      <c r="M471" s="76" t="s">
        <v>235</v>
      </c>
      <c r="BQ471" t="s">
        <v>21</v>
      </c>
      <c r="BR471">
        <v>1674</v>
      </c>
      <c r="BS471">
        <v>1</v>
      </c>
      <c r="BT471" s="2">
        <v>37769</v>
      </c>
      <c r="BU471" s="33">
        <f t="shared" si="20"/>
        <v>2003</v>
      </c>
      <c r="BV471" t="s">
        <v>22</v>
      </c>
      <c r="BW471">
        <v>2</v>
      </c>
      <c r="BX471">
        <v>5</v>
      </c>
      <c r="BY471" t="s">
        <v>211</v>
      </c>
      <c r="BZ471">
        <v>8.0000000000000002E-3</v>
      </c>
      <c r="CA471">
        <f t="shared" si="21"/>
        <v>8</v>
      </c>
      <c r="CB471">
        <v>1</v>
      </c>
      <c r="CC471" t="s">
        <v>237</v>
      </c>
      <c r="CD471">
        <v>6</v>
      </c>
      <c r="CE471" t="s">
        <v>235</v>
      </c>
    </row>
    <row r="472" spans="1:83" x14ac:dyDescent="0.2">
      <c r="A472" s="76" t="s">
        <v>21</v>
      </c>
      <c r="B472" s="76">
        <v>1674</v>
      </c>
      <c r="C472" s="76">
        <v>1</v>
      </c>
      <c r="D472" s="77">
        <v>33815</v>
      </c>
      <c r="E472" s="76" t="s">
        <v>22</v>
      </c>
      <c r="F472" s="76">
        <v>2</v>
      </c>
      <c r="G472" s="257">
        <v>1</v>
      </c>
      <c r="H472" s="76" t="s">
        <v>211</v>
      </c>
      <c r="I472" s="76">
        <v>1.7999999999999999E-2</v>
      </c>
      <c r="J472" s="76">
        <v>1</v>
      </c>
      <c r="L472" s="76">
        <v>7</v>
      </c>
      <c r="M472" s="76" t="s">
        <v>235</v>
      </c>
      <c r="BQ472" t="s">
        <v>21</v>
      </c>
      <c r="BR472">
        <v>1674</v>
      </c>
      <c r="BS472">
        <v>1</v>
      </c>
      <c r="BT472" s="2">
        <v>37769</v>
      </c>
      <c r="BU472" s="33">
        <f t="shared" si="20"/>
        <v>2003</v>
      </c>
      <c r="BV472" t="s">
        <v>22</v>
      </c>
      <c r="BW472">
        <v>2</v>
      </c>
      <c r="BX472">
        <v>7</v>
      </c>
      <c r="BY472" t="s">
        <v>211</v>
      </c>
      <c r="BZ472">
        <v>8.9999999999999993E-3</v>
      </c>
      <c r="CA472">
        <f t="shared" si="21"/>
        <v>9</v>
      </c>
      <c r="CB472">
        <v>1</v>
      </c>
      <c r="CC472" t="s">
        <v>237</v>
      </c>
      <c r="CD472">
        <v>6</v>
      </c>
      <c r="CE472" t="s">
        <v>235</v>
      </c>
    </row>
    <row r="473" spans="1:83" x14ac:dyDescent="0.2">
      <c r="A473" s="76" t="s">
        <v>21</v>
      </c>
      <c r="B473" s="76">
        <v>1674</v>
      </c>
      <c r="C473" s="76">
        <v>1</v>
      </c>
      <c r="D473" s="77">
        <v>33815</v>
      </c>
      <c r="E473" s="76" t="s">
        <v>22</v>
      </c>
      <c r="F473" s="76">
        <v>2</v>
      </c>
      <c r="G473" s="257">
        <v>3</v>
      </c>
      <c r="H473" s="76" t="s">
        <v>211</v>
      </c>
      <c r="I473" s="76">
        <v>1.7000000000000001E-2</v>
      </c>
      <c r="J473" s="76">
        <v>1</v>
      </c>
      <c r="L473" s="76">
        <v>7</v>
      </c>
      <c r="M473" s="76" t="s">
        <v>235</v>
      </c>
      <c r="BQ473" t="s">
        <v>21</v>
      </c>
      <c r="BR473">
        <v>1674</v>
      </c>
      <c r="BS473">
        <v>1</v>
      </c>
      <c r="BT473" s="2">
        <v>37769</v>
      </c>
      <c r="BU473" s="33">
        <f t="shared" si="20"/>
        <v>2003</v>
      </c>
      <c r="BV473" t="s">
        <v>22</v>
      </c>
      <c r="BW473">
        <v>2</v>
      </c>
      <c r="BX473">
        <v>9</v>
      </c>
      <c r="BY473" t="s">
        <v>211</v>
      </c>
      <c r="BZ473">
        <v>0.01</v>
      </c>
      <c r="CA473">
        <f t="shared" si="21"/>
        <v>10</v>
      </c>
      <c r="CB473">
        <v>1</v>
      </c>
      <c r="CC473" t="s">
        <v>237</v>
      </c>
      <c r="CD473">
        <v>6</v>
      </c>
      <c r="CE473" t="s">
        <v>235</v>
      </c>
    </row>
    <row r="474" spans="1:83" x14ac:dyDescent="0.2">
      <c r="A474" s="76" t="s">
        <v>21</v>
      </c>
      <c r="B474" s="76">
        <v>1674</v>
      </c>
      <c r="C474" s="76">
        <v>1</v>
      </c>
      <c r="D474" s="77">
        <v>33815</v>
      </c>
      <c r="E474" s="76" t="s">
        <v>22</v>
      </c>
      <c r="F474" s="76">
        <v>2</v>
      </c>
      <c r="G474" s="257">
        <v>5</v>
      </c>
      <c r="H474" s="76" t="s">
        <v>211</v>
      </c>
      <c r="I474" s="76">
        <v>2.1000000000000001E-2</v>
      </c>
      <c r="J474" s="76">
        <v>1</v>
      </c>
      <c r="L474" s="76">
        <v>7</v>
      </c>
      <c r="M474" s="76" t="s">
        <v>235</v>
      </c>
      <c r="BQ474" t="s">
        <v>21</v>
      </c>
      <c r="BR474">
        <v>1674</v>
      </c>
      <c r="BS474">
        <v>1</v>
      </c>
      <c r="BT474" s="2">
        <v>38169</v>
      </c>
      <c r="BU474" s="33">
        <f t="shared" si="20"/>
        <v>2004</v>
      </c>
      <c r="BV474" t="s">
        <v>22</v>
      </c>
      <c r="BW474">
        <v>2</v>
      </c>
      <c r="BX474">
        <v>0.1</v>
      </c>
      <c r="BY474" t="s">
        <v>211</v>
      </c>
      <c r="BZ474">
        <v>1.4999999999999999E-2</v>
      </c>
      <c r="CA474">
        <f t="shared" si="21"/>
        <v>15</v>
      </c>
      <c r="CB474">
        <v>1</v>
      </c>
      <c r="CC474" t="s">
        <v>237</v>
      </c>
      <c r="CD474">
        <v>6</v>
      </c>
      <c r="CE474" t="s">
        <v>235</v>
      </c>
    </row>
    <row r="475" spans="1:83" x14ac:dyDescent="0.2">
      <c r="A475" s="76" t="s">
        <v>21</v>
      </c>
      <c r="B475" s="76">
        <v>1674</v>
      </c>
      <c r="C475" s="76">
        <v>1</v>
      </c>
      <c r="D475" s="77">
        <v>33815</v>
      </c>
      <c r="E475" s="76" t="s">
        <v>22</v>
      </c>
      <c r="F475" s="76">
        <v>2</v>
      </c>
      <c r="G475" s="257">
        <v>7</v>
      </c>
      <c r="H475" s="76" t="s">
        <v>211</v>
      </c>
      <c r="I475" s="76">
        <v>2.3E-2</v>
      </c>
      <c r="J475" s="76">
        <v>1</v>
      </c>
      <c r="L475" s="76">
        <v>7</v>
      </c>
      <c r="M475" s="76" t="s">
        <v>235</v>
      </c>
      <c r="BQ475" t="s">
        <v>21</v>
      </c>
      <c r="BR475">
        <v>1674</v>
      </c>
      <c r="BS475">
        <v>1</v>
      </c>
      <c r="BT475" s="2">
        <v>38169</v>
      </c>
      <c r="BU475" s="33">
        <f t="shared" si="20"/>
        <v>2004</v>
      </c>
      <c r="BV475" t="s">
        <v>22</v>
      </c>
      <c r="BW475">
        <v>2</v>
      </c>
      <c r="BX475">
        <v>1</v>
      </c>
      <c r="BY475" t="s">
        <v>211</v>
      </c>
      <c r="BZ475">
        <v>1.7000000000000001E-2</v>
      </c>
      <c r="CA475">
        <f t="shared" si="21"/>
        <v>17</v>
      </c>
      <c r="CB475">
        <v>1</v>
      </c>
      <c r="CC475" t="s">
        <v>237</v>
      </c>
      <c r="CD475">
        <v>6</v>
      </c>
      <c r="CE475" t="s">
        <v>235</v>
      </c>
    </row>
    <row r="476" spans="1:83" x14ac:dyDescent="0.2">
      <c r="A476" s="76" t="s">
        <v>21</v>
      </c>
      <c r="B476" s="76">
        <v>1674</v>
      </c>
      <c r="C476" s="76">
        <v>1</v>
      </c>
      <c r="D476" s="77">
        <v>33815</v>
      </c>
      <c r="E476" s="76" t="s">
        <v>22</v>
      </c>
      <c r="F476" s="76">
        <v>2</v>
      </c>
      <c r="G476" s="257">
        <v>9</v>
      </c>
      <c r="H476" s="76" t="s">
        <v>211</v>
      </c>
      <c r="I476" s="76">
        <v>1.7999999999999999E-2</v>
      </c>
      <c r="J476" s="76">
        <v>1</v>
      </c>
      <c r="L476" s="76">
        <v>7</v>
      </c>
      <c r="M476" s="76" t="s">
        <v>235</v>
      </c>
      <c r="BQ476" t="s">
        <v>21</v>
      </c>
      <c r="BR476">
        <v>1674</v>
      </c>
      <c r="BS476">
        <v>1</v>
      </c>
      <c r="BT476" s="2">
        <v>38169</v>
      </c>
      <c r="BU476" s="33">
        <f t="shared" si="20"/>
        <v>2004</v>
      </c>
      <c r="BV476" t="s">
        <v>22</v>
      </c>
      <c r="BW476">
        <v>2</v>
      </c>
      <c r="BX476">
        <v>3</v>
      </c>
      <c r="BY476" t="s">
        <v>211</v>
      </c>
      <c r="BZ476">
        <v>0.02</v>
      </c>
      <c r="CA476">
        <f t="shared" si="21"/>
        <v>20</v>
      </c>
      <c r="CB476">
        <v>1</v>
      </c>
      <c r="CC476" t="s">
        <v>237</v>
      </c>
      <c r="CD476">
        <v>6</v>
      </c>
      <c r="CE476" t="s">
        <v>235</v>
      </c>
    </row>
    <row r="477" spans="1:83" x14ac:dyDescent="0.2">
      <c r="A477" s="76" t="s">
        <v>21</v>
      </c>
      <c r="B477" s="76">
        <v>1674</v>
      </c>
      <c r="C477" s="76">
        <v>1</v>
      </c>
      <c r="D477" s="77">
        <v>33815</v>
      </c>
      <c r="E477" s="76" t="s">
        <v>22</v>
      </c>
      <c r="F477" s="76">
        <v>2</v>
      </c>
      <c r="G477" s="257">
        <v>11</v>
      </c>
      <c r="H477" s="76" t="s">
        <v>211</v>
      </c>
      <c r="I477" s="76">
        <v>0.02</v>
      </c>
      <c r="J477" s="76">
        <v>1</v>
      </c>
      <c r="L477" s="76">
        <v>7</v>
      </c>
      <c r="M477" s="76" t="s">
        <v>235</v>
      </c>
      <c r="BQ477" t="s">
        <v>21</v>
      </c>
      <c r="BR477">
        <v>1674</v>
      </c>
      <c r="BS477">
        <v>1</v>
      </c>
      <c r="BT477" s="2">
        <v>38169</v>
      </c>
      <c r="BU477" s="33">
        <f t="shared" si="20"/>
        <v>2004</v>
      </c>
      <c r="BV477" t="s">
        <v>22</v>
      </c>
      <c r="BW477">
        <v>2</v>
      </c>
      <c r="BX477">
        <v>5</v>
      </c>
      <c r="BY477" t="s">
        <v>211</v>
      </c>
      <c r="BZ477">
        <v>2.4E-2</v>
      </c>
      <c r="CA477">
        <f t="shared" si="21"/>
        <v>24</v>
      </c>
      <c r="CB477">
        <v>1</v>
      </c>
      <c r="CC477" t="s">
        <v>237</v>
      </c>
      <c r="CD477">
        <v>6</v>
      </c>
      <c r="CE477" t="s">
        <v>235</v>
      </c>
    </row>
    <row r="478" spans="1:83" x14ac:dyDescent="0.2">
      <c r="A478" s="76" t="s">
        <v>21</v>
      </c>
      <c r="B478" s="76">
        <v>1674</v>
      </c>
      <c r="C478" s="76">
        <v>1</v>
      </c>
      <c r="D478" s="77">
        <v>33815</v>
      </c>
      <c r="E478" s="76" t="s">
        <v>22</v>
      </c>
      <c r="F478" s="76">
        <v>2</v>
      </c>
      <c r="G478" s="257">
        <v>13</v>
      </c>
      <c r="H478" s="76" t="s">
        <v>211</v>
      </c>
      <c r="I478" s="76">
        <v>3.4000000000000002E-2</v>
      </c>
      <c r="J478" s="76">
        <v>1</v>
      </c>
      <c r="L478" s="76">
        <v>7</v>
      </c>
      <c r="M478" s="76" t="s">
        <v>235</v>
      </c>
      <c r="BQ478" t="s">
        <v>21</v>
      </c>
      <c r="BR478">
        <v>1674</v>
      </c>
      <c r="BS478">
        <v>1</v>
      </c>
      <c r="BT478" s="2">
        <v>38169</v>
      </c>
      <c r="BU478" s="33">
        <f t="shared" si="20"/>
        <v>2004</v>
      </c>
      <c r="BV478" t="s">
        <v>22</v>
      </c>
      <c r="BW478">
        <v>2</v>
      </c>
      <c r="BX478">
        <v>7</v>
      </c>
      <c r="BY478" t="s">
        <v>211</v>
      </c>
      <c r="BZ478">
        <v>1.7999999999999999E-2</v>
      </c>
      <c r="CA478">
        <f t="shared" si="21"/>
        <v>18</v>
      </c>
      <c r="CB478">
        <v>1</v>
      </c>
      <c r="CC478" t="s">
        <v>237</v>
      </c>
      <c r="CD478">
        <v>6</v>
      </c>
      <c r="CE478" t="s">
        <v>235</v>
      </c>
    </row>
    <row r="479" spans="1:83" x14ac:dyDescent="0.2">
      <c r="A479" s="76" t="s">
        <v>21</v>
      </c>
      <c r="B479" s="76">
        <v>1674</v>
      </c>
      <c r="C479" s="76">
        <v>1</v>
      </c>
      <c r="D479" s="77">
        <v>33829</v>
      </c>
      <c r="E479" s="76" t="s">
        <v>22</v>
      </c>
      <c r="F479" s="76">
        <v>2</v>
      </c>
      <c r="G479" s="257">
        <v>1</v>
      </c>
      <c r="H479" s="76" t="s">
        <v>211</v>
      </c>
      <c r="I479" s="76">
        <v>1.9E-2</v>
      </c>
      <c r="J479" s="76">
        <v>1</v>
      </c>
      <c r="L479" s="76">
        <v>12</v>
      </c>
      <c r="M479" s="76" t="s">
        <v>235</v>
      </c>
      <c r="BQ479" t="s">
        <v>21</v>
      </c>
      <c r="BR479">
        <v>1674</v>
      </c>
      <c r="BS479">
        <v>1</v>
      </c>
      <c r="BT479" s="2">
        <v>38169</v>
      </c>
      <c r="BU479" s="33">
        <f t="shared" si="20"/>
        <v>2004</v>
      </c>
      <c r="BV479" t="s">
        <v>22</v>
      </c>
      <c r="BW479">
        <v>2</v>
      </c>
      <c r="BX479">
        <v>9</v>
      </c>
      <c r="BY479" t="s">
        <v>211</v>
      </c>
      <c r="BZ479">
        <v>0.02</v>
      </c>
      <c r="CA479">
        <f t="shared" si="21"/>
        <v>20</v>
      </c>
      <c r="CB479">
        <v>1</v>
      </c>
      <c r="CC479" t="s">
        <v>237</v>
      </c>
      <c r="CD479">
        <v>6</v>
      </c>
      <c r="CE479" t="s">
        <v>235</v>
      </c>
    </row>
    <row r="480" spans="1:83" x14ac:dyDescent="0.2">
      <c r="A480" s="76" t="s">
        <v>21</v>
      </c>
      <c r="B480" s="76">
        <v>1674</v>
      </c>
      <c r="C480" s="76">
        <v>1</v>
      </c>
      <c r="D480" s="77">
        <v>33829</v>
      </c>
      <c r="E480" s="76" t="s">
        <v>22</v>
      </c>
      <c r="F480" s="76">
        <v>2</v>
      </c>
      <c r="G480" s="257">
        <v>2</v>
      </c>
      <c r="H480" s="76" t="s">
        <v>211</v>
      </c>
      <c r="I480" s="76">
        <v>1.9E-2</v>
      </c>
      <c r="J480" s="76">
        <v>1</v>
      </c>
      <c r="L480" s="76">
        <v>12</v>
      </c>
      <c r="M480" s="76" t="s">
        <v>235</v>
      </c>
      <c r="BQ480" t="s">
        <v>21</v>
      </c>
      <c r="BR480">
        <v>1674</v>
      </c>
      <c r="BS480">
        <v>1</v>
      </c>
      <c r="BT480" s="2">
        <v>38203</v>
      </c>
      <c r="BU480" s="33">
        <f t="shared" si="20"/>
        <v>2004</v>
      </c>
      <c r="BV480" t="s">
        <v>22</v>
      </c>
      <c r="BW480">
        <v>2</v>
      </c>
      <c r="BX480">
        <v>0.1</v>
      </c>
      <c r="BY480" t="s">
        <v>211</v>
      </c>
      <c r="BZ480">
        <v>1.2999999999999999E-2</v>
      </c>
      <c r="CA480">
        <f t="shared" si="21"/>
        <v>13</v>
      </c>
      <c r="CB480">
        <v>1</v>
      </c>
      <c r="CC480" t="s">
        <v>237</v>
      </c>
      <c r="CD480">
        <v>7</v>
      </c>
      <c r="CE480" t="s">
        <v>235</v>
      </c>
    </row>
    <row r="481" spans="1:83" x14ac:dyDescent="0.2">
      <c r="A481" s="76" t="s">
        <v>21</v>
      </c>
      <c r="B481" s="76">
        <v>1674</v>
      </c>
      <c r="C481" s="76">
        <v>1</v>
      </c>
      <c r="D481" s="77">
        <v>33829</v>
      </c>
      <c r="E481" s="76" t="s">
        <v>22</v>
      </c>
      <c r="F481" s="76">
        <v>2</v>
      </c>
      <c r="G481" s="257">
        <v>3</v>
      </c>
      <c r="H481" s="76" t="s">
        <v>211</v>
      </c>
      <c r="I481" s="76">
        <v>1.6E-2</v>
      </c>
      <c r="J481" s="76">
        <v>1</v>
      </c>
      <c r="L481" s="76">
        <v>12</v>
      </c>
      <c r="M481" s="76" t="s">
        <v>235</v>
      </c>
      <c r="BQ481" t="s">
        <v>21</v>
      </c>
      <c r="BR481">
        <v>1674</v>
      </c>
      <c r="BS481">
        <v>1</v>
      </c>
      <c r="BT481" s="2">
        <v>38203</v>
      </c>
      <c r="BU481" s="33">
        <f t="shared" si="20"/>
        <v>2004</v>
      </c>
      <c r="BV481" t="s">
        <v>22</v>
      </c>
      <c r="BW481">
        <v>2</v>
      </c>
      <c r="BX481">
        <v>1</v>
      </c>
      <c r="BY481" t="s">
        <v>211</v>
      </c>
      <c r="BZ481">
        <v>1.2999999999999999E-2</v>
      </c>
      <c r="CA481">
        <f t="shared" si="21"/>
        <v>13</v>
      </c>
      <c r="CB481">
        <v>1</v>
      </c>
      <c r="CC481" t="s">
        <v>237</v>
      </c>
      <c r="CD481">
        <v>7</v>
      </c>
      <c r="CE481" t="s">
        <v>235</v>
      </c>
    </row>
    <row r="482" spans="1:83" x14ac:dyDescent="0.2">
      <c r="A482" s="76" t="s">
        <v>21</v>
      </c>
      <c r="B482" s="76">
        <v>1674</v>
      </c>
      <c r="C482" s="76">
        <v>1</v>
      </c>
      <c r="D482" s="77">
        <v>33829</v>
      </c>
      <c r="E482" s="76" t="s">
        <v>22</v>
      </c>
      <c r="F482" s="76">
        <v>2</v>
      </c>
      <c r="G482" s="257">
        <v>4</v>
      </c>
      <c r="H482" s="76" t="s">
        <v>211</v>
      </c>
      <c r="I482" s="76">
        <v>1.7999999999999999E-2</v>
      </c>
      <c r="J482" s="76">
        <v>1</v>
      </c>
      <c r="L482" s="76">
        <v>12</v>
      </c>
      <c r="M482" s="76" t="s">
        <v>235</v>
      </c>
      <c r="BQ482" t="s">
        <v>21</v>
      </c>
      <c r="BR482">
        <v>1674</v>
      </c>
      <c r="BS482">
        <v>1</v>
      </c>
      <c r="BT482" s="2">
        <v>38203</v>
      </c>
      <c r="BU482" s="33">
        <f t="shared" si="20"/>
        <v>2004</v>
      </c>
      <c r="BV482" t="s">
        <v>22</v>
      </c>
      <c r="BW482">
        <v>2</v>
      </c>
      <c r="BX482">
        <v>3</v>
      </c>
      <c r="BY482" t="s">
        <v>211</v>
      </c>
      <c r="BZ482">
        <v>1.2E-2</v>
      </c>
      <c r="CA482">
        <f t="shared" si="21"/>
        <v>12</v>
      </c>
      <c r="CB482">
        <v>1</v>
      </c>
      <c r="CC482" t="s">
        <v>237</v>
      </c>
      <c r="CD482">
        <v>7</v>
      </c>
      <c r="CE482" t="s">
        <v>235</v>
      </c>
    </row>
    <row r="483" spans="1:83" x14ac:dyDescent="0.2">
      <c r="A483" s="76" t="s">
        <v>21</v>
      </c>
      <c r="B483" s="76">
        <v>1674</v>
      </c>
      <c r="C483" s="76">
        <v>1</v>
      </c>
      <c r="D483" s="77">
        <v>33829</v>
      </c>
      <c r="E483" s="76" t="s">
        <v>22</v>
      </c>
      <c r="F483" s="76">
        <v>2</v>
      </c>
      <c r="G483" s="257">
        <v>5</v>
      </c>
      <c r="H483" s="76" t="s">
        <v>211</v>
      </c>
      <c r="I483" s="76">
        <v>1.6E-2</v>
      </c>
      <c r="J483" s="76">
        <v>1</v>
      </c>
      <c r="L483" s="76">
        <v>12</v>
      </c>
      <c r="M483" s="76" t="s">
        <v>235</v>
      </c>
      <c r="BQ483" t="s">
        <v>21</v>
      </c>
      <c r="BR483">
        <v>1674</v>
      </c>
      <c r="BS483">
        <v>1</v>
      </c>
      <c r="BT483" s="2">
        <v>38203</v>
      </c>
      <c r="BU483" s="33">
        <f t="shared" si="20"/>
        <v>2004</v>
      </c>
      <c r="BV483" t="s">
        <v>22</v>
      </c>
      <c r="BW483">
        <v>2</v>
      </c>
      <c r="BX483">
        <v>5</v>
      </c>
      <c r="BY483" t="s">
        <v>211</v>
      </c>
      <c r="BZ483">
        <v>1.4E-2</v>
      </c>
      <c r="CA483">
        <f t="shared" si="21"/>
        <v>14</v>
      </c>
      <c r="CB483">
        <v>1</v>
      </c>
      <c r="CC483" t="s">
        <v>237</v>
      </c>
      <c r="CD483">
        <v>7</v>
      </c>
      <c r="CE483" t="s">
        <v>235</v>
      </c>
    </row>
    <row r="484" spans="1:83" x14ac:dyDescent="0.2">
      <c r="A484" s="76" t="s">
        <v>21</v>
      </c>
      <c r="B484" s="76">
        <v>1674</v>
      </c>
      <c r="C484" s="76">
        <v>1</v>
      </c>
      <c r="D484" s="77">
        <v>33829</v>
      </c>
      <c r="E484" s="76" t="s">
        <v>22</v>
      </c>
      <c r="F484" s="76">
        <v>2</v>
      </c>
      <c r="G484" s="257">
        <v>6</v>
      </c>
      <c r="H484" s="76" t="s">
        <v>211</v>
      </c>
      <c r="I484" s="76">
        <v>1.4E-2</v>
      </c>
      <c r="J484" s="76">
        <v>1</v>
      </c>
      <c r="L484" s="76">
        <v>12</v>
      </c>
      <c r="M484" s="76" t="s">
        <v>235</v>
      </c>
      <c r="BQ484" t="s">
        <v>21</v>
      </c>
      <c r="BR484">
        <v>1674</v>
      </c>
      <c r="BS484">
        <v>1</v>
      </c>
      <c r="BT484" s="2">
        <v>38203</v>
      </c>
      <c r="BU484" s="33">
        <f t="shared" si="20"/>
        <v>2004</v>
      </c>
      <c r="BV484" t="s">
        <v>22</v>
      </c>
      <c r="BW484">
        <v>2</v>
      </c>
      <c r="BX484">
        <v>7</v>
      </c>
      <c r="BY484" t="s">
        <v>211</v>
      </c>
      <c r="BZ484">
        <v>1.2999999999999999E-2</v>
      </c>
      <c r="CA484">
        <f t="shared" si="21"/>
        <v>13</v>
      </c>
      <c r="CB484">
        <v>1</v>
      </c>
      <c r="CC484" t="s">
        <v>237</v>
      </c>
      <c r="CD484">
        <v>7</v>
      </c>
      <c r="CE484" t="s">
        <v>235</v>
      </c>
    </row>
    <row r="485" spans="1:83" x14ac:dyDescent="0.2">
      <c r="A485" s="76" t="s">
        <v>21</v>
      </c>
      <c r="B485" s="76">
        <v>1674</v>
      </c>
      <c r="C485" s="76">
        <v>1</v>
      </c>
      <c r="D485" s="77">
        <v>33829</v>
      </c>
      <c r="E485" s="76" t="s">
        <v>22</v>
      </c>
      <c r="F485" s="76">
        <v>2</v>
      </c>
      <c r="G485" s="257">
        <v>7</v>
      </c>
      <c r="H485" s="76" t="s">
        <v>211</v>
      </c>
      <c r="I485" s="76">
        <v>0.02</v>
      </c>
      <c r="J485" s="76">
        <v>1</v>
      </c>
      <c r="L485" s="76">
        <v>12</v>
      </c>
      <c r="M485" s="76" t="s">
        <v>235</v>
      </c>
      <c r="BQ485" t="s">
        <v>21</v>
      </c>
      <c r="BR485">
        <v>1674</v>
      </c>
      <c r="BS485">
        <v>1</v>
      </c>
      <c r="BT485" s="2">
        <v>38203</v>
      </c>
      <c r="BU485" s="33">
        <f t="shared" si="20"/>
        <v>2004</v>
      </c>
      <c r="BV485" t="s">
        <v>22</v>
      </c>
      <c r="BW485">
        <v>2</v>
      </c>
      <c r="BX485">
        <v>9</v>
      </c>
      <c r="BY485" t="s">
        <v>211</v>
      </c>
      <c r="BZ485">
        <v>2.1000000000000001E-2</v>
      </c>
      <c r="CA485">
        <f t="shared" si="21"/>
        <v>21</v>
      </c>
      <c r="CB485">
        <v>1</v>
      </c>
      <c r="CC485" t="s">
        <v>237</v>
      </c>
      <c r="CD485">
        <v>7</v>
      </c>
      <c r="CE485" t="s">
        <v>235</v>
      </c>
    </row>
    <row r="486" spans="1:83" x14ac:dyDescent="0.2">
      <c r="A486" s="76" t="s">
        <v>21</v>
      </c>
      <c r="B486" s="76">
        <v>1674</v>
      </c>
      <c r="C486" s="76">
        <v>1</v>
      </c>
      <c r="D486" s="77">
        <v>33829</v>
      </c>
      <c r="E486" s="76" t="s">
        <v>22</v>
      </c>
      <c r="F486" s="76">
        <v>2</v>
      </c>
      <c r="G486" s="257">
        <v>8</v>
      </c>
      <c r="H486" s="76" t="s">
        <v>211</v>
      </c>
      <c r="I486" s="76">
        <v>1.6E-2</v>
      </c>
      <c r="J486" s="76">
        <v>1</v>
      </c>
      <c r="L486" s="76">
        <v>12</v>
      </c>
      <c r="M486" s="76" t="s">
        <v>235</v>
      </c>
      <c r="BQ486" s="32" t="s">
        <v>21</v>
      </c>
      <c r="BR486" s="32">
        <v>1674</v>
      </c>
      <c r="BS486" s="32">
        <v>1</v>
      </c>
      <c r="BT486" s="73">
        <v>38203</v>
      </c>
      <c r="BU486" s="33">
        <f t="shared" si="20"/>
        <v>2004</v>
      </c>
      <c r="BV486" s="32" t="s">
        <v>22</v>
      </c>
      <c r="BW486" s="32">
        <v>2</v>
      </c>
      <c r="BX486" s="32">
        <v>11</v>
      </c>
      <c r="BY486" s="32" t="s">
        <v>211</v>
      </c>
      <c r="BZ486" s="32">
        <v>2.5999999999999999E-2</v>
      </c>
      <c r="CA486">
        <f t="shared" si="21"/>
        <v>26</v>
      </c>
      <c r="CB486" s="32">
        <v>1</v>
      </c>
      <c r="CC486" s="32" t="s">
        <v>237</v>
      </c>
      <c r="CD486" s="32">
        <v>7</v>
      </c>
      <c r="CE486" s="32" t="s">
        <v>235</v>
      </c>
    </row>
    <row r="487" spans="1:83" x14ac:dyDescent="0.2">
      <c r="A487" s="76" t="s">
        <v>21</v>
      </c>
      <c r="B487" s="76">
        <v>1674</v>
      </c>
      <c r="C487" s="76">
        <v>1</v>
      </c>
      <c r="D487" s="77">
        <v>33829</v>
      </c>
      <c r="E487" s="76" t="s">
        <v>22</v>
      </c>
      <c r="F487" s="76">
        <v>2</v>
      </c>
      <c r="G487" s="257">
        <v>9</v>
      </c>
      <c r="H487" s="76" t="s">
        <v>211</v>
      </c>
      <c r="I487" s="76">
        <v>1.7000000000000001E-2</v>
      </c>
      <c r="J487" s="76">
        <v>1</v>
      </c>
      <c r="L487" s="76">
        <v>12</v>
      </c>
      <c r="M487" s="76" t="s">
        <v>235</v>
      </c>
      <c r="BQ487" s="21" t="s">
        <v>304</v>
      </c>
    </row>
    <row r="488" spans="1:83" x14ac:dyDescent="0.2">
      <c r="A488" s="76" t="s">
        <v>21</v>
      </c>
      <c r="B488" s="76">
        <v>1674</v>
      </c>
      <c r="C488" s="76">
        <v>1</v>
      </c>
      <c r="D488" s="77">
        <v>33829</v>
      </c>
      <c r="E488" s="76" t="s">
        <v>22</v>
      </c>
      <c r="F488" s="76">
        <v>2</v>
      </c>
      <c r="G488" s="257">
        <v>10</v>
      </c>
      <c r="H488" s="76" t="s">
        <v>211</v>
      </c>
      <c r="I488" s="76">
        <v>0.02</v>
      </c>
      <c r="J488" s="76">
        <v>1</v>
      </c>
      <c r="L488" s="76">
        <v>12</v>
      </c>
      <c r="M488" s="76" t="s">
        <v>235</v>
      </c>
    </row>
    <row r="489" spans="1:83" x14ac:dyDescent="0.2">
      <c r="A489" s="76" t="s">
        <v>21</v>
      </c>
      <c r="B489" s="76">
        <v>1674</v>
      </c>
      <c r="C489" s="76">
        <v>1</v>
      </c>
      <c r="D489" s="77">
        <v>33829</v>
      </c>
      <c r="E489" s="76" t="s">
        <v>22</v>
      </c>
      <c r="F489" s="76">
        <v>2</v>
      </c>
      <c r="G489" s="257">
        <v>11</v>
      </c>
      <c r="H489" s="76" t="s">
        <v>211</v>
      </c>
      <c r="I489" s="76">
        <v>0.02</v>
      </c>
      <c r="J489" s="76">
        <v>1</v>
      </c>
      <c r="L489" s="76">
        <v>12</v>
      </c>
      <c r="M489" s="76" t="s">
        <v>235</v>
      </c>
    </row>
    <row r="490" spans="1:83" x14ac:dyDescent="0.2">
      <c r="A490" s="76" t="s">
        <v>21</v>
      </c>
      <c r="B490" s="76">
        <v>1674</v>
      </c>
      <c r="C490" s="76">
        <v>1</v>
      </c>
      <c r="D490" s="77">
        <v>33829</v>
      </c>
      <c r="E490" s="76" t="s">
        <v>22</v>
      </c>
      <c r="F490" s="76">
        <v>2</v>
      </c>
      <c r="G490" s="257">
        <v>12</v>
      </c>
      <c r="H490" s="76" t="s">
        <v>211</v>
      </c>
      <c r="I490" s="76">
        <v>2.3E-2</v>
      </c>
      <c r="J490" s="76">
        <v>1</v>
      </c>
      <c r="L490" s="76">
        <v>12</v>
      </c>
      <c r="M490" s="76" t="s">
        <v>235</v>
      </c>
    </row>
    <row r="491" spans="1:83" x14ac:dyDescent="0.2">
      <c r="A491" s="76" t="s">
        <v>21</v>
      </c>
      <c r="B491" s="76">
        <v>1674</v>
      </c>
      <c r="C491" s="76">
        <v>1</v>
      </c>
      <c r="D491" s="77">
        <v>33862</v>
      </c>
      <c r="E491" s="76" t="s">
        <v>22</v>
      </c>
      <c r="F491" s="76">
        <v>2</v>
      </c>
      <c r="G491" s="257">
        <v>1</v>
      </c>
      <c r="H491" s="76" t="s">
        <v>211</v>
      </c>
      <c r="I491" s="76">
        <v>1.4999999999999999E-2</v>
      </c>
      <c r="J491" s="76">
        <v>1</v>
      </c>
      <c r="L491" s="76">
        <v>14</v>
      </c>
      <c r="M491" s="76" t="s">
        <v>235</v>
      </c>
    </row>
    <row r="492" spans="1:83" x14ac:dyDescent="0.2">
      <c r="A492" s="76" t="s">
        <v>21</v>
      </c>
      <c r="B492" s="76">
        <v>1674</v>
      </c>
      <c r="C492" s="76">
        <v>1</v>
      </c>
      <c r="D492" s="77">
        <v>33862</v>
      </c>
      <c r="E492" s="76" t="s">
        <v>22</v>
      </c>
      <c r="F492" s="76">
        <v>2</v>
      </c>
      <c r="G492" s="257">
        <v>2</v>
      </c>
      <c r="H492" s="76" t="s">
        <v>211</v>
      </c>
      <c r="I492" s="76">
        <v>1.6E-2</v>
      </c>
      <c r="J492" s="76">
        <v>1</v>
      </c>
      <c r="L492" s="76">
        <v>14</v>
      </c>
      <c r="M492" s="76" t="s">
        <v>235</v>
      </c>
    </row>
    <row r="493" spans="1:83" x14ac:dyDescent="0.2">
      <c r="A493" s="76" t="s">
        <v>21</v>
      </c>
      <c r="B493" s="76">
        <v>1674</v>
      </c>
      <c r="C493" s="76">
        <v>1</v>
      </c>
      <c r="D493" s="77">
        <v>33862</v>
      </c>
      <c r="E493" s="76" t="s">
        <v>22</v>
      </c>
      <c r="F493" s="76">
        <v>2</v>
      </c>
      <c r="G493" s="257">
        <v>3</v>
      </c>
      <c r="H493" s="76" t="s">
        <v>211</v>
      </c>
      <c r="I493" s="76">
        <v>1.7999999999999999E-2</v>
      </c>
      <c r="J493" s="76">
        <v>1</v>
      </c>
      <c r="L493" s="76">
        <v>14</v>
      </c>
      <c r="M493" s="76" t="s">
        <v>235</v>
      </c>
    </row>
    <row r="494" spans="1:83" x14ac:dyDescent="0.2">
      <c r="A494" s="76" t="s">
        <v>21</v>
      </c>
      <c r="B494" s="76">
        <v>1674</v>
      </c>
      <c r="C494" s="76">
        <v>1</v>
      </c>
      <c r="D494" s="77">
        <v>33862</v>
      </c>
      <c r="E494" s="76" t="s">
        <v>22</v>
      </c>
      <c r="F494" s="76">
        <v>2</v>
      </c>
      <c r="G494" s="257">
        <v>4</v>
      </c>
      <c r="H494" s="76" t="s">
        <v>211</v>
      </c>
      <c r="I494" s="76">
        <v>1.7000000000000001E-2</v>
      </c>
      <c r="J494" s="76">
        <v>1</v>
      </c>
      <c r="L494" s="76">
        <v>14</v>
      </c>
      <c r="M494" s="76" t="s">
        <v>235</v>
      </c>
    </row>
    <row r="495" spans="1:83" x14ac:dyDescent="0.2">
      <c r="A495" s="76" t="s">
        <v>21</v>
      </c>
      <c r="B495" s="76">
        <v>1674</v>
      </c>
      <c r="C495" s="76">
        <v>1</v>
      </c>
      <c r="D495" s="77">
        <v>33862</v>
      </c>
      <c r="E495" s="76" t="s">
        <v>22</v>
      </c>
      <c r="F495" s="76">
        <v>2</v>
      </c>
      <c r="G495" s="257">
        <v>5</v>
      </c>
      <c r="H495" s="76" t="s">
        <v>211</v>
      </c>
      <c r="I495" s="76">
        <v>1.4E-2</v>
      </c>
      <c r="J495" s="76">
        <v>1</v>
      </c>
      <c r="L495" s="76">
        <v>14</v>
      </c>
      <c r="M495" s="76" t="s">
        <v>235</v>
      </c>
    </row>
    <row r="496" spans="1:83" x14ac:dyDescent="0.2">
      <c r="A496" s="76" t="s">
        <v>21</v>
      </c>
      <c r="B496" s="76">
        <v>1674</v>
      </c>
      <c r="C496" s="76">
        <v>1</v>
      </c>
      <c r="D496" s="77">
        <v>33862</v>
      </c>
      <c r="E496" s="76" t="s">
        <v>22</v>
      </c>
      <c r="F496" s="76">
        <v>2</v>
      </c>
      <c r="G496" s="257">
        <v>6</v>
      </c>
      <c r="H496" s="76" t="s">
        <v>211</v>
      </c>
      <c r="I496" s="235">
        <v>1.4999999999999999E-2</v>
      </c>
      <c r="J496" s="76">
        <v>1</v>
      </c>
      <c r="L496" s="76">
        <v>14</v>
      </c>
      <c r="M496" s="76" t="s">
        <v>235</v>
      </c>
    </row>
    <row r="497" spans="1:52" x14ac:dyDescent="0.2">
      <c r="A497" s="76" t="s">
        <v>21</v>
      </c>
      <c r="B497" s="76">
        <v>1674</v>
      </c>
      <c r="C497" s="76">
        <v>1</v>
      </c>
      <c r="D497" s="77">
        <v>33862</v>
      </c>
      <c r="E497" s="76" t="s">
        <v>22</v>
      </c>
      <c r="F497" s="76">
        <v>2</v>
      </c>
      <c r="G497" s="257">
        <v>7</v>
      </c>
      <c r="H497" s="76" t="s">
        <v>211</v>
      </c>
      <c r="I497" s="235">
        <v>1.4999999999999999E-2</v>
      </c>
      <c r="J497" s="76">
        <v>1</v>
      </c>
      <c r="L497" s="76">
        <v>14</v>
      </c>
      <c r="M497" s="76" t="s">
        <v>235</v>
      </c>
    </row>
    <row r="498" spans="1:52" x14ac:dyDescent="0.2">
      <c r="A498" s="76" t="s">
        <v>21</v>
      </c>
      <c r="B498" s="76">
        <v>1674</v>
      </c>
      <c r="C498" s="76">
        <v>1</v>
      </c>
      <c r="D498" s="77">
        <v>33862</v>
      </c>
      <c r="E498" s="76" t="s">
        <v>22</v>
      </c>
      <c r="F498" s="76">
        <v>2</v>
      </c>
      <c r="G498" s="257">
        <v>8</v>
      </c>
      <c r="H498" s="76" t="s">
        <v>211</v>
      </c>
      <c r="I498" s="235">
        <v>1.4999999999999999E-2</v>
      </c>
      <c r="J498" s="76">
        <v>1</v>
      </c>
      <c r="L498" s="76">
        <v>14</v>
      </c>
      <c r="M498" s="76" t="s">
        <v>235</v>
      </c>
    </row>
    <row r="499" spans="1:52" x14ac:dyDescent="0.2">
      <c r="A499" s="76" t="s">
        <v>21</v>
      </c>
      <c r="B499" s="76">
        <v>1674</v>
      </c>
      <c r="C499" s="76">
        <v>1</v>
      </c>
      <c r="D499" s="77">
        <v>33862</v>
      </c>
      <c r="E499" s="76" t="s">
        <v>22</v>
      </c>
      <c r="F499" s="76">
        <v>2</v>
      </c>
      <c r="G499" s="257">
        <v>9</v>
      </c>
      <c r="H499" s="76" t="s">
        <v>211</v>
      </c>
      <c r="I499" s="235">
        <v>1.6E-2</v>
      </c>
      <c r="J499" s="76">
        <v>1</v>
      </c>
      <c r="L499" s="76">
        <v>14</v>
      </c>
      <c r="M499" s="76" t="s">
        <v>235</v>
      </c>
    </row>
    <row r="500" spans="1:52" x14ac:dyDescent="0.2">
      <c r="A500" s="76" t="s">
        <v>21</v>
      </c>
      <c r="B500" s="76">
        <v>1674</v>
      </c>
      <c r="C500" s="76">
        <v>1</v>
      </c>
      <c r="D500" s="77">
        <v>33862</v>
      </c>
      <c r="E500" s="76" t="s">
        <v>22</v>
      </c>
      <c r="F500" s="76">
        <v>2</v>
      </c>
      <c r="G500" s="257">
        <v>10</v>
      </c>
      <c r="H500" s="76" t="s">
        <v>211</v>
      </c>
      <c r="I500" s="235">
        <v>1.6E-2</v>
      </c>
      <c r="J500" s="76">
        <v>1</v>
      </c>
      <c r="L500" s="76">
        <v>14</v>
      </c>
      <c r="M500" s="76" t="s">
        <v>235</v>
      </c>
    </row>
    <row r="501" spans="1:52" x14ac:dyDescent="0.2">
      <c r="A501" s="76" t="s">
        <v>21</v>
      </c>
      <c r="B501" s="76">
        <v>1674</v>
      </c>
      <c r="C501" s="76">
        <v>1</v>
      </c>
      <c r="D501" s="77">
        <v>33862</v>
      </c>
      <c r="E501" s="76" t="s">
        <v>22</v>
      </c>
      <c r="F501" s="76">
        <v>2</v>
      </c>
      <c r="G501" s="257">
        <v>11</v>
      </c>
      <c r="H501" s="76" t="s">
        <v>211</v>
      </c>
      <c r="I501" s="235">
        <v>2.1999999999999999E-2</v>
      </c>
      <c r="J501" s="76">
        <v>1</v>
      </c>
      <c r="L501" s="76">
        <v>14</v>
      </c>
      <c r="M501" s="76" t="s">
        <v>235</v>
      </c>
    </row>
    <row r="502" spans="1:52" x14ac:dyDescent="0.2">
      <c r="A502" s="76" t="s">
        <v>21</v>
      </c>
      <c r="B502" s="76">
        <v>1674</v>
      </c>
      <c r="C502" s="76">
        <v>1</v>
      </c>
      <c r="D502" s="77">
        <v>33862</v>
      </c>
      <c r="E502" s="76" t="s">
        <v>22</v>
      </c>
      <c r="F502" s="76">
        <v>2</v>
      </c>
      <c r="G502" s="257">
        <v>12</v>
      </c>
      <c r="H502" s="76" t="s">
        <v>211</v>
      </c>
      <c r="I502" s="235">
        <v>2.9000000000000001E-2</v>
      </c>
      <c r="J502" s="76">
        <v>1</v>
      </c>
      <c r="L502" s="76">
        <v>14</v>
      </c>
      <c r="M502" s="76" t="s">
        <v>235</v>
      </c>
    </row>
    <row r="503" spans="1:52" x14ac:dyDescent="0.2">
      <c r="A503" s="76" t="s">
        <v>21</v>
      </c>
      <c r="B503" s="76">
        <v>1674</v>
      </c>
      <c r="C503" s="76">
        <v>1</v>
      </c>
      <c r="D503" s="77">
        <v>33862</v>
      </c>
      <c r="E503" s="76" t="s">
        <v>22</v>
      </c>
      <c r="F503" s="76">
        <v>2</v>
      </c>
      <c r="G503" s="257">
        <v>13</v>
      </c>
      <c r="H503" s="76" t="s">
        <v>211</v>
      </c>
      <c r="I503" s="235">
        <v>1.7999999999999999E-2</v>
      </c>
      <c r="J503" s="76">
        <v>1</v>
      </c>
      <c r="L503" s="76">
        <v>14</v>
      </c>
      <c r="M503" s="76" t="s">
        <v>235</v>
      </c>
    </row>
    <row r="504" spans="1:52" x14ac:dyDescent="0.2">
      <c r="A504" s="76" t="s">
        <v>21</v>
      </c>
      <c r="B504" s="76">
        <v>1674</v>
      </c>
      <c r="C504" s="76">
        <v>1</v>
      </c>
      <c r="D504" s="77">
        <v>33862</v>
      </c>
      <c r="E504" s="76" t="s">
        <v>22</v>
      </c>
      <c r="F504" s="76">
        <v>2</v>
      </c>
      <c r="G504" s="257">
        <v>14</v>
      </c>
      <c r="H504" s="76" t="s">
        <v>211</v>
      </c>
      <c r="I504" s="235">
        <v>3.9E-2</v>
      </c>
      <c r="J504" s="76">
        <v>1</v>
      </c>
      <c r="L504" s="76">
        <v>14</v>
      </c>
      <c r="M504" s="76" t="s">
        <v>235</v>
      </c>
    </row>
    <row r="505" spans="1:52" x14ac:dyDescent="0.2">
      <c r="A505" s="76" t="s">
        <v>21</v>
      </c>
      <c r="B505" s="76">
        <v>1674</v>
      </c>
      <c r="C505" s="76">
        <v>1</v>
      </c>
      <c r="D505" s="77">
        <v>37769</v>
      </c>
      <c r="E505" s="76" t="s">
        <v>22</v>
      </c>
      <c r="F505" s="76">
        <v>2</v>
      </c>
      <c r="G505" s="257">
        <v>0.1</v>
      </c>
      <c r="H505" s="76" t="s">
        <v>211</v>
      </c>
      <c r="I505" s="235">
        <v>8.9999999999999993E-3</v>
      </c>
      <c r="J505" s="76">
        <v>1</v>
      </c>
      <c r="K505" s="76" t="s">
        <v>237</v>
      </c>
      <c r="L505" s="76">
        <v>6</v>
      </c>
      <c r="M505" s="76" t="s">
        <v>235</v>
      </c>
    </row>
    <row r="506" spans="1:52" x14ac:dyDescent="0.2">
      <c r="A506" s="76" t="s">
        <v>21</v>
      </c>
      <c r="B506" s="76">
        <v>1674</v>
      </c>
      <c r="C506" s="76">
        <v>1</v>
      </c>
      <c r="D506" s="77">
        <v>37769</v>
      </c>
      <c r="E506" s="76" t="s">
        <v>22</v>
      </c>
      <c r="F506" s="76">
        <v>2</v>
      </c>
      <c r="G506" s="257">
        <v>1</v>
      </c>
      <c r="H506" s="76" t="s">
        <v>211</v>
      </c>
      <c r="I506" s="235">
        <v>8.9999999999999993E-3</v>
      </c>
      <c r="J506" s="76">
        <v>1</v>
      </c>
      <c r="K506" s="76" t="s">
        <v>237</v>
      </c>
      <c r="L506" s="76">
        <v>6</v>
      </c>
      <c r="M506" s="76" t="s">
        <v>235</v>
      </c>
    </row>
    <row r="507" spans="1:52" x14ac:dyDescent="0.2">
      <c r="A507" s="76" t="s">
        <v>21</v>
      </c>
      <c r="B507" s="76">
        <v>1674</v>
      </c>
      <c r="C507" s="76">
        <v>1</v>
      </c>
      <c r="D507" s="77">
        <v>37769</v>
      </c>
      <c r="E507" s="76" t="s">
        <v>22</v>
      </c>
      <c r="F507" s="76">
        <v>2</v>
      </c>
      <c r="G507" s="257">
        <v>3</v>
      </c>
      <c r="H507" s="76" t="s">
        <v>211</v>
      </c>
      <c r="I507" s="235">
        <v>8.9999999999999993E-3</v>
      </c>
      <c r="J507" s="76">
        <v>1</v>
      </c>
      <c r="K507" s="76" t="s">
        <v>237</v>
      </c>
      <c r="L507" s="76">
        <v>6</v>
      </c>
      <c r="M507" s="76" t="s">
        <v>235</v>
      </c>
    </row>
    <row r="508" spans="1:52" x14ac:dyDescent="0.2">
      <c r="A508" s="76" t="s">
        <v>21</v>
      </c>
      <c r="B508" s="76">
        <v>1674</v>
      </c>
      <c r="C508" s="76">
        <v>1</v>
      </c>
      <c r="D508" s="77">
        <v>37769</v>
      </c>
      <c r="E508" s="76" t="s">
        <v>22</v>
      </c>
      <c r="F508" s="76">
        <v>2</v>
      </c>
      <c r="G508" s="257">
        <v>5</v>
      </c>
      <c r="H508" s="76" t="s">
        <v>211</v>
      </c>
      <c r="I508" s="235">
        <v>8.0000000000000002E-3</v>
      </c>
      <c r="J508" s="76">
        <v>1</v>
      </c>
      <c r="K508" s="76" t="s">
        <v>237</v>
      </c>
      <c r="L508" s="76">
        <v>6</v>
      </c>
      <c r="M508" s="76" t="s">
        <v>235</v>
      </c>
    </row>
    <row r="509" spans="1:52" x14ac:dyDescent="0.2">
      <c r="A509" s="76" t="s">
        <v>21</v>
      </c>
      <c r="B509" s="76">
        <v>1674</v>
      </c>
      <c r="C509" s="76">
        <v>1</v>
      </c>
      <c r="D509" s="77">
        <v>37769</v>
      </c>
      <c r="E509" s="76" t="s">
        <v>22</v>
      </c>
      <c r="F509" s="76">
        <v>2</v>
      </c>
      <c r="G509" s="257">
        <v>7</v>
      </c>
      <c r="H509" s="76" t="s">
        <v>211</v>
      </c>
      <c r="I509" s="235">
        <v>8.9999999999999993E-3</v>
      </c>
      <c r="J509" s="76">
        <v>1</v>
      </c>
      <c r="K509" s="76" t="s">
        <v>237</v>
      </c>
      <c r="L509" s="76">
        <v>6</v>
      </c>
      <c r="M509" s="76" t="s">
        <v>235</v>
      </c>
    </row>
    <row r="510" spans="1:52" x14ac:dyDescent="0.2">
      <c r="A510" s="76" t="s">
        <v>21</v>
      </c>
      <c r="B510" s="76">
        <v>1674</v>
      </c>
      <c r="C510" s="76">
        <v>1</v>
      </c>
      <c r="D510" s="77">
        <v>37769</v>
      </c>
      <c r="E510" s="76" t="s">
        <v>22</v>
      </c>
      <c r="F510" s="76">
        <v>2</v>
      </c>
      <c r="G510" s="257">
        <v>9</v>
      </c>
      <c r="H510" s="76" t="s">
        <v>211</v>
      </c>
      <c r="I510" s="235">
        <v>0.01</v>
      </c>
      <c r="J510" s="76">
        <v>1</v>
      </c>
      <c r="K510" s="76" t="s">
        <v>237</v>
      </c>
      <c r="L510" s="76">
        <v>6</v>
      </c>
      <c r="M510" s="76" t="s">
        <v>235</v>
      </c>
    </row>
    <row r="511" spans="1:52" x14ac:dyDescent="0.2">
      <c r="A511" s="76" t="s">
        <v>21</v>
      </c>
      <c r="B511" s="76">
        <v>1674</v>
      </c>
      <c r="C511" s="76">
        <v>1</v>
      </c>
      <c r="D511" s="77">
        <v>38169</v>
      </c>
      <c r="E511" s="76" t="s">
        <v>22</v>
      </c>
      <c r="F511" s="76">
        <v>2</v>
      </c>
      <c r="G511" s="257">
        <v>0.1</v>
      </c>
      <c r="H511" s="76" t="s">
        <v>211</v>
      </c>
      <c r="I511" s="235">
        <v>1.4999999999999999E-2</v>
      </c>
      <c r="J511" s="76">
        <v>1</v>
      </c>
      <c r="K511" s="76" t="s">
        <v>237</v>
      </c>
      <c r="L511" s="76">
        <v>6</v>
      </c>
      <c r="M511" s="76" t="s">
        <v>235</v>
      </c>
      <c r="O511" s="32"/>
    </row>
    <row r="512" spans="1:52" s="32" customFormat="1" x14ac:dyDescent="0.2">
      <c r="A512" s="78" t="s">
        <v>21</v>
      </c>
      <c r="B512" s="78">
        <v>1674</v>
      </c>
      <c r="C512" s="78">
        <v>1</v>
      </c>
      <c r="D512" s="79">
        <v>38169</v>
      </c>
      <c r="E512" s="78" t="s">
        <v>22</v>
      </c>
      <c r="F512" s="78">
        <v>2</v>
      </c>
      <c r="G512" s="258">
        <v>1</v>
      </c>
      <c r="H512" s="78" t="s">
        <v>211</v>
      </c>
      <c r="I512" s="236">
        <v>1.7000000000000001E-2</v>
      </c>
      <c r="J512" s="78">
        <v>1</v>
      </c>
      <c r="K512" s="78" t="s">
        <v>237</v>
      </c>
      <c r="L512" s="78">
        <v>6</v>
      </c>
      <c r="M512" s="78" t="s">
        <v>235</v>
      </c>
      <c r="AE512"/>
      <c r="AF512"/>
      <c r="AG512"/>
      <c r="AH512"/>
      <c r="AI512" s="96"/>
      <c r="AJ512" s="96"/>
      <c r="AK512" s="146"/>
      <c r="AL512" s="146"/>
      <c r="AM512" s="146"/>
      <c r="AN512" s="146"/>
      <c r="AO512" s="146"/>
      <c r="AP512" s="146"/>
      <c r="AQ512" s="146"/>
      <c r="AR512" s="146"/>
      <c r="AS512" s="146"/>
      <c r="AT512" s="146"/>
      <c r="AU512" s="146"/>
      <c r="AV512" s="146"/>
      <c r="AW512" s="146"/>
      <c r="AX512" s="146"/>
      <c r="AY512" s="146"/>
      <c r="AZ512" s="147"/>
    </row>
    <row r="513" spans="1:52" s="32" customFormat="1" x14ac:dyDescent="0.2">
      <c r="A513" s="78" t="s">
        <v>21</v>
      </c>
      <c r="B513" s="78">
        <v>1674</v>
      </c>
      <c r="C513" s="78">
        <v>1</v>
      </c>
      <c r="D513" s="79">
        <v>38169</v>
      </c>
      <c r="E513" s="78" t="s">
        <v>22</v>
      </c>
      <c r="F513" s="78">
        <v>2</v>
      </c>
      <c r="G513" s="258">
        <v>3</v>
      </c>
      <c r="H513" s="78" t="s">
        <v>211</v>
      </c>
      <c r="I513" s="236">
        <v>0.02</v>
      </c>
      <c r="J513" s="78">
        <v>1</v>
      </c>
      <c r="K513" s="78" t="s">
        <v>237</v>
      </c>
      <c r="L513" s="78">
        <v>6</v>
      </c>
      <c r="M513" s="78" t="s">
        <v>235</v>
      </c>
      <c r="AI513" s="96"/>
      <c r="AJ513" s="96"/>
      <c r="AK513" s="147"/>
      <c r="AL513" s="147"/>
      <c r="AM513" s="147"/>
      <c r="AN513" s="147"/>
      <c r="AO513" s="147"/>
      <c r="AP513" s="147"/>
      <c r="AQ513" s="147"/>
      <c r="AR513" s="147"/>
      <c r="AS513" s="147"/>
      <c r="AT513" s="147"/>
      <c r="AU513" s="147"/>
      <c r="AV513" s="147"/>
      <c r="AW513" s="147"/>
      <c r="AX513" s="147"/>
      <c r="AY513" s="147"/>
      <c r="AZ513" s="147"/>
    </row>
    <row r="514" spans="1:52" s="32" customFormat="1" x14ac:dyDescent="0.2">
      <c r="A514" s="78" t="s">
        <v>21</v>
      </c>
      <c r="B514" s="78">
        <v>1674</v>
      </c>
      <c r="C514" s="78">
        <v>1</v>
      </c>
      <c r="D514" s="79">
        <v>38169</v>
      </c>
      <c r="E514" s="78" t="s">
        <v>22</v>
      </c>
      <c r="F514" s="78">
        <v>2</v>
      </c>
      <c r="G514" s="258">
        <v>5</v>
      </c>
      <c r="H514" s="78" t="s">
        <v>211</v>
      </c>
      <c r="I514" s="236">
        <v>2.4E-2</v>
      </c>
      <c r="J514" s="78">
        <v>1</v>
      </c>
      <c r="K514" s="78" t="s">
        <v>237</v>
      </c>
      <c r="L514" s="78">
        <v>6</v>
      </c>
      <c r="M514" s="78" t="s">
        <v>235</v>
      </c>
      <c r="AI514" s="96"/>
      <c r="AJ514" s="96"/>
      <c r="AK514" s="147"/>
      <c r="AL514" s="147"/>
      <c r="AM514" s="147"/>
      <c r="AN514" s="147"/>
      <c r="AO514" s="147"/>
      <c r="AP514" s="147"/>
      <c r="AQ514" s="147"/>
      <c r="AR514" s="147"/>
      <c r="AS514" s="147"/>
      <c r="AT514" s="147"/>
      <c r="AU514" s="147"/>
      <c r="AV514" s="147"/>
      <c r="AW514" s="147"/>
      <c r="AX514" s="147"/>
      <c r="AY514" s="147"/>
      <c r="AZ514" s="147"/>
    </row>
    <row r="515" spans="1:52" s="32" customFormat="1" x14ac:dyDescent="0.2">
      <c r="A515" s="78" t="s">
        <v>21</v>
      </c>
      <c r="B515" s="78">
        <v>1674</v>
      </c>
      <c r="C515" s="78">
        <v>1</v>
      </c>
      <c r="D515" s="79">
        <v>38169</v>
      </c>
      <c r="E515" s="78" t="s">
        <v>22</v>
      </c>
      <c r="F515" s="78">
        <v>2</v>
      </c>
      <c r="G515" s="258">
        <v>7</v>
      </c>
      <c r="H515" s="78" t="s">
        <v>211</v>
      </c>
      <c r="I515" s="236">
        <v>1.7999999999999999E-2</v>
      </c>
      <c r="J515" s="78">
        <v>1</v>
      </c>
      <c r="K515" s="78" t="s">
        <v>237</v>
      </c>
      <c r="L515" s="78">
        <v>6</v>
      </c>
      <c r="M515" s="78" t="s">
        <v>235</v>
      </c>
      <c r="AI515" s="96"/>
      <c r="AJ515" s="96"/>
      <c r="AK515" s="147"/>
      <c r="AL515" s="147"/>
      <c r="AM515" s="147"/>
      <c r="AN515" s="147"/>
      <c r="AO515" s="147"/>
      <c r="AP515" s="147"/>
      <c r="AQ515" s="147"/>
      <c r="AR515" s="147"/>
      <c r="AS515" s="147"/>
      <c r="AT515" s="147"/>
      <c r="AU515" s="147"/>
      <c r="AV515" s="147"/>
      <c r="AW515" s="147"/>
      <c r="AX515" s="147"/>
      <c r="AY515" s="147"/>
      <c r="AZ515" s="147"/>
    </row>
    <row r="516" spans="1:52" s="32" customFormat="1" x14ac:dyDescent="0.2">
      <c r="A516" s="78" t="s">
        <v>21</v>
      </c>
      <c r="B516" s="78">
        <v>1674</v>
      </c>
      <c r="C516" s="78">
        <v>1</v>
      </c>
      <c r="D516" s="79">
        <v>38169</v>
      </c>
      <c r="E516" s="78" t="s">
        <v>22</v>
      </c>
      <c r="F516" s="78">
        <v>2</v>
      </c>
      <c r="G516" s="258">
        <v>9</v>
      </c>
      <c r="H516" s="78" t="s">
        <v>211</v>
      </c>
      <c r="I516" s="236">
        <v>0.02</v>
      </c>
      <c r="J516" s="78">
        <v>1</v>
      </c>
      <c r="K516" s="78" t="s">
        <v>237</v>
      </c>
      <c r="L516" s="78">
        <v>6</v>
      </c>
      <c r="M516" s="78" t="s">
        <v>235</v>
      </c>
      <c r="AI516" s="96"/>
      <c r="AJ516" s="96"/>
      <c r="AK516" s="147"/>
      <c r="AL516" s="147"/>
      <c r="AM516" s="147"/>
      <c r="AN516" s="147"/>
      <c r="AO516" s="147"/>
      <c r="AP516" s="147"/>
      <c r="AQ516" s="147"/>
      <c r="AR516" s="147"/>
      <c r="AS516" s="147"/>
      <c r="AT516" s="147"/>
      <c r="AU516" s="147"/>
      <c r="AV516" s="147"/>
      <c r="AW516" s="147"/>
      <c r="AX516" s="147"/>
      <c r="AY516" s="147"/>
      <c r="AZ516" s="147"/>
    </row>
    <row r="517" spans="1:52" s="32" customFormat="1" x14ac:dyDescent="0.2">
      <c r="A517" s="78" t="s">
        <v>21</v>
      </c>
      <c r="B517" s="78">
        <v>1674</v>
      </c>
      <c r="C517" s="78">
        <v>1</v>
      </c>
      <c r="D517" s="79">
        <v>38203</v>
      </c>
      <c r="E517" s="78" t="s">
        <v>22</v>
      </c>
      <c r="F517" s="78">
        <v>2</v>
      </c>
      <c r="G517" s="258">
        <v>0.1</v>
      </c>
      <c r="H517" s="78" t="s">
        <v>211</v>
      </c>
      <c r="I517" s="236">
        <v>1.2999999999999999E-2</v>
      </c>
      <c r="J517" s="78">
        <v>1</v>
      </c>
      <c r="K517" s="78" t="s">
        <v>237</v>
      </c>
      <c r="L517" s="78">
        <v>7</v>
      </c>
      <c r="M517" s="78" t="s">
        <v>235</v>
      </c>
      <c r="AI517" s="96"/>
      <c r="AJ517" s="96"/>
      <c r="AK517" s="147"/>
      <c r="AL517" s="147"/>
      <c r="AM517" s="147"/>
      <c r="AN517" s="147"/>
      <c r="AO517" s="147"/>
      <c r="AP517" s="147"/>
      <c r="AQ517" s="147"/>
      <c r="AR517" s="147"/>
      <c r="AS517" s="147"/>
      <c r="AT517" s="147"/>
      <c r="AU517" s="147"/>
      <c r="AV517" s="147"/>
      <c r="AW517" s="147"/>
      <c r="AX517" s="147"/>
      <c r="AY517" s="147"/>
      <c r="AZ517" s="147"/>
    </row>
    <row r="518" spans="1:52" s="32" customFormat="1" x14ac:dyDescent="0.2">
      <c r="A518" s="78" t="s">
        <v>21</v>
      </c>
      <c r="B518" s="78">
        <v>1674</v>
      </c>
      <c r="C518" s="78">
        <v>1</v>
      </c>
      <c r="D518" s="79">
        <v>38203</v>
      </c>
      <c r="E518" s="78" t="s">
        <v>22</v>
      </c>
      <c r="F518" s="78">
        <v>2</v>
      </c>
      <c r="G518" s="258">
        <v>1</v>
      </c>
      <c r="H518" s="78" t="s">
        <v>211</v>
      </c>
      <c r="I518" s="236">
        <v>1.2999999999999999E-2</v>
      </c>
      <c r="J518" s="78">
        <v>1</v>
      </c>
      <c r="K518" s="78" t="s">
        <v>237</v>
      </c>
      <c r="L518" s="78">
        <v>7</v>
      </c>
      <c r="M518" s="78" t="s">
        <v>235</v>
      </c>
      <c r="AI518" s="96"/>
      <c r="AJ518" s="96"/>
      <c r="AK518" s="147"/>
      <c r="AL518" s="147"/>
      <c r="AM518" s="147"/>
      <c r="AN518" s="147"/>
      <c r="AO518" s="147"/>
      <c r="AP518" s="147"/>
      <c r="AQ518" s="147"/>
      <c r="AR518" s="147"/>
      <c r="AS518" s="147"/>
      <c r="AT518" s="147"/>
      <c r="AU518" s="147"/>
      <c r="AV518" s="147"/>
      <c r="AW518" s="147"/>
      <c r="AX518" s="147"/>
      <c r="AY518" s="147"/>
      <c r="AZ518" s="147"/>
    </row>
    <row r="519" spans="1:52" s="32" customFormat="1" x14ac:dyDescent="0.2">
      <c r="A519" s="78" t="s">
        <v>21</v>
      </c>
      <c r="B519" s="78">
        <v>1674</v>
      </c>
      <c r="C519" s="78">
        <v>1</v>
      </c>
      <c r="D519" s="79">
        <v>38203</v>
      </c>
      <c r="E519" s="78" t="s">
        <v>22</v>
      </c>
      <c r="F519" s="78">
        <v>2</v>
      </c>
      <c r="G519" s="258">
        <v>3</v>
      </c>
      <c r="H519" s="78" t="s">
        <v>211</v>
      </c>
      <c r="I519" s="236">
        <v>1.2E-2</v>
      </c>
      <c r="J519" s="78">
        <v>1</v>
      </c>
      <c r="K519" s="78" t="s">
        <v>237</v>
      </c>
      <c r="L519" s="78">
        <v>7</v>
      </c>
      <c r="M519" s="78" t="s">
        <v>235</v>
      </c>
      <c r="AI519" s="96"/>
      <c r="AJ519" s="96"/>
      <c r="AK519" s="147"/>
      <c r="AL519" s="147"/>
      <c r="AM519" s="147"/>
      <c r="AN519" s="147"/>
      <c r="AO519" s="147"/>
      <c r="AP519" s="147"/>
      <c r="AQ519" s="147"/>
      <c r="AR519" s="147"/>
      <c r="AS519" s="147"/>
      <c r="AT519" s="147"/>
      <c r="AU519" s="147"/>
      <c r="AV519" s="147"/>
      <c r="AW519" s="147"/>
      <c r="AX519" s="147"/>
      <c r="AY519" s="147"/>
      <c r="AZ519" s="147"/>
    </row>
    <row r="520" spans="1:52" s="32" customFormat="1" x14ac:dyDescent="0.2">
      <c r="A520" s="78" t="s">
        <v>21</v>
      </c>
      <c r="B520" s="78">
        <v>1674</v>
      </c>
      <c r="C520" s="78">
        <v>1</v>
      </c>
      <c r="D520" s="79">
        <v>38203</v>
      </c>
      <c r="E520" s="78" t="s">
        <v>22</v>
      </c>
      <c r="F520" s="78">
        <v>2</v>
      </c>
      <c r="G520" s="258">
        <v>5</v>
      </c>
      <c r="H520" s="78" t="s">
        <v>211</v>
      </c>
      <c r="I520" s="236">
        <v>1.4E-2</v>
      </c>
      <c r="J520" s="78">
        <v>1</v>
      </c>
      <c r="K520" s="78" t="s">
        <v>237</v>
      </c>
      <c r="L520" s="78">
        <v>7</v>
      </c>
      <c r="M520" s="78" t="s">
        <v>235</v>
      </c>
      <c r="AI520" s="96"/>
      <c r="AJ520" s="96"/>
      <c r="AK520" s="147"/>
      <c r="AL520" s="147"/>
      <c r="AM520" s="147"/>
      <c r="AN520" s="147"/>
      <c r="AO520" s="147"/>
      <c r="AP520" s="147"/>
      <c r="AQ520" s="147"/>
      <c r="AR520" s="147"/>
      <c r="AS520" s="147"/>
      <c r="AT520" s="147"/>
      <c r="AU520" s="147"/>
      <c r="AV520" s="147"/>
      <c r="AW520" s="147"/>
      <c r="AX520" s="147"/>
      <c r="AY520" s="147"/>
      <c r="AZ520" s="147"/>
    </row>
    <row r="521" spans="1:52" s="32" customFormat="1" x14ac:dyDescent="0.2">
      <c r="A521" s="78" t="s">
        <v>21</v>
      </c>
      <c r="B521" s="78">
        <v>1674</v>
      </c>
      <c r="C521" s="78">
        <v>1</v>
      </c>
      <c r="D521" s="79">
        <v>38203</v>
      </c>
      <c r="E521" s="78" t="s">
        <v>22</v>
      </c>
      <c r="F521" s="78">
        <v>2</v>
      </c>
      <c r="G521" s="258">
        <v>7</v>
      </c>
      <c r="H521" s="78" t="s">
        <v>211</v>
      </c>
      <c r="I521" s="236">
        <v>1.2999999999999999E-2</v>
      </c>
      <c r="J521" s="78">
        <v>1</v>
      </c>
      <c r="K521" s="78" t="s">
        <v>237</v>
      </c>
      <c r="L521" s="78">
        <v>7</v>
      </c>
      <c r="M521" s="78" t="s">
        <v>235</v>
      </c>
      <c r="AI521" s="96"/>
      <c r="AJ521" s="96"/>
      <c r="AK521" s="147"/>
      <c r="AL521" s="147"/>
      <c r="AM521" s="147"/>
      <c r="AN521" s="147"/>
      <c r="AO521" s="147"/>
      <c r="AP521" s="147"/>
      <c r="AQ521" s="147"/>
      <c r="AR521" s="147"/>
      <c r="AS521" s="147"/>
      <c r="AT521" s="147"/>
      <c r="AU521" s="147"/>
      <c r="AV521" s="147"/>
      <c r="AW521" s="147"/>
      <c r="AX521" s="147"/>
      <c r="AY521" s="147"/>
      <c r="AZ521" s="147"/>
    </row>
    <row r="522" spans="1:52" s="32" customFormat="1" x14ac:dyDescent="0.2">
      <c r="A522" s="78" t="s">
        <v>21</v>
      </c>
      <c r="B522" s="78">
        <v>1674</v>
      </c>
      <c r="C522" s="78">
        <v>1</v>
      </c>
      <c r="D522" s="79">
        <v>38203</v>
      </c>
      <c r="E522" s="78" t="s">
        <v>22</v>
      </c>
      <c r="F522" s="78">
        <v>2</v>
      </c>
      <c r="G522" s="258">
        <v>9</v>
      </c>
      <c r="H522" s="78" t="s">
        <v>211</v>
      </c>
      <c r="I522" s="236">
        <v>2.1000000000000001E-2</v>
      </c>
      <c r="J522" s="78">
        <v>1</v>
      </c>
      <c r="K522" s="78" t="s">
        <v>237</v>
      </c>
      <c r="L522" s="78">
        <v>7</v>
      </c>
      <c r="M522" s="78" t="s">
        <v>235</v>
      </c>
      <c r="AI522" s="96"/>
      <c r="AJ522" s="96"/>
      <c r="AK522" s="147"/>
      <c r="AL522" s="147"/>
      <c r="AM522" s="147"/>
      <c r="AN522" s="147"/>
      <c r="AO522" s="147"/>
      <c r="AP522" s="147"/>
      <c r="AQ522" s="147"/>
      <c r="AR522" s="147"/>
      <c r="AS522" s="147"/>
      <c r="AT522" s="147"/>
      <c r="AU522" s="147"/>
      <c r="AV522" s="147"/>
      <c r="AW522" s="147"/>
      <c r="AX522" s="147"/>
      <c r="AY522" s="147"/>
      <c r="AZ522" s="147"/>
    </row>
    <row r="523" spans="1:52" s="32" customFormat="1" x14ac:dyDescent="0.2">
      <c r="A523" s="78" t="s">
        <v>21</v>
      </c>
      <c r="B523" s="78">
        <v>1674</v>
      </c>
      <c r="C523" s="78">
        <v>1</v>
      </c>
      <c r="D523" s="79">
        <v>38203</v>
      </c>
      <c r="E523" s="78" t="s">
        <v>22</v>
      </c>
      <c r="F523" s="78">
        <v>2</v>
      </c>
      <c r="G523" s="258">
        <v>11</v>
      </c>
      <c r="H523" s="78" t="s">
        <v>211</v>
      </c>
      <c r="I523" s="236">
        <v>2.5999999999999999E-2</v>
      </c>
      <c r="J523" s="78">
        <v>1</v>
      </c>
      <c r="K523" s="78" t="s">
        <v>237</v>
      </c>
      <c r="L523" s="78">
        <v>7</v>
      </c>
      <c r="M523" s="78" t="s">
        <v>235</v>
      </c>
      <c r="AI523" s="96"/>
      <c r="AJ523" s="96"/>
      <c r="AK523" s="147"/>
      <c r="AL523" s="147"/>
      <c r="AM523" s="147"/>
      <c r="AN523" s="147"/>
      <c r="AO523" s="147"/>
      <c r="AP523" s="147"/>
      <c r="AQ523" s="147"/>
      <c r="AR523" s="147"/>
      <c r="AS523" s="147"/>
      <c r="AT523" s="147"/>
      <c r="AU523" s="147"/>
      <c r="AV523" s="147"/>
      <c r="AW523" s="147"/>
      <c r="AX523" s="147"/>
      <c r="AY523" s="147"/>
      <c r="AZ523" s="147"/>
    </row>
    <row r="524" spans="1:52" s="32" customFormat="1" x14ac:dyDescent="0.2">
      <c r="A524" s="78" t="s">
        <v>21</v>
      </c>
      <c r="B524" s="78">
        <v>1674</v>
      </c>
      <c r="C524" s="78">
        <v>1</v>
      </c>
      <c r="D524" s="79">
        <v>43297</v>
      </c>
      <c r="E524" s="78" t="s">
        <v>22</v>
      </c>
      <c r="F524" s="78">
        <v>3</v>
      </c>
      <c r="G524" s="258">
        <v>0</v>
      </c>
      <c r="H524" s="78" t="s">
        <v>211</v>
      </c>
      <c r="I524" s="236">
        <v>1.2E-2</v>
      </c>
      <c r="J524" s="78">
        <v>1</v>
      </c>
      <c r="K524" s="78" t="s">
        <v>227</v>
      </c>
      <c r="L524" s="78">
        <v>1</v>
      </c>
      <c r="M524" s="78" t="s">
        <v>236</v>
      </c>
      <c r="AI524" s="96"/>
      <c r="AJ524" s="96"/>
      <c r="AK524" s="147"/>
      <c r="AL524" s="147"/>
      <c r="AM524" s="147"/>
      <c r="AN524" s="147"/>
      <c r="AO524" s="147"/>
      <c r="AP524" s="147"/>
      <c r="AQ524" s="147"/>
      <c r="AR524" s="147"/>
      <c r="AS524" s="147"/>
      <c r="AT524" s="147"/>
      <c r="AU524" s="147"/>
      <c r="AV524" s="147"/>
      <c r="AW524" s="147"/>
      <c r="AX524" s="147"/>
      <c r="AY524" s="147"/>
      <c r="AZ524" s="147"/>
    </row>
    <row r="525" spans="1:52" s="74" customFormat="1" x14ac:dyDescent="0.2">
      <c r="A525" s="78" t="s">
        <v>21</v>
      </c>
      <c r="B525" s="78">
        <v>1674</v>
      </c>
      <c r="C525" s="78">
        <v>1</v>
      </c>
      <c r="D525" s="79">
        <v>43325</v>
      </c>
      <c r="E525" s="78" t="s">
        <v>22</v>
      </c>
      <c r="F525" s="78">
        <v>3</v>
      </c>
      <c r="G525" s="258">
        <v>0</v>
      </c>
      <c r="H525" s="78" t="s">
        <v>211</v>
      </c>
      <c r="I525" s="236">
        <v>8.9999999999999993E-3</v>
      </c>
      <c r="J525" s="78">
        <v>1</v>
      </c>
      <c r="K525" s="78" t="s">
        <v>227</v>
      </c>
      <c r="L525" s="78">
        <v>1</v>
      </c>
      <c r="M525" s="78" t="s">
        <v>236</v>
      </c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96"/>
      <c r="AJ525" s="96"/>
      <c r="AK525" s="147"/>
      <c r="AL525" s="147"/>
      <c r="AM525" s="147"/>
      <c r="AN525" s="147"/>
      <c r="AO525" s="147"/>
      <c r="AP525" s="147"/>
      <c r="AQ525" s="147"/>
      <c r="AR525" s="147"/>
      <c r="AS525" s="147"/>
      <c r="AT525" s="147"/>
      <c r="AU525" s="147"/>
      <c r="AV525" s="147"/>
      <c r="AW525" s="147"/>
      <c r="AX525" s="147"/>
      <c r="AY525" s="147"/>
      <c r="AZ525" s="148"/>
    </row>
    <row r="526" spans="1:52" s="32" customFormat="1" x14ac:dyDescent="0.2">
      <c r="A526" s="161" t="s">
        <v>21</v>
      </c>
      <c r="B526" s="161">
        <v>1674</v>
      </c>
      <c r="C526" s="161">
        <v>1</v>
      </c>
      <c r="D526" s="163">
        <v>43641</v>
      </c>
      <c r="E526" s="161" t="s">
        <v>22</v>
      </c>
      <c r="F526" s="161">
        <v>2</v>
      </c>
      <c r="G526" s="259">
        <v>10</v>
      </c>
      <c r="H526" s="267" t="s">
        <v>32</v>
      </c>
      <c r="I526" s="248">
        <v>1.2E-2</v>
      </c>
      <c r="J526" s="161">
        <v>2</v>
      </c>
      <c r="K526" s="161" t="s">
        <v>226</v>
      </c>
      <c r="L526" s="249">
        <f>I526*1000</f>
        <v>12</v>
      </c>
      <c r="M526" s="161" t="s">
        <v>224</v>
      </c>
      <c r="AI526" s="96"/>
      <c r="AJ526" s="96"/>
      <c r="AK526" s="147"/>
      <c r="AL526" s="147"/>
      <c r="AM526" s="147"/>
      <c r="AN526" s="147"/>
      <c r="AO526" s="147"/>
      <c r="AP526" s="147"/>
      <c r="AQ526" s="147"/>
      <c r="AR526" s="147"/>
      <c r="AS526" s="147"/>
      <c r="AT526" s="147"/>
      <c r="AU526" s="147"/>
      <c r="AV526" s="147"/>
      <c r="AW526" s="147"/>
      <c r="AX526" s="147"/>
      <c r="AY526" s="147"/>
      <c r="AZ526" s="147"/>
    </row>
    <row r="527" spans="1:52" s="32" customFormat="1" x14ac:dyDescent="0.2">
      <c r="A527" s="161" t="s">
        <v>21</v>
      </c>
      <c r="B527" s="161">
        <v>1674</v>
      </c>
      <c r="C527" s="161">
        <v>1</v>
      </c>
      <c r="D527" s="165">
        <v>43641</v>
      </c>
      <c r="E527" s="161" t="s">
        <v>22</v>
      </c>
      <c r="F527" s="161">
        <v>2</v>
      </c>
      <c r="G527" s="250">
        <v>1</v>
      </c>
      <c r="H527" s="161" t="s">
        <v>211</v>
      </c>
      <c r="I527" s="251">
        <f>21/1000</f>
        <v>2.1000000000000001E-2</v>
      </c>
      <c r="J527" s="161"/>
      <c r="K527" s="161"/>
      <c r="L527" s="161">
        <f>I527*1000</f>
        <v>21</v>
      </c>
      <c r="M527" s="161" t="s">
        <v>235</v>
      </c>
      <c r="AI527" s="96"/>
      <c r="AJ527" s="96"/>
      <c r="AK527" s="147"/>
      <c r="AL527" s="147"/>
      <c r="AM527" s="147"/>
      <c r="AN527" s="147"/>
      <c r="AO527" s="147"/>
      <c r="AP527" s="147"/>
      <c r="AQ527" s="147"/>
      <c r="AR527" s="147"/>
      <c r="AS527" s="147"/>
      <c r="AT527" s="147"/>
      <c r="AU527" s="147"/>
      <c r="AV527" s="147"/>
      <c r="AW527" s="147"/>
      <c r="AX527" s="147"/>
      <c r="AY527" s="147"/>
      <c r="AZ527" s="147"/>
    </row>
    <row r="528" spans="1:52" s="32" customFormat="1" x14ac:dyDescent="0.2">
      <c r="A528" s="161" t="s">
        <v>21</v>
      </c>
      <c r="B528" s="161">
        <v>1674</v>
      </c>
      <c r="C528" s="161">
        <v>1</v>
      </c>
      <c r="D528" s="165">
        <v>43641</v>
      </c>
      <c r="E528" s="161" t="s">
        <v>22</v>
      </c>
      <c r="F528" s="161">
        <v>2</v>
      </c>
      <c r="G528" s="250">
        <v>3</v>
      </c>
      <c r="H528" s="161" t="s">
        <v>211</v>
      </c>
      <c r="I528" s="251">
        <f>L528/1000</f>
        <v>1.7000000000000001E-2</v>
      </c>
      <c r="J528" s="161"/>
      <c r="K528" s="161"/>
      <c r="L528" s="252">
        <v>17</v>
      </c>
      <c r="M528" s="161" t="s">
        <v>235</v>
      </c>
      <c r="AI528" s="96"/>
      <c r="AJ528" s="96"/>
      <c r="AK528" s="147"/>
      <c r="AL528" s="147"/>
      <c r="AM528" s="147"/>
      <c r="AN528" s="147"/>
      <c r="AO528" s="147"/>
      <c r="AP528" s="147"/>
      <c r="AQ528" s="147"/>
      <c r="AR528" s="147"/>
      <c r="AS528" s="147"/>
      <c r="AT528" s="147"/>
      <c r="AU528" s="147"/>
      <c r="AV528" s="147"/>
      <c r="AW528" s="147"/>
      <c r="AX528" s="147"/>
      <c r="AY528" s="147"/>
      <c r="AZ528" s="147"/>
    </row>
    <row r="529" spans="1:52" s="32" customFormat="1" x14ac:dyDescent="0.2">
      <c r="A529" s="161" t="s">
        <v>21</v>
      </c>
      <c r="B529" s="161">
        <v>1674</v>
      </c>
      <c r="C529" s="161">
        <v>1</v>
      </c>
      <c r="D529" s="165">
        <v>43641</v>
      </c>
      <c r="E529" s="161" t="s">
        <v>22</v>
      </c>
      <c r="F529" s="161">
        <v>2</v>
      </c>
      <c r="G529" s="250">
        <v>5</v>
      </c>
      <c r="H529" s="161" t="s">
        <v>211</v>
      </c>
      <c r="I529" s="251">
        <f t="shared" ref="I529:I579" si="22">L529/1000</f>
        <v>0.01</v>
      </c>
      <c r="J529" s="161"/>
      <c r="K529" s="161"/>
      <c r="L529" s="252">
        <v>10</v>
      </c>
      <c r="M529" s="161" t="s">
        <v>235</v>
      </c>
      <c r="AI529" s="96"/>
      <c r="AJ529" s="96"/>
      <c r="AK529" s="147"/>
      <c r="AL529" s="147"/>
      <c r="AM529" s="147"/>
      <c r="AN529" s="147"/>
      <c r="AO529" s="147"/>
      <c r="AP529" s="147"/>
      <c r="AQ529" s="147"/>
      <c r="AR529" s="147"/>
      <c r="AS529" s="147"/>
      <c r="AT529" s="147"/>
      <c r="AU529" s="147"/>
      <c r="AV529" s="147"/>
      <c r="AW529" s="147"/>
      <c r="AX529" s="147"/>
      <c r="AY529" s="147"/>
      <c r="AZ529" s="147"/>
    </row>
    <row r="530" spans="1:52" x14ac:dyDescent="0.2">
      <c r="A530" s="161" t="s">
        <v>21</v>
      </c>
      <c r="B530" s="161">
        <v>1674</v>
      </c>
      <c r="C530" s="161">
        <v>1</v>
      </c>
      <c r="D530" s="165">
        <v>43641</v>
      </c>
      <c r="E530" s="161" t="s">
        <v>22</v>
      </c>
      <c r="F530" s="161">
        <v>2</v>
      </c>
      <c r="G530" s="250">
        <v>7</v>
      </c>
      <c r="H530" s="161" t="s">
        <v>211</v>
      </c>
      <c r="I530" s="251">
        <f t="shared" si="22"/>
        <v>1.4999999999999999E-2</v>
      </c>
      <c r="J530" s="161"/>
      <c r="K530" s="161"/>
      <c r="L530" s="252">
        <v>15</v>
      </c>
      <c r="M530" s="161" t="s">
        <v>235</v>
      </c>
      <c r="AE530" s="32"/>
      <c r="AF530" s="32"/>
      <c r="AG530" s="32"/>
      <c r="AH530" s="32"/>
      <c r="AK530" s="147"/>
      <c r="AL530" s="147"/>
      <c r="AM530" s="147"/>
      <c r="AN530" s="147"/>
      <c r="AO530" s="147"/>
      <c r="AP530" s="147"/>
      <c r="AQ530" s="147"/>
      <c r="AR530" s="147"/>
      <c r="AS530" s="147"/>
      <c r="AT530" s="147"/>
      <c r="AU530" s="147"/>
      <c r="AV530" s="147"/>
      <c r="AW530" s="147"/>
      <c r="AX530" s="147"/>
      <c r="AY530" s="147"/>
    </row>
    <row r="531" spans="1:52" x14ac:dyDescent="0.2">
      <c r="A531" s="161" t="s">
        <v>21</v>
      </c>
      <c r="B531" s="161">
        <v>1674</v>
      </c>
      <c r="C531" s="161">
        <v>1</v>
      </c>
      <c r="D531" s="165">
        <v>43641</v>
      </c>
      <c r="E531" s="161" t="s">
        <v>22</v>
      </c>
      <c r="F531" s="161">
        <v>2</v>
      </c>
      <c r="G531" s="250">
        <v>9</v>
      </c>
      <c r="H531" s="161" t="s">
        <v>211</v>
      </c>
      <c r="I531" s="251">
        <f t="shared" si="22"/>
        <v>2.3E-2</v>
      </c>
      <c r="J531" s="161"/>
      <c r="K531" s="161"/>
      <c r="L531" s="252">
        <v>23</v>
      </c>
      <c r="M531" s="161" t="s">
        <v>235</v>
      </c>
    </row>
    <row r="532" spans="1:52" x14ac:dyDescent="0.2">
      <c r="A532" s="161" t="s">
        <v>21</v>
      </c>
      <c r="B532" s="161">
        <v>1674</v>
      </c>
      <c r="C532" s="161">
        <v>1</v>
      </c>
      <c r="D532" s="165">
        <v>43641</v>
      </c>
      <c r="E532" s="161" t="s">
        <v>22</v>
      </c>
      <c r="F532" s="161">
        <v>2</v>
      </c>
      <c r="G532" s="250">
        <v>11</v>
      </c>
      <c r="H532" s="161" t="s">
        <v>211</v>
      </c>
      <c r="I532" s="251">
        <f t="shared" si="22"/>
        <v>1.2E-2</v>
      </c>
      <c r="J532" s="161"/>
      <c r="K532" s="161"/>
      <c r="L532" s="252">
        <v>12</v>
      </c>
      <c r="M532" s="161" t="s">
        <v>235</v>
      </c>
    </row>
    <row r="533" spans="1:52" x14ac:dyDescent="0.2">
      <c r="A533" s="161" t="s">
        <v>21</v>
      </c>
      <c r="B533" s="161">
        <v>1674</v>
      </c>
      <c r="C533" s="161">
        <v>1</v>
      </c>
      <c r="D533" s="165">
        <v>43641</v>
      </c>
      <c r="E533" s="161" t="s">
        <v>22</v>
      </c>
      <c r="F533" s="161">
        <v>2</v>
      </c>
      <c r="G533" s="250">
        <v>13</v>
      </c>
      <c r="H533" s="161" t="s">
        <v>211</v>
      </c>
      <c r="I533" s="251">
        <f t="shared" si="22"/>
        <v>4.1000000000000002E-2</v>
      </c>
      <c r="J533" s="161"/>
      <c r="K533" s="161"/>
      <c r="L533" s="252">
        <v>41</v>
      </c>
      <c r="M533" s="161" t="s">
        <v>235</v>
      </c>
    </row>
    <row r="534" spans="1:52" s="177" customFormat="1" x14ac:dyDescent="0.2">
      <c r="A534" s="212" t="s">
        <v>21</v>
      </c>
      <c r="B534" s="212">
        <v>1674</v>
      </c>
      <c r="C534" s="212">
        <v>1</v>
      </c>
      <c r="D534" s="272">
        <v>43705</v>
      </c>
      <c r="E534" s="212" t="s">
        <v>22</v>
      </c>
      <c r="F534" s="212">
        <v>2</v>
      </c>
      <c r="G534" s="278">
        <v>9</v>
      </c>
      <c r="H534" s="212" t="s">
        <v>32</v>
      </c>
      <c r="I534" s="212">
        <v>1.4E-2</v>
      </c>
      <c r="J534" s="212"/>
      <c r="K534" s="212"/>
      <c r="L534" s="212">
        <v>14</v>
      </c>
      <c r="M534" s="266" t="s">
        <v>32</v>
      </c>
      <c r="AI534" s="95"/>
      <c r="AJ534" s="95"/>
      <c r="AK534" s="146"/>
      <c r="AL534" s="146"/>
      <c r="AM534" s="146"/>
      <c r="AN534" s="146"/>
      <c r="AO534" s="146"/>
      <c r="AP534" s="146"/>
      <c r="AQ534" s="146"/>
      <c r="AR534" s="146"/>
      <c r="AS534" s="146"/>
      <c r="AT534" s="146"/>
      <c r="AU534" s="146"/>
      <c r="AV534" s="146"/>
      <c r="AW534" s="146"/>
      <c r="AX534" s="146"/>
      <c r="AY534" s="146"/>
      <c r="AZ534" s="146"/>
    </row>
    <row r="535" spans="1:52" x14ac:dyDescent="0.2">
      <c r="A535" s="161" t="s">
        <v>21</v>
      </c>
      <c r="B535" s="161">
        <v>1674</v>
      </c>
      <c r="C535" s="161">
        <v>1</v>
      </c>
      <c r="D535" s="225">
        <v>43940</v>
      </c>
      <c r="E535" s="76" t="s">
        <v>246</v>
      </c>
      <c r="G535" s="257">
        <v>1</v>
      </c>
      <c r="H535" s="161" t="s">
        <v>211</v>
      </c>
      <c r="I535" s="76">
        <f t="shared" si="22"/>
        <v>7.0000000000000001E-3</v>
      </c>
      <c r="L535" s="76">
        <v>7</v>
      </c>
      <c r="M535" s="161" t="s">
        <v>235</v>
      </c>
    </row>
    <row r="536" spans="1:52" x14ac:dyDescent="0.2">
      <c r="A536" s="161" t="s">
        <v>21</v>
      </c>
      <c r="B536" s="161">
        <v>1674</v>
      </c>
      <c r="C536" s="161">
        <v>1</v>
      </c>
      <c r="D536" s="225">
        <v>43940</v>
      </c>
      <c r="E536" s="76" t="s">
        <v>246</v>
      </c>
      <c r="G536" s="257">
        <v>3</v>
      </c>
      <c r="H536" s="161" t="s">
        <v>211</v>
      </c>
      <c r="I536" s="76">
        <f t="shared" si="22"/>
        <v>1.2E-2</v>
      </c>
      <c r="L536" s="76">
        <v>12</v>
      </c>
      <c r="M536" s="161" t="s">
        <v>235</v>
      </c>
    </row>
    <row r="537" spans="1:52" x14ac:dyDescent="0.2">
      <c r="A537" s="161" t="s">
        <v>21</v>
      </c>
      <c r="B537" s="161">
        <v>1674</v>
      </c>
      <c r="C537" s="161">
        <v>1</v>
      </c>
      <c r="D537" s="225">
        <v>43940</v>
      </c>
      <c r="E537" s="76" t="s">
        <v>246</v>
      </c>
      <c r="G537" s="257">
        <v>5</v>
      </c>
      <c r="H537" s="161" t="s">
        <v>211</v>
      </c>
      <c r="I537" s="76">
        <f t="shared" si="22"/>
        <v>0.01</v>
      </c>
      <c r="L537" s="76">
        <v>10</v>
      </c>
      <c r="M537" s="161" t="s">
        <v>235</v>
      </c>
    </row>
    <row r="538" spans="1:52" x14ac:dyDescent="0.2">
      <c r="A538" s="161" t="s">
        <v>21</v>
      </c>
      <c r="B538" s="161">
        <v>1674</v>
      </c>
      <c r="C538" s="161">
        <v>1</v>
      </c>
      <c r="D538" s="225">
        <v>43940</v>
      </c>
      <c r="E538" s="76" t="s">
        <v>246</v>
      </c>
      <c r="G538" s="257">
        <v>7</v>
      </c>
      <c r="H538" s="161" t="s">
        <v>211</v>
      </c>
      <c r="I538" s="76">
        <f t="shared" si="22"/>
        <v>1.0999999999999999E-2</v>
      </c>
      <c r="L538" s="76">
        <v>11</v>
      </c>
      <c r="M538" s="161" t="s">
        <v>235</v>
      </c>
    </row>
    <row r="539" spans="1:52" x14ac:dyDescent="0.2">
      <c r="A539" s="161" t="s">
        <v>21</v>
      </c>
      <c r="B539" s="161">
        <v>1674</v>
      </c>
      <c r="C539" s="161">
        <v>1</v>
      </c>
      <c r="D539" s="225">
        <v>43940</v>
      </c>
      <c r="E539" s="76" t="s">
        <v>246</v>
      </c>
      <c r="G539" s="257">
        <v>9</v>
      </c>
      <c r="H539" s="161" t="s">
        <v>211</v>
      </c>
      <c r="I539" s="76">
        <f t="shared" si="22"/>
        <v>1.2999999999999999E-2</v>
      </c>
      <c r="L539" s="76">
        <v>13</v>
      </c>
      <c r="M539" s="161" t="s">
        <v>235</v>
      </c>
    </row>
    <row r="540" spans="1:52" x14ac:dyDescent="0.2">
      <c r="A540" s="161" t="s">
        <v>21</v>
      </c>
      <c r="B540" s="161">
        <v>1674</v>
      </c>
      <c r="C540" s="161">
        <v>1</v>
      </c>
      <c r="D540" s="225">
        <v>43940</v>
      </c>
      <c r="E540" s="76" t="s">
        <v>246</v>
      </c>
      <c r="G540" s="257">
        <v>11</v>
      </c>
      <c r="H540" s="161" t="s">
        <v>211</v>
      </c>
      <c r="I540" s="76">
        <f t="shared" si="22"/>
        <v>1.6E-2</v>
      </c>
      <c r="L540" s="76">
        <v>16</v>
      </c>
      <c r="M540" s="161" t="s">
        <v>235</v>
      </c>
    </row>
    <row r="541" spans="1:52" x14ac:dyDescent="0.2">
      <c r="A541" s="161" t="s">
        <v>21</v>
      </c>
      <c r="B541" s="161">
        <v>1674</v>
      </c>
      <c r="C541" s="161">
        <v>1</v>
      </c>
      <c r="D541" s="225">
        <v>43940</v>
      </c>
      <c r="E541" s="76" t="s">
        <v>246</v>
      </c>
      <c r="G541" s="257">
        <v>13</v>
      </c>
      <c r="H541" s="161" t="s">
        <v>211</v>
      </c>
      <c r="I541" s="76">
        <f t="shared" si="22"/>
        <v>1.55E-2</v>
      </c>
      <c r="L541" s="237">
        <f>AVERAGE(15,16)</f>
        <v>15.5</v>
      </c>
      <c r="M541" s="161" t="s">
        <v>235</v>
      </c>
    </row>
    <row r="542" spans="1:52" x14ac:dyDescent="0.2">
      <c r="A542" s="161" t="s">
        <v>21</v>
      </c>
      <c r="B542" s="161">
        <v>1674</v>
      </c>
      <c r="C542" s="161">
        <v>1</v>
      </c>
      <c r="D542" s="225">
        <v>43958</v>
      </c>
      <c r="E542" s="76" t="s">
        <v>246</v>
      </c>
      <c r="G542" s="257">
        <v>1</v>
      </c>
      <c r="H542" s="161" t="s">
        <v>211</v>
      </c>
      <c r="I542" s="76">
        <f t="shared" si="22"/>
        <v>1.4999999999999999E-2</v>
      </c>
      <c r="L542" s="76">
        <v>15</v>
      </c>
      <c r="M542" s="161" t="s">
        <v>235</v>
      </c>
    </row>
    <row r="543" spans="1:52" x14ac:dyDescent="0.2">
      <c r="A543" s="161" t="s">
        <v>21</v>
      </c>
      <c r="B543" s="161">
        <v>1674</v>
      </c>
      <c r="C543" s="161">
        <v>1</v>
      </c>
      <c r="D543" s="225">
        <v>43958</v>
      </c>
      <c r="E543" s="76" t="s">
        <v>246</v>
      </c>
      <c r="G543" s="257">
        <v>3</v>
      </c>
      <c r="H543" s="161" t="s">
        <v>211</v>
      </c>
      <c r="I543" s="76">
        <f t="shared" si="22"/>
        <v>1.6E-2</v>
      </c>
      <c r="L543" s="76">
        <v>16</v>
      </c>
      <c r="M543" s="161" t="s">
        <v>235</v>
      </c>
    </row>
    <row r="544" spans="1:52" x14ac:dyDescent="0.2">
      <c r="A544" s="161" t="s">
        <v>21</v>
      </c>
      <c r="B544" s="161">
        <v>1674</v>
      </c>
      <c r="C544" s="161">
        <v>1</v>
      </c>
      <c r="D544" s="225">
        <v>43958</v>
      </c>
      <c r="E544" s="76" t="s">
        <v>246</v>
      </c>
      <c r="G544" s="257">
        <v>5</v>
      </c>
      <c r="H544" s="161" t="s">
        <v>211</v>
      </c>
      <c r="I544" s="76">
        <f t="shared" si="22"/>
        <v>1.4999999999999999E-2</v>
      </c>
      <c r="L544" s="76">
        <v>15</v>
      </c>
      <c r="M544" s="161" t="s">
        <v>235</v>
      </c>
    </row>
    <row r="545" spans="1:13" x14ac:dyDescent="0.2">
      <c r="A545" s="161" t="s">
        <v>21</v>
      </c>
      <c r="B545" s="161">
        <v>1674</v>
      </c>
      <c r="C545" s="161">
        <v>1</v>
      </c>
      <c r="D545" s="225">
        <v>43958</v>
      </c>
      <c r="E545" s="76" t="s">
        <v>246</v>
      </c>
      <c r="G545" s="257">
        <v>7</v>
      </c>
      <c r="H545" s="161" t="s">
        <v>211</v>
      </c>
      <c r="I545" s="76">
        <f t="shared" si="22"/>
        <v>1.4999999999999999E-2</v>
      </c>
      <c r="L545" s="76">
        <v>15</v>
      </c>
      <c r="M545" s="161" t="s">
        <v>235</v>
      </c>
    </row>
    <row r="546" spans="1:13" x14ac:dyDescent="0.2">
      <c r="A546" s="161" t="s">
        <v>21</v>
      </c>
      <c r="B546" s="161">
        <v>1674</v>
      </c>
      <c r="C546" s="161">
        <v>1</v>
      </c>
      <c r="D546" s="225">
        <v>43958</v>
      </c>
      <c r="E546" s="76" t="s">
        <v>246</v>
      </c>
      <c r="G546" s="257">
        <v>9</v>
      </c>
      <c r="H546" s="161" t="s">
        <v>211</v>
      </c>
      <c r="I546" s="76">
        <f t="shared" si="22"/>
        <v>1.4E-2</v>
      </c>
      <c r="L546" s="76">
        <v>14</v>
      </c>
      <c r="M546" s="161" t="s">
        <v>235</v>
      </c>
    </row>
    <row r="547" spans="1:13" x14ac:dyDescent="0.2">
      <c r="A547" s="161" t="s">
        <v>21</v>
      </c>
      <c r="B547" s="161">
        <v>1674</v>
      </c>
      <c r="C547" s="161">
        <v>1</v>
      </c>
      <c r="D547" s="225">
        <v>43958</v>
      </c>
      <c r="E547" s="76" t="s">
        <v>246</v>
      </c>
      <c r="G547" s="257">
        <v>11</v>
      </c>
      <c r="H547" s="161" t="s">
        <v>211</v>
      </c>
      <c r="I547" s="76">
        <f t="shared" si="22"/>
        <v>1.4E-2</v>
      </c>
      <c r="L547" s="76">
        <v>14</v>
      </c>
      <c r="M547" s="161" t="s">
        <v>235</v>
      </c>
    </row>
    <row r="548" spans="1:13" x14ac:dyDescent="0.2">
      <c r="A548" s="161" t="s">
        <v>21</v>
      </c>
      <c r="B548" s="161">
        <v>1674</v>
      </c>
      <c r="C548" s="161">
        <v>1</v>
      </c>
      <c r="D548" s="225">
        <v>43958</v>
      </c>
      <c r="E548" s="76" t="s">
        <v>246</v>
      </c>
      <c r="G548" s="257">
        <v>13</v>
      </c>
      <c r="H548" s="161" t="s">
        <v>211</v>
      </c>
      <c r="I548" s="76">
        <f t="shared" si="22"/>
        <v>1.4999999999999999E-2</v>
      </c>
      <c r="L548" s="76">
        <v>15</v>
      </c>
      <c r="M548" s="161" t="s">
        <v>235</v>
      </c>
    </row>
    <row r="549" spans="1:13" x14ac:dyDescent="0.2">
      <c r="A549" s="161" t="s">
        <v>21</v>
      </c>
      <c r="B549" s="161">
        <v>1674</v>
      </c>
      <c r="C549" s="161">
        <v>1</v>
      </c>
      <c r="D549" s="225">
        <v>43971</v>
      </c>
      <c r="E549" s="76" t="s">
        <v>246</v>
      </c>
      <c r="G549" s="257">
        <v>1</v>
      </c>
      <c r="H549" s="161" t="s">
        <v>211</v>
      </c>
      <c r="I549" s="76">
        <f t="shared" si="22"/>
        <v>1.2999999999999999E-2</v>
      </c>
      <c r="L549" s="76">
        <v>13</v>
      </c>
      <c r="M549" s="161" t="s">
        <v>235</v>
      </c>
    </row>
    <row r="550" spans="1:13" x14ac:dyDescent="0.2">
      <c r="A550" s="161" t="s">
        <v>21</v>
      </c>
      <c r="B550" s="161">
        <v>1674</v>
      </c>
      <c r="C550" s="161">
        <v>1</v>
      </c>
      <c r="D550" s="225">
        <v>43971</v>
      </c>
      <c r="E550" s="76" t="s">
        <v>246</v>
      </c>
      <c r="G550" s="257">
        <v>3</v>
      </c>
      <c r="H550" s="161" t="s">
        <v>211</v>
      </c>
      <c r="I550" s="76">
        <f t="shared" si="22"/>
        <v>1.4E-2</v>
      </c>
      <c r="L550" s="76">
        <v>14</v>
      </c>
      <c r="M550" s="161" t="s">
        <v>235</v>
      </c>
    </row>
    <row r="551" spans="1:13" x14ac:dyDescent="0.2">
      <c r="A551" s="161" t="s">
        <v>21</v>
      </c>
      <c r="B551" s="161">
        <v>1674</v>
      </c>
      <c r="C551" s="161">
        <v>1</v>
      </c>
      <c r="D551" s="225">
        <v>43971</v>
      </c>
      <c r="E551" s="76" t="s">
        <v>246</v>
      </c>
      <c r="G551" s="257">
        <v>5</v>
      </c>
      <c r="H551" s="161" t="s">
        <v>211</v>
      </c>
      <c r="I551" s="76">
        <f t="shared" si="22"/>
        <v>1.0999999999999999E-2</v>
      </c>
      <c r="L551" s="76">
        <v>11</v>
      </c>
      <c r="M551" s="161" t="s">
        <v>235</v>
      </c>
    </row>
    <row r="552" spans="1:13" x14ac:dyDescent="0.2">
      <c r="A552" s="161" t="s">
        <v>21</v>
      </c>
      <c r="B552" s="161">
        <v>1674</v>
      </c>
      <c r="C552" s="161">
        <v>1</v>
      </c>
      <c r="D552" s="225">
        <v>43971</v>
      </c>
      <c r="E552" s="76" t="s">
        <v>246</v>
      </c>
      <c r="G552" s="257">
        <v>7</v>
      </c>
      <c r="H552" s="161" t="s">
        <v>211</v>
      </c>
      <c r="I552" s="76">
        <f t="shared" si="22"/>
        <v>1.2999999999999999E-2</v>
      </c>
      <c r="L552" s="76">
        <v>13</v>
      </c>
      <c r="M552" s="161" t="s">
        <v>235</v>
      </c>
    </row>
    <row r="553" spans="1:13" x14ac:dyDescent="0.2">
      <c r="A553" s="161" t="s">
        <v>21</v>
      </c>
      <c r="B553" s="161">
        <v>1674</v>
      </c>
      <c r="C553" s="161">
        <v>1</v>
      </c>
      <c r="D553" s="225">
        <v>43971</v>
      </c>
      <c r="E553" s="76" t="s">
        <v>246</v>
      </c>
      <c r="G553" s="257">
        <v>9</v>
      </c>
      <c r="H553" s="161" t="s">
        <v>211</v>
      </c>
      <c r="I553" s="76">
        <f t="shared" si="22"/>
        <v>1.4999999999999999E-2</v>
      </c>
      <c r="L553" s="76">
        <v>15</v>
      </c>
      <c r="M553" s="161" t="s">
        <v>235</v>
      </c>
    </row>
    <row r="554" spans="1:13" x14ac:dyDescent="0.2">
      <c r="A554" s="161" t="s">
        <v>21</v>
      </c>
      <c r="B554" s="161">
        <v>1674</v>
      </c>
      <c r="C554" s="161">
        <v>1</v>
      </c>
      <c r="D554" s="225">
        <v>43971</v>
      </c>
      <c r="E554" s="76" t="s">
        <v>246</v>
      </c>
      <c r="G554" s="257">
        <v>11</v>
      </c>
      <c r="H554" s="161" t="s">
        <v>211</v>
      </c>
      <c r="I554" s="76">
        <f t="shared" si="22"/>
        <v>1.2999999999999999E-2</v>
      </c>
      <c r="L554" s="76">
        <v>13</v>
      </c>
      <c r="M554" s="161" t="s">
        <v>235</v>
      </c>
    </row>
    <row r="555" spans="1:13" x14ac:dyDescent="0.2">
      <c r="A555" s="161" t="s">
        <v>21</v>
      </c>
      <c r="B555" s="161">
        <v>1674</v>
      </c>
      <c r="C555" s="161">
        <v>1</v>
      </c>
      <c r="D555" s="225">
        <v>43971</v>
      </c>
      <c r="E555" s="76" t="s">
        <v>246</v>
      </c>
      <c r="G555" s="257">
        <v>13</v>
      </c>
      <c r="H555" s="161" t="s">
        <v>211</v>
      </c>
      <c r="I555" s="76">
        <f t="shared" si="22"/>
        <v>1.55E-2</v>
      </c>
      <c r="L555" s="76">
        <f>AVERAGE(16,15)</f>
        <v>15.5</v>
      </c>
      <c r="M555" s="161" t="s">
        <v>235</v>
      </c>
    </row>
    <row r="556" spans="1:13" x14ac:dyDescent="0.2">
      <c r="A556" s="161" t="s">
        <v>21</v>
      </c>
      <c r="B556" s="161">
        <v>1674</v>
      </c>
      <c r="C556" s="161">
        <v>1</v>
      </c>
      <c r="D556" s="225">
        <v>43985</v>
      </c>
      <c r="E556" s="76" t="s">
        <v>246</v>
      </c>
      <c r="G556" s="257">
        <v>1</v>
      </c>
      <c r="H556" s="161" t="s">
        <v>211</v>
      </c>
      <c r="I556" s="76">
        <f t="shared" si="22"/>
        <v>1.7999999999999999E-2</v>
      </c>
      <c r="L556" s="76">
        <v>18</v>
      </c>
      <c r="M556" s="161" t="s">
        <v>235</v>
      </c>
    </row>
    <row r="557" spans="1:13" x14ac:dyDescent="0.2">
      <c r="A557" s="161" t="s">
        <v>21</v>
      </c>
      <c r="B557" s="161">
        <v>1674</v>
      </c>
      <c r="C557" s="161">
        <v>1</v>
      </c>
      <c r="D557" s="225">
        <v>43985</v>
      </c>
      <c r="E557" s="76" t="s">
        <v>246</v>
      </c>
      <c r="G557" s="257">
        <v>3</v>
      </c>
      <c r="H557" s="161" t="s">
        <v>211</v>
      </c>
      <c r="I557" s="76">
        <f t="shared" si="22"/>
        <v>1.7000000000000001E-2</v>
      </c>
      <c r="L557" s="76">
        <v>17</v>
      </c>
      <c r="M557" s="161" t="s">
        <v>235</v>
      </c>
    </row>
    <row r="558" spans="1:13" x14ac:dyDescent="0.2">
      <c r="A558" s="161" t="s">
        <v>21</v>
      </c>
      <c r="B558" s="161">
        <v>1674</v>
      </c>
      <c r="C558" s="161">
        <v>1</v>
      </c>
      <c r="D558" s="225">
        <v>43985</v>
      </c>
      <c r="E558" s="76" t="s">
        <v>246</v>
      </c>
      <c r="G558" s="257">
        <v>5</v>
      </c>
      <c r="H558" s="161" t="s">
        <v>211</v>
      </c>
      <c r="I558" s="76">
        <f t="shared" si="22"/>
        <v>1.2999999999999999E-2</v>
      </c>
      <c r="L558" s="76">
        <v>13</v>
      </c>
      <c r="M558" s="161" t="s">
        <v>235</v>
      </c>
    </row>
    <row r="559" spans="1:13" x14ac:dyDescent="0.2">
      <c r="A559" s="161" t="s">
        <v>21</v>
      </c>
      <c r="B559" s="161">
        <v>1674</v>
      </c>
      <c r="C559" s="161">
        <v>1</v>
      </c>
      <c r="D559" s="225">
        <v>43985</v>
      </c>
      <c r="E559" s="76" t="s">
        <v>246</v>
      </c>
      <c r="G559" s="257">
        <v>7</v>
      </c>
      <c r="H559" s="161" t="s">
        <v>211</v>
      </c>
      <c r="I559" s="76">
        <f t="shared" si="22"/>
        <v>1.4E-2</v>
      </c>
      <c r="L559" s="76">
        <v>14</v>
      </c>
      <c r="M559" s="161" t="s">
        <v>235</v>
      </c>
    </row>
    <row r="560" spans="1:13" x14ac:dyDescent="0.2">
      <c r="A560" s="161" t="s">
        <v>21</v>
      </c>
      <c r="B560" s="161">
        <v>1674</v>
      </c>
      <c r="C560" s="161">
        <v>1</v>
      </c>
      <c r="D560" s="225">
        <v>43985</v>
      </c>
      <c r="E560" s="76" t="s">
        <v>246</v>
      </c>
      <c r="G560" s="257">
        <v>9</v>
      </c>
      <c r="H560" s="161" t="s">
        <v>211</v>
      </c>
      <c r="I560" s="76">
        <f t="shared" si="22"/>
        <v>1.0999999999999999E-2</v>
      </c>
      <c r="L560" s="76">
        <v>11</v>
      </c>
      <c r="M560" s="161" t="s">
        <v>235</v>
      </c>
    </row>
    <row r="561" spans="1:13" x14ac:dyDescent="0.2">
      <c r="A561" s="161" t="s">
        <v>21</v>
      </c>
      <c r="B561" s="161">
        <v>1674</v>
      </c>
      <c r="C561" s="161">
        <v>1</v>
      </c>
      <c r="D561" s="225">
        <v>43985</v>
      </c>
      <c r="E561" s="76" t="s">
        <v>246</v>
      </c>
      <c r="G561" s="257">
        <v>11</v>
      </c>
      <c r="H561" s="161" t="s">
        <v>211</v>
      </c>
      <c r="I561" s="76">
        <f t="shared" si="22"/>
        <v>1.7999999999999999E-2</v>
      </c>
      <c r="L561" s="76">
        <v>18</v>
      </c>
      <c r="M561" s="161" t="s">
        <v>235</v>
      </c>
    </row>
    <row r="562" spans="1:13" x14ac:dyDescent="0.2">
      <c r="A562" s="161" t="s">
        <v>21</v>
      </c>
      <c r="B562" s="161">
        <v>1674</v>
      </c>
      <c r="C562" s="161">
        <v>1</v>
      </c>
      <c r="D562" s="225">
        <v>43985</v>
      </c>
      <c r="E562" s="76" t="s">
        <v>246</v>
      </c>
      <c r="G562" s="257">
        <v>13</v>
      </c>
      <c r="H562" s="161" t="s">
        <v>211</v>
      </c>
      <c r="I562" s="76">
        <f t="shared" si="22"/>
        <v>2.75E-2</v>
      </c>
      <c r="L562" s="76">
        <f>AVERAGE(29,26)</f>
        <v>27.5</v>
      </c>
      <c r="M562" s="161" t="s">
        <v>235</v>
      </c>
    </row>
    <row r="563" spans="1:13" x14ac:dyDescent="0.2">
      <c r="A563" s="161" t="s">
        <v>21</v>
      </c>
      <c r="B563" s="161">
        <v>1674</v>
      </c>
      <c r="C563" s="161">
        <v>1</v>
      </c>
      <c r="D563" s="225">
        <v>44001</v>
      </c>
      <c r="E563" s="76" t="s">
        <v>246</v>
      </c>
      <c r="G563" s="257">
        <v>1</v>
      </c>
      <c r="H563" s="161" t="s">
        <v>211</v>
      </c>
      <c r="I563" s="76">
        <f t="shared" si="22"/>
        <v>1.7000000000000001E-2</v>
      </c>
      <c r="L563" s="76">
        <v>17</v>
      </c>
      <c r="M563" s="161" t="s">
        <v>235</v>
      </c>
    </row>
    <row r="564" spans="1:13" x14ac:dyDescent="0.2">
      <c r="A564" s="161" t="s">
        <v>21</v>
      </c>
      <c r="B564" s="161">
        <v>1674</v>
      </c>
      <c r="C564" s="161">
        <v>1</v>
      </c>
      <c r="D564" s="225">
        <v>44001</v>
      </c>
      <c r="E564" s="76" t="s">
        <v>246</v>
      </c>
      <c r="G564" s="257">
        <v>3</v>
      </c>
      <c r="H564" s="161" t="s">
        <v>211</v>
      </c>
      <c r="I564" s="76">
        <f t="shared" si="22"/>
        <v>1.2E-2</v>
      </c>
      <c r="L564" s="76">
        <v>12</v>
      </c>
      <c r="M564" s="161" t="s">
        <v>235</v>
      </c>
    </row>
    <row r="565" spans="1:13" x14ac:dyDescent="0.2">
      <c r="A565" s="161" t="s">
        <v>21</v>
      </c>
      <c r="B565" s="161">
        <v>1674</v>
      </c>
      <c r="C565" s="161">
        <v>1</v>
      </c>
      <c r="D565" s="225">
        <v>44001</v>
      </c>
      <c r="E565" s="76" t="s">
        <v>246</v>
      </c>
      <c r="G565" s="257">
        <v>5</v>
      </c>
      <c r="H565" s="161" t="s">
        <v>211</v>
      </c>
      <c r="I565" s="76">
        <f t="shared" si="22"/>
        <v>1.4999999999999999E-2</v>
      </c>
      <c r="L565" s="76">
        <v>15</v>
      </c>
      <c r="M565" s="161" t="s">
        <v>235</v>
      </c>
    </row>
    <row r="566" spans="1:13" x14ac:dyDescent="0.2">
      <c r="A566" s="161" t="s">
        <v>21</v>
      </c>
      <c r="B566" s="161">
        <v>1674</v>
      </c>
      <c r="C566" s="161">
        <v>1</v>
      </c>
      <c r="D566" s="225">
        <v>44001</v>
      </c>
      <c r="E566" s="76" t="s">
        <v>246</v>
      </c>
      <c r="G566" s="257">
        <v>7</v>
      </c>
      <c r="H566" s="161" t="s">
        <v>211</v>
      </c>
      <c r="I566" s="76">
        <f t="shared" si="22"/>
        <v>1.4E-2</v>
      </c>
      <c r="L566" s="76">
        <v>14</v>
      </c>
      <c r="M566" s="161" t="s">
        <v>235</v>
      </c>
    </row>
    <row r="567" spans="1:13" x14ac:dyDescent="0.2">
      <c r="A567" s="161" t="s">
        <v>21</v>
      </c>
      <c r="B567" s="161">
        <v>1674</v>
      </c>
      <c r="C567" s="161">
        <v>1</v>
      </c>
      <c r="D567" s="225">
        <v>44001</v>
      </c>
      <c r="E567" s="76" t="s">
        <v>246</v>
      </c>
      <c r="G567" s="257">
        <v>9</v>
      </c>
      <c r="H567" s="161" t="s">
        <v>211</v>
      </c>
      <c r="I567" s="76">
        <f t="shared" si="22"/>
        <v>1.6E-2</v>
      </c>
      <c r="L567" s="76">
        <v>16</v>
      </c>
      <c r="M567" s="161" t="s">
        <v>235</v>
      </c>
    </row>
    <row r="568" spans="1:13" x14ac:dyDescent="0.2">
      <c r="A568" s="161" t="s">
        <v>21</v>
      </c>
      <c r="B568" s="161">
        <v>1674</v>
      </c>
      <c r="C568" s="161">
        <v>1</v>
      </c>
      <c r="D568" s="225">
        <v>44001</v>
      </c>
      <c r="E568" s="76" t="s">
        <v>246</v>
      </c>
      <c r="G568" s="257">
        <v>11</v>
      </c>
      <c r="H568" s="161" t="s">
        <v>211</v>
      </c>
      <c r="I568" s="76">
        <f t="shared" si="22"/>
        <v>2.9000000000000001E-2</v>
      </c>
      <c r="L568" s="76">
        <v>29</v>
      </c>
      <c r="M568" s="161" t="s">
        <v>235</v>
      </c>
    </row>
    <row r="569" spans="1:13" x14ac:dyDescent="0.2">
      <c r="A569" s="161" t="s">
        <v>21</v>
      </c>
      <c r="B569" s="161">
        <v>1674</v>
      </c>
      <c r="C569" s="161">
        <v>1</v>
      </c>
      <c r="D569" s="225">
        <v>44001</v>
      </c>
      <c r="E569" s="76" t="s">
        <v>246</v>
      </c>
      <c r="G569" s="257">
        <v>13</v>
      </c>
      <c r="H569" s="161" t="s">
        <v>211</v>
      </c>
      <c r="I569" s="76">
        <f t="shared" si="22"/>
        <v>3.3000000000000002E-2</v>
      </c>
      <c r="L569" s="76">
        <v>33</v>
      </c>
      <c r="M569" s="161" t="s">
        <v>235</v>
      </c>
    </row>
    <row r="570" spans="1:13" x14ac:dyDescent="0.2">
      <c r="A570" s="161" t="s">
        <v>21</v>
      </c>
      <c r="B570" s="161">
        <v>1674</v>
      </c>
      <c r="C570" s="161">
        <v>1</v>
      </c>
      <c r="D570" s="225">
        <v>44013</v>
      </c>
      <c r="E570" s="76" t="s">
        <v>246</v>
      </c>
      <c r="G570" s="257">
        <v>1</v>
      </c>
      <c r="H570" s="161" t="s">
        <v>211</v>
      </c>
      <c r="I570" s="76">
        <f t="shared" si="22"/>
        <v>1.2999999999999999E-2</v>
      </c>
      <c r="L570" s="76">
        <v>13</v>
      </c>
      <c r="M570" s="161" t="s">
        <v>235</v>
      </c>
    </row>
    <row r="571" spans="1:13" x14ac:dyDescent="0.2">
      <c r="A571" s="161" t="s">
        <v>21</v>
      </c>
      <c r="B571" s="161">
        <v>1674</v>
      </c>
      <c r="C571" s="161">
        <v>1</v>
      </c>
      <c r="D571" s="225">
        <v>44013</v>
      </c>
      <c r="E571" s="76" t="s">
        <v>246</v>
      </c>
      <c r="G571" s="257">
        <v>3</v>
      </c>
      <c r="H571" s="161" t="s">
        <v>211</v>
      </c>
      <c r="I571" s="76">
        <f t="shared" si="22"/>
        <v>1.4E-2</v>
      </c>
      <c r="L571" s="76">
        <v>14</v>
      </c>
      <c r="M571" s="161" t="s">
        <v>235</v>
      </c>
    </row>
    <row r="572" spans="1:13" x14ac:dyDescent="0.2">
      <c r="A572" s="161" t="s">
        <v>21</v>
      </c>
      <c r="B572" s="161">
        <v>1674</v>
      </c>
      <c r="C572" s="161">
        <v>1</v>
      </c>
      <c r="D572" s="225">
        <v>44013</v>
      </c>
      <c r="E572" s="76" t="s">
        <v>246</v>
      </c>
      <c r="G572" s="257">
        <v>5</v>
      </c>
      <c r="H572" s="161" t="s">
        <v>211</v>
      </c>
      <c r="I572" s="76">
        <f t="shared" si="22"/>
        <v>1.4999999999999999E-2</v>
      </c>
      <c r="L572" s="76">
        <v>15</v>
      </c>
      <c r="M572" s="161" t="s">
        <v>235</v>
      </c>
    </row>
    <row r="573" spans="1:13" x14ac:dyDescent="0.2">
      <c r="A573" s="161" t="s">
        <v>21</v>
      </c>
      <c r="B573" s="161">
        <v>1674</v>
      </c>
      <c r="C573" s="161">
        <v>1</v>
      </c>
      <c r="D573" s="225">
        <v>44013</v>
      </c>
      <c r="E573" s="76" t="s">
        <v>246</v>
      </c>
      <c r="G573" s="257">
        <v>7</v>
      </c>
      <c r="H573" s="161" t="s">
        <v>211</v>
      </c>
      <c r="I573" s="76">
        <f t="shared" si="22"/>
        <v>1.4E-2</v>
      </c>
      <c r="L573" s="76">
        <v>14</v>
      </c>
      <c r="M573" s="161" t="s">
        <v>235</v>
      </c>
    </row>
    <row r="574" spans="1:13" x14ac:dyDescent="0.2">
      <c r="A574" s="161" t="s">
        <v>21</v>
      </c>
      <c r="B574" s="161">
        <v>1674</v>
      </c>
      <c r="C574" s="161">
        <v>1</v>
      </c>
      <c r="D574" s="225">
        <v>44013</v>
      </c>
      <c r="E574" s="76" t="s">
        <v>246</v>
      </c>
      <c r="G574" s="257">
        <v>9</v>
      </c>
      <c r="H574" s="161" t="s">
        <v>211</v>
      </c>
      <c r="I574" s="76">
        <f t="shared" si="22"/>
        <v>1.6E-2</v>
      </c>
      <c r="L574" s="76">
        <v>16</v>
      </c>
      <c r="M574" s="161" t="s">
        <v>235</v>
      </c>
    </row>
    <row r="575" spans="1:13" x14ac:dyDescent="0.2">
      <c r="A575" s="161" t="s">
        <v>21</v>
      </c>
      <c r="B575" s="161">
        <v>1674</v>
      </c>
      <c r="C575" s="161">
        <v>1</v>
      </c>
      <c r="D575" s="225">
        <v>44013</v>
      </c>
      <c r="E575" s="76" t="s">
        <v>246</v>
      </c>
      <c r="G575" s="257">
        <v>11</v>
      </c>
      <c r="H575" s="161" t="s">
        <v>211</v>
      </c>
      <c r="I575" s="76">
        <f t="shared" si="22"/>
        <v>1.9E-2</v>
      </c>
      <c r="L575" s="76">
        <v>19</v>
      </c>
      <c r="M575" s="161" t="s">
        <v>235</v>
      </c>
    </row>
    <row r="576" spans="1:13" x14ac:dyDescent="0.2">
      <c r="A576" s="161" t="s">
        <v>21</v>
      </c>
      <c r="B576" s="161">
        <v>1674</v>
      </c>
      <c r="C576" s="161">
        <v>1</v>
      </c>
      <c r="D576" s="225">
        <v>44013</v>
      </c>
      <c r="E576" s="76" t="s">
        <v>246</v>
      </c>
      <c r="G576" s="257">
        <v>13</v>
      </c>
      <c r="H576" s="161" t="s">
        <v>211</v>
      </c>
      <c r="I576" s="76">
        <f t="shared" si="22"/>
        <v>3.3500000000000002E-2</v>
      </c>
      <c r="L576" s="76">
        <f>AVERAGE(29, 38)</f>
        <v>33.5</v>
      </c>
      <c r="M576" s="161" t="s">
        <v>235</v>
      </c>
    </row>
    <row r="577" spans="1:13" x14ac:dyDescent="0.2">
      <c r="A577" s="161" t="s">
        <v>21</v>
      </c>
      <c r="B577" s="161">
        <v>1674</v>
      </c>
      <c r="C577" s="161">
        <v>1</v>
      </c>
      <c r="D577" s="225">
        <v>44028</v>
      </c>
      <c r="E577" s="76" t="s">
        <v>246</v>
      </c>
      <c r="G577" s="257">
        <v>1</v>
      </c>
      <c r="H577" s="161" t="s">
        <v>211</v>
      </c>
      <c r="I577" s="76">
        <f t="shared" si="22"/>
        <v>1.2E-2</v>
      </c>
      <c r="L577" s="76">
        <v>12</v>
      </c>
      <c r="M577" s="161" t="s">
        <v>235</v>
      </c>
    </row>
    <row r="578" spans="1:13" x14ac:dyDescent="0.2">
      <c r="A578" s="161" t="s">
        <v>21</v>
      </c>
      <c r="B578" s="161">
        <v>1674</v>
      </c>
      <c r="C578" s="161">
        <v>1</v>
      </c>
      <c r="D578" s="225">
        <v>44028</v>
      </c>
      <c r="E578" s="76" t="s">
        <v>246</v>
      </c>
      <c r="G578" s="257">
        <v>3</v>
      </c>
      <c r="H578" s="161" t="s">
        <v>211</v>
      </c>
      <c r="I578" s="76">
        <f t="shared" si="22"/>
        <v>1.7000000000000001E-2</v>
      </c>
      <c r="L578" s="76">
        <v>17</v>
      </c>
      <c r="M578" s="161" t="s">
        <v>235</v>
      </c>
    </row>
    <row r="579" spans="1:13" x14ac:dyDescent="0.2">
      <c r="A579" s="161" t="s">
        <v>21</v>
      </c>
      <c r="B579" s="161">
        <v>1674</v>
      </c>
      <c r="C579" s="161">
        <v>1</v>
      </c>
      <c r="D579" s="225">
        <v>44028</v>
      </c>
      <c r="E579" s="76" t="s">
        <v>246</v>
      </c>
      <c r="G579" s="257">
        <v>5</v>
      </c>
      <c r="H579" s="161" t="s">
        <v>211</v>
      </c>
      <c r="I579" s="76">
        <f t="shared" si="22"/>
        <v>1.9E-2</v>
      </c>
      <c r="L579" s="76">
        <v>19</v>
      </c>
      <c r="M579" s="161" t="s">
        <v>235</v>
      </c>
    </row>
    <row r="580" spans="1:13" x14ac:dyDescent="0.2">
      <c r="A580" s="161" t="s">
        <v>21</v>
      </c>
      <c r="B580" s="161">
        <v>1674</v>
      </c>
      <c r="C580" s="161">
        <v>1</v>
      </c>
      <c r="D580" s="225">
        <v>44028</v>
      </c>
      <c r="E580" s="76" t="s">
        <v>246</v>
      </c>
      <c r="G580" s="257">
        <v>7</v>
      </c>
      <c r="H580" s="161" t="s">
        <v>211</v>
      </c>
      <c r="I580" s="76">
        <f t="shared" ref="I580:I604" si="23">L580/1000</f>
        <v>1.4999999999999999E-2</v>
      </c>
      <c r="L580" s="76">
        <v>15</v>
      </c>
      <c r="M580" s="161" t="s">
        <v>235</v>
      </c>
    </row>
    <row r="581" spans="1:13" x14ac:dyDescent="0.2">
      <c r="A581" s="161" t="s">
        <v>21</v>
      </c>
      <c r="B581" s="161">
        <v>1674</v>
      </c>
      <c r="C581" s="161">
        <v>1</v>
      </c>
      <c r="D581" s="225">
        <v>44028</v>
      </c>
      <c r="E581" s="76" t="s">
        <v>246</v>
      </c>
      <c r="G581" s="257">
        <v>9</v>
      </c>
      <c r="H581" s="161" t="s">
        <v>211</v>
      </c>
      <c r="I581" s="76">
        <f t="shared" si="23"/>
        <v>1.9E-2</v>
      </c>
      <c r="L581" s="76">
        <v>19</v>
      </c>
      <c r="M581" s="161" t="s">
        <v>235</v>
      </c>
    </row>
    <row r="582" spans="1:13" x14ac:dyDescent="0.2">
      <c r="A582" s="161" t="s">
        <v>21</v>
      </c>
      <c r="B582" s="161">
        <v>1674</v>
      </c>
      <c r="C582" s="161">
        <v>1</v>
      </c>
      <c r="D582" s="225">
        <v>44028</v>
      </c>
      <c r="E582" s="76" t="s">
        <v>246</v>
      </c>
      <c r="G582" s="257">
        <v>11</v>
      </c>
      <c r="H582" s="161" t="s">
        <v>211</v>
      </c>
      <c r="I582" s="76">
        <f t="shared" si="23"/>
        <v>1.4999999999999999E-2</v>
      </c>
      <c r="L582" s="76">
        <v>15</v>
      </c>
      <c r="M582" s="161" t="s">
        <v>235</v>
      </c>
    </row>
    <row r="583" spans="1:13" x14ac:dyDescent="0.2">
      <c r="A583" s="161" t="s">
        <v>21</v>
      </c>
      <c r="B583" s="161">
        <v>1674</v>
      </c>
      <c r="C583" s="161">
        <v>1</v>
      </c>
      <c r="D583" s="225">
        <v>44028</v>
      </c>
      <c r="E583" s="76" t="s">
        <v>246</v>
      </c>
      <c r="G583" s="257">
        <v>13</v>
      </c>
      <c r="H583" s="161" t="s">
        <v>211</v>
      </c>
      <c r="I583" s="235">
        <f t="shared" si="23"/>
        <v>0.02</v>
      </c>
      <c r="L583" s="238">
        <f>AVERAGE(19,21)</f>
        <v>20</v>
      </c>
      <c r="M583" s="161" t="s">
        <v>235</v>
      </c>
    </row>
    <row r="584" spans="1:13" x14ac:dyDescent="0.2">
      <c r="A584" s="161" t="s">
        <v>21</v>
      </c>
      <c r="B584" s="161">
        <v>1674</v>
      </c>
      <c r="C584" s="161">
        <v>1</v>
      </c>
      <c r="D584" s="225">
        <v>44041</v>
      </c>
      <c r="E584" s="76" t="s">
        <v>246</v>
      </c>
      <c r="G584" s="257">
        <v>1</v>
      </c>
      <c r="H584" s="161" t="s">
        <v>211</v>
      </c>
      <c r="I584" s="76">
        <f t="shared" si="23"/>
        <v>1.0999999999999999E-2</v>
      </c>
      <c r="L584" s="76">
        <v>11</v>
      </c>
      <c r="M584" s="161" t="s">
        <v>235</v>
      </c>
    </row>
    <row r="585" spans="1:13" x14ac:dyDescent="0.2">
      <c r="A585" s="161" t="s">
        <v>21</v>
      </c>
      <c r="B585" s="161">
        <v>1674</v>
      </c>
      <c r="C585" s="161">
        <v>1</v>
      </c>
      <c r="D585" s="225">
        <v>44041</v>
      </c>
      <c r="E585" s="76" t="s">
        <v>246</v>
      </c>
      <c r="G585" s="257">
        <v>3</v>
      </c>
      <c r="H585" s="161" t="s">
        <v>211</v>
      </c>
      <c r="I585" s="76">
        <f t="shared" si="23"/>
        <v>1.4E-2</v>
      </c>
      <c r="L585" s="76">
        <v>14</v>
      </c>
      <c r="M585" s="161" t="s">
        <v>235</v>
      </c>
    </row>
    <row r="586" spans="1:13" x14ac:dyDescent="0.2">
      <c r="A586" s="161" t="s">
        <v>21</v>
      </c>
      <c r="B586" s="161">
        <v>1674</v>
      </c>
      <c r="C586" s="161">
        <v>1</v>
      </c>
      <c r="D586" s="225">
        <v>44041</v>
      </c>
      <c r="E586" s="76" t="s">
        <v>246</v>
      </c>
      <c r="G586" s="257">
        <v>5</v>
      </c>
      <c r="H586" s="161" t="s">
        <v>211</v>
      </c>
      <c r="I586" s="76">
        <f t="shared" si="23"/>
        <v>1.4E-2</v>
      </c>
      <c r="L586" s="76">
        <v>14</v>
      </c>
      <c r="M586" s="161" t="s">
        <v>235</v>
      </c>
    </row>
    <row r="587" spans="1:13" x14ac:dyDescent="0.2">
      <c r="A587" s="161" t="s">
        <v>21</v>
      </c>
      <c r="B587" s="161">
        <v>1674</v>
      </c>
      <c r="C587" s="161">
        <v>1</v>
      </c>
      <c r="D587" s="225">
        <v>44041</v>
      </c>
      <c r="E587" s="76" t="s">
        <v>246</v>
      </c>
      <c r="G587" s="257">
        <v>7</v>
      </c>
      <c r="H587" s="161" t="s">
        <v>211</v>
      </c>
      <c r="I587" s="76">
        <f t="shared" si="23"/>
        <v>1.2999999999999999E-2</v>
      </c>
      <c r="L587" s="76">
        <v>13</v>
      </c>
      <c r="M587" s="161" t="s">
        <v>235</v>
      </c>
    </row>
    <row r="588" spans="1:13" x14ac:dyDescent="0.2">
      <c r="A588" s="161" t="s">
        <v>21</v>
      </c>
      <c r="B588" s="161">
        <v>1674</v>
      </c>
      <c r="C588" s="161">
        <v>1</v>
      </c>
      <c r="D588" s="225">
        <v>44041</v>
      </c>
      <c r="E588" s="76" t="s">
        <v>246</v>
      </c>
      <c r="G588" s="257">
        <v>9</v>
      </c>
      <c r="H588" s="161" t="s">
        <v>211</v>
      </c>
      <c r="I588" s="76">
        <f t="shared" si="23"/>
        <v>2.1000000000000001E-2</v>
      </c>
      <c r="L588" s="76">
        <v>21</v>
      </c>
      <c r="M588" s="161" t="s">
        <v>235</v>
      </c>
    </row>
    <row r="589" spans="1:13" x14ac:dyDescent="0.2">
      <c r="A589" s="161" t="s">
        <v>21</v>
      </c>
      <c r="B589" s="161">
        <v>1674</v>
      </c>
      <c r="C589" s="161">
        <v>1</v>
      </c>
      <c r="D589" s="225">
        <v>44041</v>
      </c>
      <c r="E589" s="76" t="s">
        <v>246</v>
      </c>
      <c r="G589" s="257">
        <v>11</v>
      </c>
      <c r="H589" s="161" t="s">
        <v>211</v>
      </c>
      <c r="I589" s="76">
        <f t="shared" si="23"/>
        <v>1.7000000000000001E-2</v>
      </c>
      <c r="L589" s="76">
        <f>AVERAGE(18,16)</f>
        <v>17</v>
      </c>
      <c r="M589" s="161" t="s">
        <v>235</v>
      </c>
    </row>
    <row r="590" spans="1:13" x14ac:dyDescent="0.2">
      <c r="A590" s="161" t="s">
        <v>21</v>
      </c>
      <c r="B590" s="161">
        <v>1674</v>
      </c>
      <c r="C590" s="161">
        <v>1</v>
      </c>
      <c r="D590" s="225">
        <v>44041</v>
      </c>
      <c r="E590" s="76" t="s">
        <v>246</v>
      </c>
      <c r="G590" s="257">
        <v>13</v>
      </c>
      <c r="H590" s="161" t="s">
        <v>211</v>
      </c>
      <c r="I590" s="76">
        <f t="shared" si="23"/>
        <v>2.5999999999999999E-2</v>
      </c>
      <c r="L590" s="76">
        <v>26</v>
      </c>
      <c r="M590" s="161" t="s">
        <v>235</v>
      </c>
    </row>
    <row r="591" spans="1:13" x14ac:dyDescent="0.2">
      <c r="A591" s="161" t="s">
        <v>21</v>
      </c>
      <c r="B591" s="161">
        <v>1674</v>
      </c>
      <c r="C591" s="161">
        <v>1</v>
      </c>
      <c r="D591" s="225">
        <v>44056</v>
      </c>
      <c r="E591" s="76" t="s">
        <v>246</v>
      </c>
      <c r="G591" s="257">
        <v>1</v>
      </c>
      <c r="H591" s="161" t="s">
        <v>211</v>
      </c>
      <c r="I591" s="76">
        <f t="shared" si="23"/>
        <v>1.2E-2</v>
      </c>
      <c r="L591" s="76">
        <v>12</v>
      </c>
      <c r="M591" s="161" t="s">
        <v>235</v>
      </c>
    </row>
    <row r="592" spans="1:13" x14ac:dyDescent="0.2">
      <c r="A592" s="161" t="s">
        <v>21</v>
      </c>
      <c r="B592" s="161">
        <v>1674</v>
      </c>
      <c r="C592" s="161">
        <v>1</v>
      </c>
      <c r="D592" s="225">
        <v>44056</v>
      </c>
      <c r="E592" s="76" t="s">
        <v>246</v>
      </c>
      <c r="G592" s="257">
        <v>3</v>
      </c>
      <c r="H592" s="161" t="s">
        <v>211</v>
      </c>
      <c r="I592" s="76">
        <f t="shared" si="23"/>
        <v>1.2999999999999999E-2</v>
      </c>
      <c r="L592" s="76">
        <v>13</v>
      </c>
      <c r="M592" s="161" t="s">
        <v>235</v>
      </c>
    </row>
    <row r="593" spans="1:13" x14ac:dyDescent="0.2">
      <c r="A593" s="161" t="s">
        <v>21</v>
      </c>
      <c r="B593" s="161">
        <v>1674</v>
      </c>
      <c r="C593" s="161">
        <v>1</v>
      </c>
      <c r="D593" s="225">
        <v>44056</v>
      </c>
      <c r="E593" s="76" t="s">
        <v>246</v>
      </c>
      <c r="G593" s="257">
        <v>5</v>
      </c>
      <c r="H593" s="161" t="s">
        <v>211</v>
      </c>
      <c r="I593" s="76">
        <f t="shared" si="23"/>
        <v>1.4999999999999999E-2</v>
      </c>
      <c r="L593" s="76">
        <v>15</v>
      </c>
      <c r="M593" s="161" t="s">
        <v>235</v>
      </c>
    </row>
    <row r="594" spans="1:13" x14ac:dyDescent="0.2">
      <c r="A594" s="161" t="s">
        <v>21</v>
      </c>
      <c r="B594" s="161">
        <v>1674</v>
      </c>
      <c r="C594" s="161">
        <v>1</v>
      </c>
      <c r="D594" s="225">
        <v>44056</v>
      </c>
      <c r="E594" s="76" t="s">
        <v>246</v>
      </c>
      <c r="G594" s="257">
        <v>7</v>
      </c>
      <c r="H594" s="161" t="s">
        <v>211</v>
      </c>
      <c r="I594" s="76">
        <f t="shared" si="23"/>
        <v>1.6E-2</v>
      </c>
      <c r="L594" s="76">
        <v>16</v>
      </c>
      <c r="M594" s="161" t="s">
        <v>235</v>
      </c>
    </row>
    <row r="595" spans="1:13" x14ac:dyDescent="0.2">
      <c r="A595" s="161" t="s">
        <v>21</v>
      </c>
      <c r="B595" s="161">
        <v>1674</v>
      </c>
      <c r="C595" s="161">
        <v>1</v>
      </c>
      <c r="D595" s="225">
        <v>44056</v>
      </c>
      <c r="E595" s="76" t="s">
        <v>246</v>
      </c>
      <c r="G595" s="257">
        <v>9</v>
      </c>
      <c r="H595" s="161" t="s">
        <v>211</v>
      </c>
      <c r="I595" s="76">
        <f t="shared" si="23"/>
        <v>1.4999999999999999E-2</v>
      </c>
      <c r="L595" s="76">
        <v>15</v>
      </c>
      <c r="M595" s="161" t="s">
        <v>235</v>
      </c>
    </row>
    <row r="596" spans="1:13" x14ac:dyDescent="0.2">
      <c r="A596" s="161" t="s">
        <v>21</v>
      </c>
      <c r="B596" s="161">
        <v>1674</v>
      </c>
      <c r="C596" s="161">
        <v>1</v>
      </c>
      <c r="D596" s="225">
        <v>44056</v>
      </c>
      <c r="E596" s="76" t="s">
        <v>246</v>
      </c>
      <c r="G596" s="257">
        <v>11</v>
      </c>
      <c r="H596" s="161" t="s">
        <v>211</v>
      </c>
      <c r="I596" s="76">
        <f t="shared" si="23"/>
        <v>1.7999999999999999E-2</v>
      </c>
      <c r="L596" s="76">
        <f>AVERAGE(19,17)</f>
        <v>18</v>
      </c>
      <c r="M596" s="161" t="s">
        <v>235</v>
      </c>
    </row>
    <row r="597" spans="1:13" x14ac:dyDescent="0.2">
      <c r="A597" s="161" t="s">
        <v>21</v>
      </c>
      <c r="B597" s="161">
        <v>1674</v>
      </c>
      <c r="C597" s="161">
        <v>1</v>
      </c>
      <c r="D597" s="225">
        <v>44056</v>
      </c>
      <c r="E597" s="76" t="s">
        <v>246</v>
      </c>
      <c r="G597" s="257">
        <v>13</v>
      </c>
      <c r="H597" s="161" t="s">
        <v>211</v>
      </c>
      <c r="I597" s="76">
        <f t="shared" si="23"/>
        <v>5.0999999999999997E-2</v>
      </c>
      <c r="L597" s="76">
        <v>51</v>
      </c>
      <c r="M597" s="161" t="s">
        <v>235</v>
      </c>
    </row>
    <row r="598" spans="1:13" x14ac:dyDescent="0.2">
      <c r="A598" s="161" t="s">
        <v>21</v>
      </c>
      <c r="B598" s="161">
        <v>1674</v>
      </c>
      <c r="C598" s="161">
        <v>1</v>
      </c>
      <c r="D598" s="225">
        <v>44067</v>
      </c>
      <c r="E598" s="76" t="s">
        <v>246</v>
      </c>
      <c r="G598" s="257">
        <v>1</v>
      </c>
      <c r="H598" s="161" t="s">
        <v>211</v>
      </c>
      <c r="I598" s="76">
        <f t="shared" si="23"/>
        <v>2.3E-2</v>
      </c>
      <c r="L598" s="76">
        <v>23</v>
      </c>
      <c r="M598" s="161" t="s">
        <v>235</v>
      </c>
    </row>
    <row r="599" spans="1:13" x14ac:dyDescent="0.2">
      <c r="A599" s="161" t="s">
        <v>21</v>
      </c>
      <c r="B599" s="161">
        <v>1674</v>
      </c>
      <c r="C599" s="161">
        <v>1</v>
      </c>
      <c r="D599" s="225">
        <v>44067</v>
      </c>
      <c r="E599" s="76" t="s">
        <v>246</v>
      </c>
      <c r="G599" s="257">
        <v>3</v>
      </c>
      <c r="H599" s="161" t="s">
        <v>211</v>
      </c>
      <c r="I599" s="76">
        <f t="shared" si="23"/>
        <v>1.4E-2</v>
      </c>
      <c r="L599" s="76">
        <v>14</v>
      </c>
      <c r="M599" s="161" t="s">
        <v>235</v>
      </c>
    </row>
    <row r="600" spans="1:13" x14ac:dyDescent="0.2">
      <c r="A600" s="161" t="s">
        <v>21</v>
      </c>
      <c r="B600" s="161">
        <v>1674</v>
      </c>
      <c r="C600" s="161">
        <v>1</v>
      </c>
      <c r="D600" s="225">
        <v>44067</v>
      </c>
      <c r="E600" s="76" t="s">
        <v>246</v>
      </c>
      <c r="G600" s="257">
        <v>5</v>
      </c>
      <c r="H600" s="161" t="s">
        <v>211</v>
      </c>
      <c r="I600" s="76">
        <f t="shared" si="23"/>
        <v>1.2999999999999999E-2</v>
      </c>
      <c r="L600" s="76">
        <v>13</v>
      </c>
      <c r="M600" s="161" t="s">
        <v>235</v>
      </c>
    </row>
    <row r="601" spans="1:13" x14ac:dyDescent="0.2">
      <c r="A601" s="161" t="s">
        <v>21</v>
      </c>
      <c r="B601" s="161">
        <v>1674</v>
      </c>
      <c r="C601" s="161">
        <v>1</v>
      </c>
      <c r="D601" s="225">
        <v>44067</v>
      </c>
      <c r="E601" s="76" t="s">
        <v>246</v>
      </c>
      <c r="G601" s="257">
        <v>7</v>
      </c>
      <c r="H601" s="161" t="s">
        <v>211</v>
      </c>
      <c r="I601" s="76">
        <f t="shared" si="23"/>
        <v>1.4E-2</v>
      </c>
      <c r="L601" s="76">
        <v>14</v>
      </c>
      <c r="M601" s="161" t="s">
        <v>235</v>
      </c>
    </row>
    <row r="602" spans="1:13" x14ac:dyDescent="0.2">
      <c r="A602" s="161" t="s">
        <v>21</v>
      </c>
      <c r="B602" s="161">
        <v>1674</v>
      </c>
      <c r="C602" s="161">
        <v>1</v>
      </c>
      <c r="D602" s="225">
        <v>44067</v>
      </c>
      <c r="E602" s="76" t="s">
        <v>246</v>
      </c>
      <c r="G602" s="257">
        <v>9</v>
      </c>
      <c r="H602" s="161" t="s">
        <v>211</v>
      </c>
      <c r="I602" s="76">
        <f t="shared" si="23"/>
        <v>0.02</v>
      </c>
      <c r="L602" s="76">
        <v>20</v>
      </c>
      <c r="M602" s="161" t="s">
        <v>235</v>
      </c>
    </row>
    <row r="603" spans="1:13" x14ac:dyDescent="0.2">
      <c r="A603" s="161" t="s">
        <v>21</v>
      </c>
      <c r="B603" s="161">
        <v>1674</v>
      </c>
      <c r="C603" s="161">
        <v>1</v>
      </c>
      <c r="D603" s="225">
        <v>44067</v>
      </c>
      <c r="E603" s="76" t="s">
        <v>246</v>
      </c>
      <c r="G603" s="257">
        <v>11</v>
      </c>
      <c r="H603" s="161" t="s">
        <v>211</v>
      </c>
      <c r="I603" s="76">
        <f t="shared" si="23"/>
        <v>1.6E-2</v>
      </c>
      <c r="L603" s="76">
        <v>16</v>
      </c>
      <c r="M603" s="161" t="s">
        <v>235</v>
      </c>
    </row>
    <row r="604" spans="1:13" x14ac:dyDescent="0.2">
      <c r="A604" s="161" t="s">
        <v>21</v>
      </c>
      <c r="B604" s="161">
        <v>1674</v>
      </c>
      <c r="C604" s="161">
        <v>1</v>
      </c>
      <c r="D604" s="225">
        <v>44067</v>
      </c>
      <c r="E604" s="76" t="s">
        <v>246</v>
      </c>
      <c r="G604" s="257">
        <v>13</v>
      </c>
      <c r="H604" s="161" t="s">
        <v>211</v>
      </c>
      <c r="I604" s="76">
        <f t="shared" si="23"/>
        <v>2.1499999999999998E-2</v>
      </c>
      <c r="L604" s="76">
        <f>AVERAGE(21,22)</f>
        <v>21.5</v>
      </c>
      <c r="M604" s="161" t="s">
        <v>235</v>
      </c>
    </row>
    <row r="605" spans="1:13" x14ac:dyDescent="0.2">
      <c r="A605" s="161" t="s">
        <v>21</v>
      </c>
      <c r="B605" s="161">
        <v>1674</v>
      </c>
      <c r="C605" s="161">
        <v>1</v>
      </c>
      <c r="D605" s="225">
        <v>44083</v>
      </c>
      <c r="E605" s="76" t="s">
        <v>246</v>
      </c>
      <c r="G605" s="257">
        <v>1</v>
      </c>
      <c r="H605" s="161" t="s">
        <v>211</v>
      </c>
      <c r="I605" s="76">
        <f t="shared" ref="I605:I639" si="24">L605/1000</f>
        <v>1.7000000000000001E-2</v>
      </c>
      <c r="L605" s="76">
        <v>17</v>
      </c>
      <c r="M605" s="161" t="s">
        <v>235</v>
      </c>
    </row>
    <row r="606" spans="1:13" x14ac:dyDescent="0.2">
      <c r="A606" s="161" t="s">
        <v>21</v>
      </c>
      <c r="B606" s="161">
        <v>1674</v>
      </c>
      <c r="C606" s="161">
        <v>1</v>
      </c>
      <c r="D606" s="225">
        <v>44083</v>
      </c>
      <c r="E606" s="76" t="s">
        <v>246</v>
      </c>
      <c r="G606" s="257">
        <v>3</v>
      </c>
      <c r="H606" s="161" t="s">
        <v>211</v>
      </c>
      <c r="I606" s="76">
        <f t="shared" si="24"/>
        <v>1.4999999999999999E-2</v>
      </c>
      <c r="L606" s="76">
        <v>15</v>
      </c>
      <c r="M606" s="161" t="s">
        <v>235</v>
      </c>
    </row>
    <row r="607" spans="1:13" x14ac:dyDescent="0.2">
      <c r="A607" s="161" t="s">
        <v>21</v>
      </c>
      <c r="B607" s="161">
        <v>1674</v>
      </c>
      <c r="C607" s="161">
        <v>1</v>
      </c>
      <c r="D607" s="225">
        <v>44083</v>
      </c>
      <c r="E607" s="76" t="s">
        <v>246</v>
      </c>
      <c r="G607" s="257">
        <v>5</v>
      </c>
      <c r="H607" s="161" t="s">
        <v>211</v>
      </c>
      <c r="I607" s="76">
        <f t="shared" si="24"/>
        <v>1.4999999999999999E-2</v>
      </c>
      <c r="L607" s="76">
        <v>15</v>
      </c>
      <c r="M607" s="161" t="s">
        <v>235</v>
      </c>
    </row>
    <row r="608" spans="1:13" x14ac:dyDescent="0.2">
      <c r="A608" s="161" t="s">
        <v>21</v>
      </c>
      <c r="B608" s="161">
        <v>1674</v>
      </c>
      <c r="C608" s="161">
        <v>1</v>
      </c>
      <c r="D608" s="225">
        <v>44083</v>
      </c>
      <c r="E608" s="76" t="s">
        <v>246</v>
      </c>
      <c r="G608" s="257">
        <v>7</v>
      </c>
      <c r="H608" s="161" t="s">
        <v>211</v>
      </c>
      <c r="I608" s="76">
        <f t="shared" si="24"/>
        <v>1.6E-2</v>
      </c>
      <c r="L608" s="76">
        <v>16</v>
      </c>
      <c r="M608" s="161" t="s">
        <v>235</v>
      </c>
    </row>
    <row r="609" spans="1:52" x14ac:dyDescent="0.2">
      <c r="A609" s="161" t="s">
        <v>21</v>
      </c>
      <c r="B609" s="161">
        <v>1674</v>
      </c>
      <c r="C609" s="161">
        <v>1</v>
      </c>
      <c r="D609" s="225">
        <v>44083</v>
      </c>
      <c r="E609" s="76" t="s">
        <v>246</v>
      </c>
      <c r="G609" s="257">
        <v>9</v>
      </c>
      <c r="H609" s="161" t="s">
        <v>211</v>
      </c>
      <c r="I609" s="76">
        <f t="shared" si="24"/>
        <v>1.7000000000000001E-2</v>
      </c>
      <c r="L609" s="76">
        <v>17</v>
      </c>
      <c r="M609" s="161" t="s">
        <v>235</v>
      </c>
    </row>
    <row r="610" spans="1:52" x14ac:dyDescent="0.2">
      <c r="A610" s="161" t="s">
        <v>21</v>
      </c>
      <c r="B610" s="161">
        <v>1674</v>
      </c>
      <c r="C610" s="161">
        <v>1</v>
      </c>
      <c r="D610" s="225">
        <v>44083</v>
      </c>
      <c r="E610" s="76" t="s">
        <v>246</v>
      </c>
      <c r="G610" s="257">
        <v>11</v>
      </c>
      <c r="H610" s="161" t="s">
        <v>211</v>
      </c>
      <c r="I610" s="76">
        <f t="shared" si="24"/>
        <v>1.6E-2</v>
      </c>
      <c r="L610" s="76">
        <v>16</v>
      </c>
      <c r="M610" s="161" t="s">
        <v>235</v>
      </c>
    </row>
    <row r="611" spans="1:52" x14ac:dyDescent="0.2">
      <c r="A611" s="161" t="s">
        <v>21</v>
      </c>
      <c r="B611" s="161">
        <v>1674</v>
      </c>
      <c r="C611" s="161">
        <v>1</v>
      </c>
      <c r="D611" s="225">
        <v>44083</v>
      </c>
      <c r="E611" s="76" t="s">
        <v>246</v>
      </c>
      <c r="G611" s="257">
        <v>13</v>
      </c>
      <c r="H611" s="161" t="s">
        <v>211</v>
      </c>
      <c r="I611" s="76">
        <f t="shared" si="24"/>
        <v>1.6500000000000001E-2</v>
      </c>
      <c r="L611" s="76">
        <f>AVERAGE(16,17)</f>
        <v>16.5</v>
      </c>
      <c r="M611" s="161" t="s">
        <v>235</v>
      </c>
    </row>
    <row r="612" spans="1:52" s="177" customFormat="1" x14ac:dyDescent="0.2">
      <c r="A612" s="161" t="s">
        <v>21</v>
      </c>
      <c r="B612" s="161">
        <v>1674</v>
      </c>
      <c r="C612" s="161">
        <v>1</v>
      </c>
      <c r="D612" s="225">
        <v>44099</v>
      </c>
      <c r="E612" s="76" t="s">
        <v>246</v>
      </c>
      <c r="F612" s="76"/>
      <c r="G612" s="257">
        <v>1</v>
      </c>
      <c r="H612" s="161" t="s">
        <v>211</v>
      </c>
      <c r="I612" s="76">
        <f t="shared" si="24"/>
        <v>2.1000000000000001E-2</v>
      </c>
      <c r="J612" s="76"/>
      <c r="K612" s="76"/>
      <c r="L612" s="76">
        <v>21</v>
      </c>
      <c r="M612" s="161" t="s">
        <v>235</v>
      </c>
      <c r="AI612" s="95"/>
      <c r="AJ612" s="95"/>
      <c r="AK612" s="146"/>
      <c r="AL612" s="146"/>
      <c r="AM612" s="146"/>
      <c r="AN612" s="146"/>
      <c r="AO612" s="146"/>
      <c r="AP612" s="146"/>
      <c r="AQ612" s="146"/>
      <c r="AR612" s="146"/>
      <c r="AS612" s="146"/>
      <c r="AT612" s="146"/>
      <c r="AU612" s="146"/>
      <c r="AV612" s="146"/>
      <c r="AW612" s="146"/>
      <c r="AX612" s="146"/>
      <c r="AY612" s="146"/>
      <c r="AZ612" s="146"/>
    </row>
    <row r="613" spans="1:52" s="177" customFormat="1" x14ac:dyDescent="0.2">
      <c r="A613" s="161" t="s">
        <v>21</v>
      </c>
      <c r="B613" s="161">
        <v>1674</v>
      </c>
      <c r="C613" s="161">
        <v>1</v>
      </c>
      <c r="D613" s="225">
        <v>44099</v>
      </c>
      <c r="E613" s="76" t="s">
        <v>246</v>
      </c>
      <c r="F613" s="76"/>
      <c r="G613" s="257">
        <v>3</v>
      </c>
      <c r="H613" s="161" t="s">
        <v>211</v>
      </c>
      <c r="I613" s="76">
        <f t="shared" si="24"/>
        <v>1.6E-2</v>
      </c>
      <c r="J613" s="76"/>
      <c r="K613" s="76"/>
      <c r="L613" s="76">
        <v>16</v>
      </c>
      <c r="M613" s="161" t="s">
        <v>235</v>
      </c>
      <c r="AI613" s="95"/>
      <c r="AJ613" s="95"/>
      <c r="AK613" s="146"/>
      <c r="AL613" s="146"/>
      <c r="AM613" s="146"/>
      <c r="AN613" s="146"/>
      <c r="AO613" s="146"/>
      <c r="AP613" s="146"/>
      <c r="AQ613" s="146"/>
      <c r="AR613" s="146"/>
      <c r="AS613" s="146"/>
      <c r="AT613" s="146"/>
      <c r="AU613" s="146"/>
      <c r="AV613" s="146"/>
      <c r="AW613" s="146"/>
      <c r="AX613" s="146"/>
      <c r="AY613" s="146"/>
      <c r="AZ613" s="146"/>
    </row>
    <row r="614" spans="1:52" s="177" customFormat="1" x14ac:dyDescent="0.2">
      <c r="A614" s="161" t="s">
        <v>21</v>
      </c>
      <c r="B614" s="161">
        <v>1674</v>
      </c>
      <c r="C614" s="161">
        <v>1</v>
      </c>
      <c r="D614" s="225">
        <v>44099</v>
      </c>
      <c r="E614" s="76" t="s">
        <v>246</v>
      </c>
      <c r="F614" s="76"/>
      <c r="G614" s="257">
        <v>5</v>
      </c>
      <c r="H614" s="161" t="s">
        <v>211</v>
      </c>
      <c r="I614" s="76">
        <f t="shared" si="24"/>
        <v>1.4999999999999999E-2</v>
      </c>
      <c r="J614" s="76"/>
      <c r="K614" s="76"/>
      <c r="L614" s="76">
        <v>15</v>
      </c>
      <c r="M614" s="161" t="s">
        <v>235</v>
      </c>
      <c r="AI614" s="95"/>
      <c r="AJ614" s="95"/>
      <c r="AK614" s="146"/>
      <c r="AL614" s="146"/>
      <c r="AM614" s="146"/>
      <c r="AN614" s="146"/>
      <c r="AO614" s="146"/>
      <c r="AP614" s="146"/>
      <c r="AQ614" s="146"/>
      <c r="AR614" s="146"/>
      <c r="AS614" s="146"/>
      <c r="AT614" s="146"/>
      <c r="AU614" s="146"/>
      <c r="AV614" s="146"/>
      <c r="AW614" s="146"/>
      <c r="AX614" s="146"/>
      <c r="AY614" s="146"/>
      <c r="AZ614" s="146"/>
    </row>
    <row r="615" spans="1:52" s="177" customFormat="1" x14ac:dyDescent="0.2">
      <c r="A615" s="161" t="s">
        <v>21</v>
      </c>
      <c r="B615" s="161">
        <v>1674</v>
      </c>
      <c r="C615" s="161">
        <v>1</v>
      </c>
      <c r="D615" s="225">
        <v>44099</v>
      </c>
      <c r="E615" s="76" t="s">
        <v>246</v>
      </c>
      <c r="F615" s="76"/>
      <c r="G615" s="257">
        <v>7</v>
      </c>
      <c r="H615" s="161" t="s">
        <v>211</v>
      </c>
      <c r="I615" s="76">
        <f t="shared" si="24"/>
        <v>1.6E-2</v>
      </c>
      <c r="J615" s="76"/>
      <c r="K615" s="76"/>
      <c r="L615" s="76">
        <v>16</v>
      </c>
      <c r="M615" s="161" t="s">
        <v>235</v>
      </c>
      <c r="AI615" s="95"/>
      <c r="AJ615" s="95"/>
      <c r="AK615" s="146"/>
      <c r="AL615" s="146"/>
      <c r="AM615" s="146"/>
      <c r="AN615" s="146"/>
      <c r="AO615" s="146"/>
      <c r="AP615" s="146"/>
      <c r="AQ615" s="146"/>
      <c r="AR615" s="146"/>
      <c r="AS615" s="146"/>
      <c r="AT615" s="146"/>
      <c r="AU615" s="146"/>
      <c r="AV615" s="146"/>
      <c r="AW615" s="146"/>
      <c r="AX615" s="146"/>
      <c r="AY615" s="146"/>
      <c r="AZ615" s="146"/>
    </row>
    <row r="616" spans="1:52" s="177" customFormat="1" x14ac:dyDescent="0.2">
      <c r="A616" s="161" t="s">
        <v>21</v>
      </c>
      <c r="B616" s="161">
        <v>1674</v>
      </c>
      <c r="C616" s="161">
        <v>1</v>
      </c>
      <c r="D616" s="225">
        <v>44099</v>
      </c>
      <c r="E616" s="76" t="s">
        <v>246</v>
      </c>
      <c r="F616" s="76"/>
      <c r="G616" s="257">
        <v>9</v>
      </c>
      <c r="H616" s="161" t="s">
        <v>211</v>
      </c>
      <c r="I616" s="76">
        <f t="shared" si="24"/>
        <v>1.7000000000000001E-2</v>
      </c>
      <c r="J616" s="76"/>
      <c r="K616" s="76"/>
      <c r="L616" s="76">
        <v>17</v>
      </c>
      <c r="M616" s="161" t="s">
        <v>235</v>
      </c>
      <c r="AI616" s="95"/>
      <c r="AJ616" s="95"/>
      <c r="AK616" s="146"/>
      <c r="AL616" s="146"/>
      <c r="AM616" s="146"/>
      <c r="AN616" s="146"/>
      <c r="AO616" s="146"/>
      <c r="AP616" s="146"/>
      <c r="AQ616" s="146"/>
      <c r="AR616" s="146"/>
      <c r="AS616" s="146"/>
      <c r="AT616" s="146"/>
      <c r="AU616" s="146"/>
      <c r="AV616" s="146"/>
      <c r="AW616" s="146"/>
      <c r="AX616" s="146"/>
      <c r="AY616" s="146"/>
      <c r="AZ616" s="146"/>
    </row>
    <row r="617" spans="1:52" s="177" customFormat="1" x14ac:dyDescent="0.2">
      <c r="A617" s="161" t="s">
        <v>21</v>
      </c>
      <c r="B617" s="161">
        <v>1674</v>
      </c>
      <c r="C617" s="161">
        <v>1</v>
      </c>
      <c r="D617" s="225">
        <v>44099</v>
      </c>
      <c r="E617" s="76" t="s">
        <v>246</v>
      </c>
      <c r="F617" s="76"/>
      <c r="G617" s="257">
        <v>11</v>
      </c>
      <c r="H617" s="161" t="s">
        <v>211</v>
      </c>
      <c r="I617" s="76">
        <f t="shared" si="24"/>
        <v>1.6E-2</v>
      </c>
      <c r="J617" s="76"/>
      <c r="K617" s="76"/>
      <c r="L617" s="76">
        <v>16</v>
      </c>
      <c r="M617" s="161" t="s">
        <v>235</v>
      </c>
      <c r="AI617" s="95"/>
      <c r="AJ617" s="95"/>
      <c r="AK617" s="146"/>
      <c r="AL617" s="146"/>
      <c r="AM617" s="146"/>
      <c r="AN617" s="146"/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146"/>
      <c r="AY617" s="146"/>
      <c r="AZ617" s="146"/>
    </row>
    <row r="618" spans="1:52" s="177" customFormat="1" x14ac:dyDescent="0.2">
      <c r="A618" s="161" t="s">
        <v>21</v>
      </c>
      <c r="B618" s="161">
        <v>1674</v>
      </c>
      <c r="C618" s="161">
        <v>1</v>
      </c>
      <c r="D618" s="225">
        <v>44099</v>
      </c>
      <c r="E618" s="76" t="s">
        <v>246</v>
      </c>
      <c r="F618" s="76"/>
      <c r="G618" s="257">
        <v>13</v>
      </c>
      <c r="H618" s="161" t="s">
        <v>211</v>
      </c>
      <c r="I618" s="76">
        <f t="shared" si="24"/>
        <v>1.6500000000000001E-2</v>
      </c>
      <c r="J618" s="76"/>
      <c r="K618" s="76"/>
      <c r="L618" s="237">
        <f>AVERAGE(16,17)</f>
        <v>16.5</v>
      </c>
      <c r="M618" s="161" t="s">
        <v>235</v>
      </c>
      <c r="AI618" s="95"/>
      <c r="AJ618" s="95"/>
      <c r="AK618" s="146"/>
      <c r="AL618" s="146"/>
      <c r="AM618" s="146"/>
      <c r="AN618" s="146"/>
      <c r="AO618" s="146"/>
      <c r="AP618" s="146"/>
      <c r="AQ618" s="146"/>
      <c r="AR618" s="146"/>
      <c r="AS618" s="146"/>
      <c r="AT618" s="146"/>
      <c r="AU618" s="146"/>
      <c r="AV618" s="146"/>
      <c r="AW618" s="146"/>
      <c r="AX618" s="146"/>
      <c r="AY618" s="146"/>
      <c r="AZ618" s="146"/>
    </row>
    <row r="619" spans="1:52" s="177" customFormat="1" x14ac:dyDescent="0.2">
      <c r="A619" s="161" t="s">
        <v>21</v>
      </c>
      <c r="B619" s="161">
        <v>1674</v>
      </c>
      <c r="C619" s="161">
        <v>1</v>
      </c>
      <c r="D619" s="225">
        <v>44111</v>
      </c>
      <c r="E619" s="76" t="s">
        <v>246</v>
      </c>
      <c r="F619" s="76"/>
      <c r="G619" s="257">
        <v>1</v>
      </c>
      <c r="H619" s="161" t="s">
        <v>211</v>
      </c>
      <c r="I619" s="76">
        <f t="shared" si="24"/>
        <v>1.6E-2</v>
      </c>
      <c r="J619" s="76"/>
      <c r="K619" s="76"/>
      <c r="L619" s="76">
        <v>16</v>
      </c>
      <c r="M619" s="161" t="s">
        <v>235</v>
      </c>
      <c r="AI619" s="95"/>
      <c r="AJ619" s="95"/>
      <c r="AK619" s="146"/>
      <c r="AL619" s="146"/>
      <c r="AM619" s="146"/>
      <c r="AN619" s="146"/>
      <c r="AO619" s="146"/>
      <c r="AP619" s="146"/>
      <c r="AQ619" s="146"/>
      <c r="AR619" s="146"/>
      <c r="AS619" s="146"/>
      <c r="AT619" s="146"/>
      <c r="AU619" s="146"/>
      <c r="AV619" s="146"/>
      <c r="AW619" s="146"/>
      <c r="AX619" s="146"/>
      <c r="AY619" s="146"/>
      <c r="AZ619" s="146"/>
    </row>
    <row r="620" spans="1:52" s="177" customFormat="1" x14ac:dyDescent="0.2">
      <c r="A620" s="161" t="s">
        <v>21</v>
      </c>
      <c r="B620" s="161">
        <v>1674</v>
      </c>
      <c r="C620" s="161">
        <v>1</v>
      </c>
      <c r="D620" s="225">
        <v>44111</v>
      </c>
      <c r="E620" s="76" t="s">
        <v>246</v>
      </c>
      <c r="F620" s="76"/>
      <c r="G620" s="257">
        <v>3</v>
      </c>
      <c r="H620" s="161" t="s">
        <v>211</v>
      </c>
      <c r="I620" s="76">
        <f t="shared" si="24"/>
        <v>1.6E-2</v>
      </c>
      <c r="J620" s="76"/>
      <c r="K620" s="76"/>
      <c r="L620" s="76">
        <v>16</v>
      </c>
      <c r="M620" s="161" t="s">
        <v>235</v>
      </c>
      <c r="AI620" s="95"/>
      <c r="AJ620" s="95"/>
      <c r="AK620" s="146"/>
      <c r="AL620" s="146"/>
      <c r="AM620" s="146"/>
      <c r="AN620" s="146"/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146"/>
      <c r="AY620" s="146"/>
      <c r="AZ620" s="146"/>
    </row>
    <row r="621" spans="1:52" s="177" customFormat="1" x14ac:dyDescent="0.2">
      <c r="A621" s="161" t="s">
        <v>21</v>
      </c>
      <c r="B621" s="161">
        <v>1674</v>
      </c>
      <c r="C621" s="161">
        <v>1</v>
      </c>
      <c r="D621" s="225">
        <v>44111</v>
      </c>
      <c r="E621" s="76" t="s">
        <v>246</v>
      </c>
      <c r="F621" s="76"/>
      <c r="G621" s="257">
        <v>5</v>
      </c>
      <c r="H621" s="161" t="s">
        <v>211</v>
      </c>
      <c r="I621" s="76">
        <f t="shared" si="24"/>
        <v>1.7000000000000001E-2</v>
      </c>
      <c r="J621" s="76"/>
      <c r="K621" s="76"/>
      <c r="L621" s="76">
        <v>17</v>
      </c>
      <c r="M621" s="161" t="s">
        <v>235</v>
      </c>
      <c r="AI621" s="95"/>
      <c r="AJ621" s="95"/>
      <c r="AK621" s="146"/>
      <c r="AL621" s="146"/>
      <c r="AM621" s="146"/>
      <c r="AN621" s="146"/>
      <c r="AO621" s="146"/>
      <c r="AP621" s="146"/>
      <c r="AQ621" s="146"/>
      <c r="AR621" s="146"/>
      <c r="AS621" s="146"/>
      <c r="AT621" s="146"/>
      <c r="AU621" s="146"/>
      <c r="AV621" s="146"/>
      <c r="AW621" s="146"/>
      <c r="AX621" s="146"/>
      <c r="AY621" s="146"/>
      <c r="AZ621" s="146"/>
    </row>
    <row r="622" spans="1:52" s="177" customFormat="1" x14ac:dyDescent="0.2">
      <c r="A622" s="161" t="s">
        <v>21</v>
      </c>
      <c r="B622" s="161">
        <v>1674</v>
      </c>
      <c r="C622" s="161">
        <v>1</v>
      </c>
      <c r="D622" s="225">
        <v>44111</v>
      </c>
      <c r="E622" s="76" t="s">
        <v>246</v>
      </c>
      <c r="F622" s="76"/>
      <c r="G622" s="257">
        <v>7</v>
      </c>
      <c r="H622" s="161" t="s">
        <v>211</v>
      </c>
      <c r="I622" s="76">
        <f t="shared" si="24"/>
        <v>1.7999999999999999E-2</v>
      </c>
      <c r="J622" s="76"/>
      <c r="K622" s="76"/>
      <c r="L622" s="76">
        <v>18</v>
      </c>
      <c r="M622" s="161" t="s">
        <v>235</v>
      </c>
      <c r="AI622" s="95"/>
      <c r="AJ622" s="95"/>
      <c r="AK622" s="146"/>
      <c r="AL622" s="146"/>
      <c r="AM622" s="146"/>
      <c r="AN622" s="146"/>
      <c r="AO622" s="146"/>
      <c r="AP622" s="146"/>
      <c r="AQ622" s="146"/>
      <c r="AR622" s="146"/>
      <c r="AS622" s="146"/>
      <c r="AT622" s="146"/>
      <c r="AU622" s="146"/>
      <c r="AV622" s="146"/>
      <c r="AW622" s="146"/>
      <c r="AX622" s="146"/>
      <c r="AY622" s="146"/>
      <c r="AZ622" s="146"/>
    </row>
    <row r="623" spans="1:52" s="177" customFormat="1" x14ac:dyDescent="0.2">
      <c r="A623" s="161" t="s">
        <v>21</v>
      </c>
      <c r="B623" s="161">
        <v>1674</v>
      </c>
      <c r="C623" s="161">
        <v>1</v>
      </c>
      <c r="D623" s="225">
        <v>44111</v>
      </c>
      <c r="E623" s="76" t="s">
        <v>246</v>
      </c>
      <c r="F623" s="76"/>
      <c r="G623" s="257">
        <v>9</v>
      </c>
      <c r="H623" s="161" t="s">
        <v>211</v>
      </c>
      <c r="I623" s="76">
        <f t="shared" si="24"/>
        <v>1.7999999999999999E-2</v>
      </c>
      <c r="J623" s="76"/>
      <c r="K623" s="76"/>
      <c r="L623" s="76">
        <v>18</v>
      </c>
      <c r="M623" s="161" t="s">
        <v>235</v>
      </c>
      <c r="AI623" s="95"/>
      <c r="AJ623" s="95"/>
      <c r="AK623" s="146"/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146"/>
    </row>
    <row r="624" spans="1:52" s="177" customFormat="1" x14ac:dyDescent="0.2">
      <c r="A624" s="161" t="s">
        <v>21</v>
      </c>
      <c r="B624" s="161">
        <v>1674</v>
      </c>
      <c r="C624" s="161">
        <v>1</v>
      </c>
      <c r="D624" s="225">
        <v>44111</v>
      </c>
      <c r="E624" s="76" t="s">
        <v>246</v>
      </c>
      <c r="F624" s="76"/>
      <c r="G624" s="257">
        <v>11</v>
      </c>
      <c r="H624" s="161" t="s">
        <v>211</v>
      </c>
      <c r="I624" s="76">
        <f t="shared" si="24"/>
        <v>1.4999999999999999E-2</v>
      </c>
      <c r="J624" s="76"/>
      <c r="K624" s="76"/>
      <c r="L624" s="76">
        <v>15</v>
      </c>
      <c r="M624" s="161" t="s">
        <v>235</v>
      </c>
      <c r="AI624" s="95"/>
      <c r="AJ624" s="95"/>
      <c r="AK624" s="146"/>
      <c r="AL624" s="146"/>
      <c r="AM624" s="146"/>
      <c r="AN624" s="146"/>
      <c r="AO624" s="146"/>
      <c r="AP624" s="146"/>
      <c r="AQ624" s="146"/>
      <c r="AR624" s="146"/>
      <c r="AS624" s="146"/>
      <c r="AT624" s="146"/>
      <c r="AU624" s="146"/>
      <c r="AV624" s="146"/>
      <c r="AW624" s="146"/>
      <c r="AX624" s="146"/>
      <c r="AY624" s="146"/>
      <c r="AZ624" s="146"/>
    </row>
    <row r="625" spans="1:52" s="177" customFormat="1" x14ac:dyDescent="0.2">
      <c r="A625" s="161" t="s">
        <v>21</v>
      </c>
      <c r="B625" s="161">
        <v>1674</v>
      </c>
      <c r="C625" s="161">
        <v>1</v>
      </c>
      <c r="D625" s="225">
        <v>44111</v>
      </c>
      <c r="E625" s="76" t="s">
        <v>246</v>
      </c>
      <c r="F625" s="76"/>
      <c r="G625" s="257">
        <v>13</v>
      </c>
      <c r="H625" s="161" t="s">
        <v>211</v>
      </c>
      <c r="I625" s="76">
        <f t="shared" si="24"/>
        <v>1.6500000000000001E-2</v>
      </c>
      <c r="J625" s="76"/>
      <c r="K625" s="76"/>
      <c r="L625" s="76">
        <f>AVERAGE(16,17)</f>
        <v>16.5</v>
      </c>
      <c r="M625" s="161" t="s">
        <v>235</v>
      </c>
      <c r="AI625" s="95"/>
      <c r="AJ625" s="95"/>
      <c r="AK625" s="146"/>
      <c r="AL625" s="146"/>
      <c r="AM625" s="146"/>
      <c r="AN625" s="146"/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146"/>
      <c r="AY625" s="146"/>
      <c r="AZ625" s="146"/>
    </row>
    <row r="626" spans="1:52" s="177" customFormat="1" x14ac:dyDescent="0.2">
      <c r="A626" s="161" t="s">
        <v>21</v>
      </c>
      <c r="B626" s="161">
        <v>1674</v>
      </c>
      <c r="C626" s="161">
        <v>1</v>
      </c>
      <c r="D626" s="225">
        <v>44122</v>
      </c>
      <c r="E626" s="76" t="s">
        <v>246</v>
      </c>
      <c r="F626" s="76"/>
      <c r="G626" s="257">
        <v>1</v>
      </c>
      <c r="H626" s="161" t="s">
        <v>211</v>
      </c>
      <c r="I626" s="76">
        <f t="shared" si="24"/>
        <v>1.7000000000000001E-2</v>
      </c>
      <c r="J626" s="76"/>
      <c r="K626" s="76"/>
      <c r="L626" s="76">
        <v>17</v>
      </c>
      <c r="M626" s="161" t="s">
        <v>235</v>
      </c>
      <c r="AI626" s="95"/>
      <c r="AJ626" s="95"/>
      <c r="AK626" s="146"/>
      <c r="AL626" s="146"/>
      <c r="AM626" s="146"/>
      <c r="AN626" s="146"/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146"/>
      <c r="AY626" s="146"/>
      <c r="AZ626" s="146"/>
    </row>
    <row r="627" spans="1:52" s="177" customFormat="1" x14ac:dyDescent="0.2">
      <c r="A627" s="161" t="s">
        <v>21</v>
      </c>
      <c r="B627" s="161">
        <v>1674</v>
      </c>
      <c r="C627" s="161">
        <v>1</v>
      </c>
      <c r="D627" s="225">
        <v>44122</v>
      </c>
      <c r="E627" s="76" t="s">
        <v>246</v>
      </c>
      <c r="F627" s="76"/>
      <c r="G627" s="257">
        <v>3</v>
      </c>
      <c r="H627" s="161" t="s">
        <v>211</v>
      </c>
      <c r="I627" s="76">
        <f t="shared" si="24"/>
        <v>2.1999999999999999E-2</v>
      </c>
      <c r="J627" s="76"/>
      <c r="K627" s="76"/>
      <c r="L627" s="76">
        <v>22</v>
      </c>
      <c r="M627" s="161" t="s">
        <v>235</v>
      </c>
      <c r="AI627" s="95"/>
      <c r="AJ627" s="95"/>
      <c r="AK627" s="146"/>
      <c r="AL627" s="146"/>
      <c r="AM627" s="146"/>
      <c r="AN627" s="146"/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146"/>
      <c r="AY627" s="146"/>
      <c r="AZ627" s="146"/>
    </row>
    <row r="628" spans="1:52" s="177" customFormat="1" x14ac:dyDescent="0.2">
      <c r="A628" s="161" t="s">
        <v>21</v>
      </c>
      <c r="B628" s="161">
        <v>1674</v>
      </c>
      <c r="C628" s="161">
        <v>1</v>
      </c>
      <c r="D628" s="225">
        <v>44122</v>
      </c>
      <c r="E628" s="76" t="s">
        <v>246</v>
      </c>
      <c r="F628" s="76"/>
      <c r="G628" s="257">
        <v>5</v>
      </c>
      <c r="H628" s="161" t="s">
        <v>211</v>
      </c>
      <c r="I628" s="76">
        <f t="shared" si="24"/>
        <v>1.6E-2</v>
      </c>
      <c r="J628" s="76"/>
      <c r="K628" s="76"/>
      <c r="L628" s="76">
        <v>16</v>
      </c>
      <c r="M628" s="161" t="s">
        <v>235</v>
      </c>
      <c r="AI628" s="95"/>
      <c r="AJ628" s="95"/>
      <c r="AK628" s="146"/>
      <c r="AL628" s="146"/>
      <c r="AM628" s="146"/>
      <c r="AN628" s="146"/>
      <c r="AO628" s="146"/>
      <c r="AP628" s="146"/>
      <c r="AQ628" s="146"/>
      <c r="AR628" s="146"/>
      <c r="AS628" s="146"/>
      <c r="AT628" s="146"/>
      <c r="AU628" s="146"/>
      <c r="AV628" s="146"/>
      <c r="AW628" s="146"/>
      <c r="AX628" s="146"/>
      <c r="AY628" s="146"/>
      <c r="AZ628" s="146"/>
    </row>
    <row r="629" spans="1:52" s="177" customFormat="1" x14ac:dyDescent="0.2">
      <c r="A629" s="161" t="s">
        <v>21</v>
      </c>
      <c r="B629" s="161">
        <v>1674</v>
      </c>
      <c r="C629" s="161">
        <v>1</v>
      </c>
      <c r="D629" s="225">
        <v>44122</v>
      </c>
      <c r="E629" s="76" t="s">
        <v>246</v>
      </c>
      <c r="F629" s="76"/>
      <c r="G629" s="257">
        <v>7</v>
      </c>
      <c r="H629" s="161" t="s">
        <v>211</v>
      </c>
      <c r="I629" s="76">
        <f t="shared" si="24"/>
        <v>1.7999999999999999E-2</v>
      </c>
      <c r="J629" s="76"/>
      <c r="K629" s="76"/>
      <c r="L629" s="76">
        <v>18</v>
      </c>
      <c r="M629" s="161" t="s">
        <v>235</v>
      </c>
      <c r="AI629" s="95"/>
      <c r="AJ629" s="95"/>
      <c r="AK629" s="146"/>
      <c r="AL629" s="146"/>
      <c r="AM629" s="146"/>
      <c r="AN629" s="146"/>
      <c r="AO629" s="146"/>
      <c r="AP629" s="146"/>
      <c r="AQ629" s="146"/>
      <c r="AR629" s="146"/>
      <c r="AS629" s="146"/>
      <c r="AT629" s="146"/>
      <c r="AU629" s="146"/>
      <c r="AV629" s="146"/>
      <c r="AW629" s="146"/>
      <c r="AX629" s="146"/>
      <c r="AY629" s="146"/>
      <c r="AZ629" s="146"/>
    </row>
    <row r="630" spans="1:52" s="177" customFormat="1" x14ac:dyDescent="0.2">
      <c r="A630" s="161" t="s">
        <v>21</v>
      </c>
      <c r="B630" s="161">
        <v>1674</v>
      </c>
      <c r="C630" s="161">
        <v>1</v>
      </c>
      <c r="D630" s="225">
        <v>44122</v>
      </c>
      <c r="E630" s="76" t="s">
        <v>246</v>
      </c>
      <c r="F630" s="76"/>
      <c r="G630" s="257">
        <v>9</v>
      </c>
      <c r="H630" s="161" t="s">
        <v>211</v>
      </c>
      <c r="I630" s="76">
        <f t="shared" si="24"/>
        <v>1.6E-2</v>
      </c>
      <c r="J630" s="76"/>
      <c r="K630" s="76"/>
      <c r="L630" s="76">
        <v>16</v>
      </c>
      <c r="M630" s="161" t="s">
        <v>235</v>
      </c>
      <c r="AI630" s="95"/>
      <c r="AJ630" s="95"/>
      <c r="AK630" s="146"/>
      <c r="AL630" s="146"/>
      <c r="AM630" s="146"/>
      <c r="AN630" s="146"/>
      <c r="AO630" s="146"/>
      <c r="AP630" s="146"/>
      <c r="AQ630" s="146"/>
      <c r="AR630" s="146"/>
      <c r="AS630" s="146"/>
      <c r="AT630" s="146"/>
      <c r="AU630" s="146"/>
      <c r="AV630" s="146"/>
      <c r="AW630" s="146"/>
      <c r="AX630" s="146"/>
      <c r="AY630" s="146"/>
      <c r="AZ630" s="146"/>
    </row>
    <row r="631" spans="1:52" s="177" customFormat="1" x14ac:dyDescent="0.2">
      <c r="A631" s="161" t="s">
        <v>21</v>
      </c>
      <c r="B631" s="161">
        <v>1674</v>
      </c>
      <c r="C631" s="161">
        <v>1</v>
      </c>
      <c r="D631" s="225">
        <v>44122</v>
      </c>
      <c r="E631" s="76" t="s">
        <v>246</v>
      </c>
      <c r="F631" s="76"/>
      <c r="G631" s="257">
        <v>11</v>
      </c>
      <c r="H631" s="161" t="s">
        <v>211</v>
      </c>
      <c r="I631" s="76">
        <f t="shared" si="24"/>
        <v>1.7000000000000001E-2</v>
      </c>
      <c r="J631" s="76"/>
      <c r="K631" s="76"/>
      <c r="L631" s="76">
        <v>17</v>
      </c>
      <c r="M631" s="161" t="s">
        <v>235</v>
      </c>
      <c r="AI631" s="95"/>
      <c r="AJ631" s="95"/>
      <c r="AK631" s="146"/>
      <c r="AL631" s="146"/>
      <c r="AM631" s="146"/>
      <c r="AN631" s="146"/>
      <c r="AO631" s="146"/>
      <c r="AP631" s="146"/>
      <c r="AQ631" s="146"/>
      <c r="AR631" s="146"/>
      <c r="AS631" s="146"/>
      <c r="AT631" s="146"/>
      <c r="AU631" s="146"/>
      <c r="AV631" s="146"/>
      <c r="AW631" s="146"/>
      <c r="AX631" s="146"/>
      <c r="AY631" s="146"/>
      <c r="AZ631" s="146"/>
    </row>
    <row r="632" spans="1:52" s="177" customFormat="1" x14ac:dyDescent="0.2">
      <c r="A632" s="161" t="s">
        <v>21</v>
      </c>
      <c r="B632" s="161">
        <v>1674</v>
      </c>
      <c r="C632" s="161">
        <v>1</v>
      </c>
      <c r="D632" s="225">
        <v>44122</v>
      </c>
      <c r="E632" s="76" t="s">
        <v>246</v>
      </c>
      <c r="F632" s="76"/>
      <c r="G632" s="257">
        <v>13</v>
      </c>
      <c r="H632" s="161" t="s">
        <v>211</v>
      </c>
      <c r="I632" s="76">
        <f t="shared" si="24"/>
        <v>1.7999999999999999E-2</v>
      </c>
      <c r="J632" s="76"/>
      <c r="K632" s="76"/>
      <c r="L632" s="76">
        <v>18</v>
      </c>
      <c r="M632" s="161" t="s">
        <v>235</v>
      </c>
      <c r="AI632" s="95"/>
      <c r="AJ632" s="95"/>
      <c r="AK632" s="146"/>
      <c r="AL632" s="146"/>
      <c r="AM632" s="146"/>
      <c r="AN632" s="146"/>
      <c r="AO632" s="146"/>
      <c r="AP632" s="146"/>
      <c r="AQ632" s="146"/>
      <c r="AR632" s="146"/>
      <c r="AS632" s="146"/>
      <c r="AT632" s="146"/>
      <c r="AU632" s="146"/>
      <c r="AV632" s="146"/>
      <c r="AW632" s="146"/>
      <c r="AX632" s="146"/>
      <c r="AY632" s="146"/>
      <c r="AZ632" s="146"/>
    </row>
    <row r="633" spans="1:52" s="177" customFormat="1" x14ac:dyDescent="0.2">
      <c r="A633" s="161" t="s">
        <v>21</v>
      </c>
      <c r="B633" s="161">
        <v>1674</v>
      </c>
      <c r="C633" s="161">
        <v>1</v>
      </c>
      <c r="D633" s="225">
        <v>44139</v>
      </c>
      <c r="E633" s="76" t="s">
        <v>246</v>
      </c>
      <c r="F633" s="76"/>
      <c r="G633" s="257">
        <v>1</v>
      </c>
      <c r="H633" s="161" t="s">
        <v>211</v>
      </c>
      <c r="I633" s="76">
        <f t="shared" si="24"/>
        <v>1.9E-2</v>
      </c>
      <c r="J633" s="76"/>
      <c r="K633" s="76"/>
      <c r="L633" s="76">
        <v>19</v>
      </c>
      <c r="M633" s="161" t="s">
        <v>235</v>
      </c>
      <c r="AI633" s="95"/>
      <c r="AJ633" s="95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146"/>
      <c r="AW633" s="146"/>
      <c r="AX633" s="146"/>
      <c r="AY633" s="146"/>
      <c r="AZ633" s="146"/>
    </row>
    <row r="634" spans="1:52" s="177" customFormat="1" x14ac:dyDescent="0.2">
      <c r="A634" s="161" t="s">
        <v>21</v>
      </c>
      <c r="B634" s="161">
        <v>1674</v>
      </c>
      <c r="C634" s="161">
        <v>1</v>
      </c>
      <c r="D634" s="225">
        <v>44139</v>
      </c>
      <c r="E634" s="76" t="s">
        <v>246</v>
      </c>
      <c r="F634" s="76"/>
      <c r="G634" s="257">
        <v>3</v>
      </c>
      <c r="H634" s="161" t="s">
        <v>211</v>
      </c>
      <c r="I634" s="76">
        <f t="shared" si="24"/>
        <v>1.6E-2</v>
      </c>
      <c r="J634" s="76"/>
      <c r="K634" s="76"/>
      <c r="L634" s="76">
        <v>16</v>
      </c>
      <c r="M634" s="161" t="s">
        <v>235</v>
      </c>
      <c r="AI634" s="95"/>
      <c r="AJ634" s="95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146"/>
      <c r="AW634" s="146"/>
      <c r="AX634" s="146"/>
      <c r="AY634" s="146"/>
      <c r="AZ634" s="146"/>
    </row>
    <row r="635" spans="1:52" s="177" customFormat="1" x14ac:dyDescent="0.2">
      <c r="A635" s="161" t="s">
        <v>21</v>
      </c>
      <c r="B635" s="161">
        <v>1674</v>
      </c>
      <c r="C635" s="161">
        <v>1</v>
      </c>
      <c r="D635" s="225">
        <v>44139</v>
      </c>
      <c r="E635" s="76" t="s">
        <v>246</v>
      </c>
      <c r="F635" s="76"/>
      <c r="G635" s="257">
        <v>5</v>
      </c>
      <c r="H635" s="161" t="s">
        <v>211</v>
      </c>
      <c r="I635" s="76">
        <f t="shared" si="24"/>
        <v>1.6E-2</v>
      </c>
      <c r="J635" s="76"/>
      <c r="K635" s="76"/>
      <c r="L635" s="76">
        <v>16</v>
      </c>
      <c r="M635" s="161" t="s">
        <v>235</v>
      </c>
      <c r="AI635" s="95"/>
      <c r="AJ635" s="95"/>
      <c r="AK635" s="146"/>
      <c r="AL635" s="146"/>
      <c r="AM635" s="146"/>
      <c r="AN635" s="146"/>
      <c r="AO635" s="146"/>
      <c r="AP635" s="146"/>
      <c r="AQ635" s="146"/>
      <c r="AR635" s="146"/>
      <c r="AS635" s="146"/>
      <c r="AT635" s="146"/>
      <c r="AU635" s="146"/>
      <c r="AV635" s="146"/>
      <c r="AW635" s="146"/>
      <c r="AX635" s="146"/>
      <c r="AY635" s="146"/>
      <c r="AZ635" s="146"/>
    </row>
    <row r="636" spans="1:52" s="177" customFormat="1" x14ac:dyDescent="0.2">
      <c r="A636" s="161" t="s">
        <v>21</v>
      </c>
      <c r="B636" s="161">
        <v>1674</v>
      </c>
      <c r="C636" s="161">
        <v>1</v>
      </c>
      <c r="D636" s="225">
        <v>44139</v>
      </c>
      <c r="E636" s="76" t="s">
        <v>246</v>
      </c>
      <c r="F636" s="76"/>
      <c r="G636" s="257">
        <v>7</v>
      </c>
      <c r="H636" s="161" t="s">
        <v>211</v>
      </c>
      <c r="I636" s="76">
        <f t="shared" si="24"/>
        <v>1.7000000000000001E-2</v>
      </c>
      <c r="J636" s="76"/>
      <c r="K636" s="76"/>
      <c r="L636" s="76">
        <v>17</v>
      </c>
      <c r="M636" s="161" t="s">
        <v>235</v>
      </c>
      <c r="AI636" s="95"/>
      <c r="AJ636" s="95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</row>
    <row r="637" spans="1:52" s="177" customFormat="1" x14ac:dyDescent="0.2">
      <c r="A637" s="161" t="s">
        <v>21</v>
      </c>
      <c r="B637" s="161">
        <v>1674</v>
      </c>
      <c r="C637" s="161">
        <v>1</v>
      </c>
      <c r="D637" s="225">
        <v>44139</v>
      </c>
      <c r="E637" s="76" t="s">
        <v>246</v>
      </c>
      <c r="F637" s="76"/>
      <c r="G637" s="257">
        <v>9</v>
      </c>
      <c r="H637" s="161" t="s">
        <v>211</v>
      </c>
      <c r="I637" s="76">
        <f t="shared" si="24"/>
        <v>1.6E-2</v>
      </c>
      <c r="J637" s="76"/>
      <c r="K637" s="76"/>
      <c r="L637" s="76">
        <v>16</v>
      </c>
      <c r="M637" s="161" t="s">
        <v>235</v>
      </c>
      <c r="AI637" s="95"/>
      <c r="AJ637" s="95"/>
      <c r="AK637" s="146"/>
      <c r="AL637" s="146"/>
      <c r="AM637" s="146"/>
      <c r="AN637" s="146"/>
      <c r="AO637" s="146"/>
      <c r="AP637" s="146"/>
      <c r="AQ637" s="146"/>
      <c r="AR637" s="146"/>
      <c r="AS637" s="146"/>
      <c r="AT637" s="146"/>
      <c r="AU637" s="146"/>
      <c r="AV637" s="146"/>
      <c r="AW637" s="146"/>
      <c r="AX637" s="146"/>
      <c r="AY637" s="146"/>
      <c r="AZ637" s="146"/>
    </row>
    <row r="638" spans="1:52" s="177" customFormat="1" x14ac:dyDescent="0.2">
      <c r="A638" s="161" t="s">
        <v>21</v>
      </c>
      <c r="B638" s="161">
        <v>1674</v>
      </c>
      <c r="C638" s="161">
        <v>1</v>
      </c>
      <c r="D638" s="225">
        <v>44139</v>
      </c>
      <c r="E638" s="76" t="s">
        <v>246</v>
      </c>
      <c r="F638" s="76"/>
      <c r="G638" s="257">
        <v>11</v>
      </c>
      <c r="H638" s="161" t="s">
        <v>211</v>
      </c>
      <c r="I638" s="76">
        <f t="shared" si="24"/>
        <v>1.7000000000000001E-2</v>
      </c>
      <c r="J638" s="76"/>
      <c r="K638" s="76"/>
      <c r="L638" s="76">
        <v>17</v>
      </c>
      <c r="M638" s="161" t="s">
        <v>235</v>
      </c>
      <c r="AI638" s="95"/>
      <c r="AJ638" s="95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  <c r="AW638" s="146"/>
      <c r="AX638" s="146"/>
      <c r="AY638" s="146"/>
      <c r="AZ638" s="146"/>
    </row>
    <row r="639" spans="1:52" s="177" customFormat="1" x14ac:dyDescent="0.2">
      <c r="A639" s="161" t="s">
        <v>21</v>
      </c>
      <c r="B639" s="161">
        <v>1674</v>
      </c>
      <c r="C639" s="161">
        <v>1</v>
      </c>
      <c r="D639" s="225">
        <v>44139</v>
      </c>
      <c r="E639" s="76" t="s">
        <v>246</v>
      </c>
      <c r="F639" s="76"/>
      <c r="G639" s="257">
        <v>13</v>
      </c>
      <c r="H639" s="161" t="s">
        <v>211</v>
      </c>
      <c r="I639" s="76">
        <f t="shared" si="24"/>
        <v>1.7000000000000001E-2</v>
      </c>
      <c r="J639" s="76"/>
      <c r="K639" s="76"/>
      <c r="L639" s="76">
        <v>17</v>
      </c>
      <c r="M639" s="161" t="s">
        <v>235</v>
      </c>
      <c r="AI639" s="95"/>
      <c r="AJ639" s="95"/>
      <c r="AK639" s="146"/>
      <c r="AL639" s="146"/>
      <c r="AM639" s="146"/>
      <c r="AN639" s="146"/>
      <c r="AO639" s="146"/>
      <c r="AP639" s="146"/>
      <c r="AQ639" s="146"/>
      <c r="AR639" s="146"/>
      <c r="AS639" s="146"/>
      <c r="AT639" s="146"/>
      <c r="AU639" s="146"/>
      <c r="AV639" s="146"/>
      <c r="AW639" s="146"/>
      <c r="AX639" s="146"/>
      <c r="AY639" s="146"/>
      <c r="AZ639" s="146"/>
    </row>
    <row r="640" spans="1:52" x14ac:dyDescent="0.2">
      <c r="A640" s="161"/>
      <c r="B640" s="161"/>
      <c r="C640" s="161"/>
    </row>
    <row r="641" spans="1:52" s="177" customFormat="1" x14ac:dyDescent="0.2">
      <c r="A641" s="161"/>
      <c r="B641" s="161"/>
      <c r="C641" s="161"/>
      <c r="D641" s="76"/>
      <c r="E641" s="76"/>
      <c r="F641" s="76"/>
      <c r="G641" s="257"/>
      <c r="H641" s="76"/>
      <c r="I641" s="76"/>
      <c r="J641" s="76"/>
      <c r="K641" s="76"/>
      <c r="L641" s="76"/>
      <c r="M641" s="76"/>
      <c r="AI641" s="95"/>
      <c r="AJ641" s="95"/>
      <c r="AK641" s="146"/>
      <c r="AL641" s="146"/>
      <c r="AM641" s="146"/>
      <c r="AN641" s="146"/>
      <c r="AO641" s="146"/>
      <c r="AP641" s="146"/>
      <c r="AQ641" s="146"/>
      <c r="AR641" s="146"/>
      <c r="AS641" s="146"/>
      <c r="AT641" s="146"/>
      <c r="AU641" s="146"/>
      <c r="AV641" s="146"/>
      <c r="AW641" s="146"/>
      <c r="AX641" s="146"/>
      <c r="AY641" s="146"/>
      <c r="AZ641" s="146"/>
    </row>
    <row r="642" spans="1:52" s="177" customFormat="1" hidden="1" x14ac:dyDescent="0.2">
      <c r="A642" s="256" t="s">
        <v>303</v>
      </c>
      <c r="B642" s="161"/>
      <c r="C642" s="161"/>
      <c r="D642" s="76"/>
      <c r="E642" s="76"/>
      <c r="F642" s="76"/>
      <c r="G642" s="257"/>
      <c r="H642" s="76"/>
      <c r="I642" s="76"/>
      <c r="J642" s="76"/>
      <c r="K642" s="76"/>
      <c r="L642" s="76"/>
      <c r="M642" s="76"/>
      <c r="AI642" s="95"/>
      <c r="AJ642" s="95"/>
      <c r="AK642" s="146"/>
      <c r="AL642" s="146"/>
      <c r="AM642" s="146"/>
      <c r="AN642" s="146"/>
      <c r="AO642" s="146"/>
      <c r="AP642" s="146"/>
      <c r="AQ642" s="146"/>
      <c r="AR642" s="146"/>
      <c r="AS642" s="146"/>
      <c r="AT642" s="146"/>
      <c r="AU642" s="146"/>
      <c r="AV642" s="146"/>
      <c r="AW642" s="146"/>
      <c r="AX642" s="146"/>
      <c r="AY642" s="146"/>
      <c r="AZ642" s="146"/>
    </row>
    <row r="643" spans="1:52" hidden="1" x14ac:dyDescent="0.2">
      <c r="A643" s="78" t="s">
        <v>21</v>
      </c>
      <c r="B643" s="78">
        <v>1674</v>
      </c>
      <c r="C643" s="78">
        <v>2</v>
      </c>
      <c r="D643" s="79">
        <v>31834</v>
      </c>
      <c r="E643" s="78"/>
      <c r="F643" s="78"/>
      <c r="G643" s="258">
        <v>8</v>
      </c>
      <c r="H643" s="78" t="s">
        <v>32</v>
      </c>
      <c r="I643" s="78">
        <v>0.01</v>
      </c>
      <c r="J643" s="78">
        <v>1</v>
      </c>
      <c r="K643" s="78" t="s">
        <v>232</v>
      </c>
      <c r="L643" s="78">
        <v>1</v>
      </c>
      <c r="M643" s="78" t="s">
        <v>233</v>
      </c>
    </row>
    <row r="644" spans="1:52" hidden="1" x14ac:dyDescent="0.2">
      <c r="A644" s="78" t="s">
        <v>21</v>
      </c>
      <c r="B644" s="78">
        <v>1674</v>
      </c>
      <c r="C644" s="78">
        <v>2</v>
      </c>
      <c r="D644" s="79">
        <v>31906</v>
      </c>
      <c r="E644" s="78"/>
      <c r="F644" s="78"/>
      <c r="G644" s="258">
        <v>10</v>
      </c>
      <c r="H644" s="78" t="s">
        <v>32</v>
      </c>
      <c r="I644" s="78">
        <v>1.7000000000000001E-2</v>
      </c>
      <c r="J644" s="78">
        <v>1</v>
      </c>
      <c r="K644" s="78" t="s">
        <v>232</v>
      </c>
      <c r="L644" s="78">
        <v>1</v>
      </c>
      <c r="M644" s="78" t="s">
        <v>233</v>
      </c>
    </row>
    <row r="645" spans="1:52" hidden="1" x14ac:dyDescent="0.2">
      <c r="A645" s="78" t="s">
        <v>21</v>
      </c>
      <c r="B645" s="78">
        <v>1674</v>
      </c>
      <c r="C645" s="78">
        <v>2</v>
      </c>
      <c r="D645" s="79">
        <v>31834</v>
      </c>
      <c r="E645" s="78"/>
      <c r="F645" s="78"/>
      <c r="G645" s="258">
        <v>1</v>
      </c>
      <c r="H645" s="78" t="s">
        <v>211</v>
      </c>
      <c r="I645" s="78">
        <v>0.01</v>
      </c>
      <c r="J645" s="78">
        <v>1</v>
      </c>
      <c r="K645" s="78" t="s">
        <v>232</v>
      </c>
      <c r="L645" s="78">
        <v>5</v>
      </c>
      <c r="M645" s="78" t="s">
        <v>235</v>
      </c>
    </row>
    <row r="646" spans="1:52" hidden="1" x14ac:dyDescent="0.2">
      <c r="A646" s="78" t="s">
        <v>21</v>
      </c>
      <c r="B646" s="78">
        <v>1674</v>
      </c>
      <c r="C646" s="78">
        <v>2</v>
      </c>
      <c r="D646" s="79">
        <v>31834</v>
      </c>
      <c r="E646" s="78"/>
      <c r="F646" s="78"/>
      <c r="G646" s="258">
        <v>2</v>
      </c>
      <c r="H646" s="78" t="s">
        <v>211</v>
      </c>
      <c r="I646" s="78">
        <v>8.0000000000000002E-3</v>
      </c>
      <c r="J646" s="78">
        <v>1</v>
      </c>
      <c r="K646" s="78" t="s">
        <v>232</v>
      </c>
      <c r="L646" s="78">
        <v>5</v>
      </c>
      <c r="M646" s="78" t="s">
        <v>235</v>
      </c>
    </row>
    <row r="647" spans="1:52" hidden="1" x14ac:dyDescent="0.2">
      <c r="A647" s="76" t="s">
        <v>21</v>
      </c>
      <c r="B647" s="76">
        <v>1674</v>
      </c>
      <c r="C647" s="76">
        <v>2</v>
      </c>
      <c r="D647" s="77">
        <v>31834</v>
      </c>
      <c r="G647" s="257">
        <v>4</v>
      </c>
      <c r="H647" s="76" t="s">
        <v>211</v>
      </c>
      <c r="I647" s="76">
        <v>7.0000000000000001E-3</v>
      </c>
      <c r="J647" s="76">
        <v>1</v>
      </c>
      <c r="K647" s="76" t="s">
        <v>232</v>
      </c>
      <c r="L647" s="76">
        <v>5</v>
      </c>
      <c r="M647" s="76" t="s">
        <v>235</v>
      </c>
    </row>
    <row r="648" spans="1:52" hidden="1" x14ac:dyDescent="0.2">
      <c r="A648" s="76" t="s">
        <v>21</v>
      </c>
      <c r="B648" s="76">
        <v>1674</v>
      </c>
      <c r="C648" s="76">
        <v>2</v>
      </c>
      <c r="D648" s="77">
        <v>31834</v>
      </c>
      <c r="G648" s="257">
        <v>6</v>
      </c>
      <c r="H648" s="76" t="s">
        <v>211</v>
      </c>
      <c r="I648" s="76">
        <v>8.0000000000000002E-3</v>
      </c>
      <c r="J648" s="76">
        <v>1</v>
      </c>
      <c r="K648" s="76" t="s">
        <v>232</v>
      </c>
      <c r="L648" s="76">
        <v>5</v>
      </c>
      <c r="M648" s="76" t="s">
        <v>235</v>
      </c>
    </row>
    <row r="649" spans="1:52" hidden="1" x14ac:dyDescent="0.2">
      <c r="A649" s="76" t="s">
        <v>21</v>
      </c>
      <c r="B649" s="76">
        <v>1674</v>
      </c>
      <c r="C649" s="76">
        <v>2</v>
      </c>
      <c r="D649" s="77">
        <v>31834</v>
      </c>
      <c r="G649" s="257">
        <v>8</v>
      </c>
      <c r="H649" s="76" t="s">
        <v>211</v>
      </c>
      <c r="I649" s="76">
        <v>8.0000000000000002E-3</v>
      </c>
      <c r="J649" s="76">
        <v>1</v>
      </c>
      <c r="K649" s="76" t="s">
        <v>232</v>
      </c>
      <c r="L649" s="76">
        <v>5</v>
      </c>
      <c r="M649" s="76" t="s">
        <v>235</v>
      </c>
    </row>
    <row r="650" spans="1:52" hidden="1" x14ac:dyDescent="0.2">
      <c r="A650" s="76" t="s">
        <v>21</v>
      </c>
      <c r="B650" s="76">
        <v>1674</v>
      </c>
      <c r="C650" s="76">
        <v>2</v>
      </c>
      <c r="D650" s="77">
        <v>31906</v>
      </c>
      <c r="G650" s="257">
        <v>0</v>
      </c>
      <c r="H650" s="76" t="s">
        <v>211</v>
      </c>
      <c r="I650" s="76">
        <v>1.6E-2</v>
      </c>
      <c r="J650" s="76">
        <v>1</v>
      </c>
      <c r="K650" s="76" t="s">
        <v>232</v>
      </c>
      <c r="L650" s="76">
        <v>6</v>
      </c>
      <c r="M650" s="76" t="s">
        <v>235</v>
      </c>
    </row>
    <row r="651" spans="1:52" hidden="1" x14ac:dyDescent="0.2">
      <c r="A651" s="76" t="s">
        <v>21</v>
      </c>
      <c r="B651" s="76">
        <v>1674</v>
      </c>
      <c r="C651" s="76">
        <v>2</v>
      </c>
      <c r="D651" s="77">
        <v>31906</v>
      </c>
      <c r="G651" s="257">
        <v>2</v>
      </c>
      <c r="H651" s="76" t="s">
        <v>211</v>
      </c>
      <c r="I651" s="76">
        <v>1.7000000000000001E-2</v>
      </c>
      <c r="J651" s="76">
        <v>1</v>
      </c>
      <c r="K651" s="76" t="s">
        <v>232</v>
      </c>
      <c r="L651" s="76">
        <v>6</v>
      </c>
      <c r="M651" s="76" t="s">
        <v>235</v>
      </c>
    </row>
    <row r="652" spans="1:52" hidden="1" x14ac:dyDescent="0.2">
      <c r="A652" s="76" t="s">
        <v>21</v>
      </c>
      <c r="B652" s="76">
        <v>1674</v>
      </c>
      <c r="C652" s="76">
        <v>2</v>
      </c>
      <c r="D652" s="77">
        <v>31906</v>
      </c>
      <c r="G652" s="257">
        <v>4</v>
      </c>
      <c r="H652" s="76" t="s">
        <v>211</v>
      </c>
      <c r="I652" s="76">
        <v>1.6E-2</v>
      </c>
      <c r="J652" s="76">
        <v>1</v>
      </c>
      <c r="K652" s="76" t="s">
        <v>232</v>
      </c>
      <c r="L652" s="76">
        <v>6</v>
      </c>
      <c r="M652" s="76" t="s">
        <v>235</v>
      </c>
    </row>
    <row r="653" spans="1:52" hidden="1" x14ac:dyDescent="0.2">
      <c r="A653" s="76" t="s">
        <v>21</v>
      </c>
      <c r="B653" s="76">
        <v>1674</v>
      </c>
      <c r="C653" s="76">
        <v>2</v>
      </c>
      <c r="D653" s="77">
        <v>31906</v>
      </c>
      <c r="G653" s="257">
        <v>6</v>
      </c>
      <c r="H653" s="76" t="s">
        <v>211</v>
      </c>
      <c r="I653" s="76">
        <v>1.4E-2</v>
      </c>
      <c r="J653" s="76">
        <v>1</v>
      </c>
      <c r="K653" s="76" t="s">
        <v>232</v>
      </c>
      <c r="L653" s="76">
        <v>6</v>
      </c>
      <c r="M653" s="76" t="s">
        <v>235</v>
      </c>
    </row>
    <row r="654" spans="1:52" hidden="1" x14ac:dyDescent="0.2">
      <c r="A654" s="76" t="s">
        <v>21</v>
      </c>
      <c r="B654" s="76">
        <v>1674</v>
      </c>
      <c r="C654" s="76">
        <v>2</v>
      </c>
      <c r="D654" s="77">
        <v>31906</v>
      </c>
      <c r="G654" s="257">
        <v>8</v>
      </c>
      <c r="H654" s="76" t="s">
        <v>211</v>
      </c>
      <c r="I654" s="76">
        <v>1.7000000000000001E-2</v>
      </c>
      <c r="J654" s="76">
        <v>1</v>
      </c>
      <c r="K654" s="76" t="s">
        <v>232</v>
      </c>
      <c r="L654" s="76">
        <v>6</v>
      </c>
      <c r="M654" s="76" t="s">
        <v>235</v>
      </c>
    </row>
    <row r="655" spans="1:52" hidden="1" x14ac:dyDescent="0.2">
      <c r="A655" s="76" t="s">
        <v>21</v>
      </c>
      <c r="B655" s="76">
        <v>1674</v>
      </c>
      <c r="C655" s="76">
        <v>2</v>
      </c>
      <c r="D655" s="77">
        <v>31906</v>
      </c>
      <c r="G655" s="257">
        <v>10</v>
      </c>
      <c r="H655" s="76" t="s">
        <v>211</v>
      </c>
      <c r="I655" s="76">
        <v>1.4999999999999999E-2</v>
      </c>
      <c r="J655" s="76">
        <v>1</v>
      </c>
      <c r="K655" s="76" t="s">
        <v>232</v>
      </c>
      <c r="L655" s="76">
        <v>6</v>
      </c>
      <c r="M655" s="76" t="s">
        <v>235</v>
      </c>
    </row>
    <row r="656" spans="1:52" hidden="1" x14ac:dyDescent="0.2">
      <c r="A656" s="76" t="s">
        <v>21</v>
      </c>
      <c r="B656" s="76">
        <v>1674</v>
      </c>
      <c r="C656" s="76">
        <v>2</v>
      </c>
      <c r="D656" s="77">
        <v>31925</v>
      </c>
      <c r="G656" s="257">
        <v>0</v>
      </c>
      <c r="H656" s="76" t="s">
        <v>211</v>
      </c>
      <c r="I656" s="76">
        <v>2.1000000000000001E-2</v>
      </c>
      <c r="J656" s="76">
        <v>1</v>
      </c>
      <c r="K656" s="76" t="s">
        <v>232</v>
      </c>
      <c r="L656" s="76">
        <v>7</v>
      </c>
      <c r="M656" s="76" t="s">
        <v>235</v>
      </c>
    </row>
    <row r="657" spans="1:13" hidden="1" x14ac:dyDescent="0.2">
      <c r="A657" s="76" t="s">
        <v>21</v>
      </c>
      <c r="B657" s="76">
        <v>1674</v>
      </c>
      <c r="C657" s="76">
        <v>2</v>
      </c>
      <c r="D657" s="77">
        <v>31925</v>
      </c>
      <c r="G657" s="257">
        <v>2</v>
      </c>
      <c r="H657" s="76" t="s">
        <v>211</v>
      </c>
      <c r="I657" s="76">
        <v>1.7999999999999999E-2</v>
      </c>
      <c r="J657" s="76">
        <v>1</v>
      </c>
      <c r="K657" s="76" t="s">
        <v>232</v>
      </c>
      <c r="L657" s="76">
        <v>7</v>
      </c>
      <c r="M657" s="76" t="s">
        <v>235</v>
      </c>
    </row>
    <row r="658" spans="1:13" hidden="1" x14ac:dyDescent="0.2">
      <c r="A658" s="76" t="s">
        <v>21</v>
      </c>
      <c r="B658" s="76">
        <v>1674</v>
      </c>
      <c r="C658" s="76">
        <v>2</v>
      </c>
      <c r="D658" s="77">
        <v>31925</v>
      </c>
      <c r="G658" s="257">
        <v>4</v>
      </c>
      <c r="H658" s="76" t="s">
        <v>211</v>
      </c>
      <c r="I658" s="76">
        <v>1.9E-2</v>
      </c>
      <c r="J658" s="76">
        <v>1</v>
      </c>
      <c r="K658" s="76" t="s">
        <v>232</v>
      </c>
      <c r="L658" s="76">
        <v>7</v>
      </c>
      <c r="M658" s="76" t="s">
        <v>235</v>
      </c>
    </row>
    <row r="659" spans="1:13" hidden="1" x14ac:dyDescent="0.2">
      <c r="A659" s="76" t="s">
        <v>21</v>
      </c>
      <c r="B659" s="76">
        <v>1674</v>
      </c>
      <c r="C659" s="76">
        <v>2</v>
      </c>
      <c r="D659" s="77">
        <v>31925</v>
      </c>
      <c r="G659" s="257">
        <v>6</v>
      </c>
      <c r="H659" s="76" t="s">
        <v>211</v>
      </c>
      <c r="I659" s="76">
        <v>1.0999999999999999E-2</v>
      </c>
      <c r="J659" s="76">
        <v>1</v>
      </c>
      <c r="K659" s="76" t="s">
        <v>232</v>
      </c>
      <c r="L659" s="76">
        <v>7</v>
      </c>
      <c r="M659" s="76" t="s">
        <v>235</v>
      </c>
    </row>
    <row r="660" spans="1:13" hidden="1" x14ac:dyDescent="0.2">
      <c r="A660" s="76" t="s">
        <v>21</v>
      </c>
      <c r="B660" s="76">
        <v>1674</v>
      </c>
      <c r="C660" s="76">
        <v>2</v>
      </c>
      <c r="D660" s="77">
        <v>31925</v>
      </c>
      <c r="G660" s="257">
        <v>8</v>
      </c>
      <c r="H660" s="76" t="s">
        <v>211</v>
      </c>
      <c r="I660" s="76">
        <v>1.6E-2</v>
      </c>
      <c r="J660" s="76">
        <v>1</v>
      </c>
      <c r="K660" s="76" t="s">
        <v>232</v>
      </c>
      <c r="L660" s="76">
        <v>7</v>
      </c>
      <c r="M660" s="76" t="s">
        <v>235</v>
      </c>
    </row>
    <row r="661" spans="1:13" hidden="1" x14ac:dyDescent="0.2">
      <c r="A661" s="76" t="s">
        <v>21</v>
      </c>
      <c r="B661" s="76">
        <v>1674</v>
      </c>
      <c r="C661" s="76">
        <v>2</v>
      </c>
      <c r="D661" s="77">
        <v>31925</v>
      </c>
      <c r="G661" s="257">
        <v>10</v>
      </c>
      <c r="H661" s="76" t="s">
        <v>211</v>
      </c>
      <c r="I661" s="76">
        <v>2.1999999999999999E-2</v>
      </c>
      <c r="J661" s="76">
        <v>1</v>
      </c>
      <c r="K661" s="76" t="s">
        <v>232</v>
      </c>
      <c r="L661" s="76">
        <v>7</v>
      </c>
      <c r="M661" s="76" t="s">
        <v>235</v>
      </c>
    </row>
    <row r="662" spans="1:13" hidden="1" x14ac:dyDescent="0.2">
      <c r="A662" s="76" t="s">
        <v>21</v>
      </c>
      <c r="B662" s="76">
        <v>1674</v>
      </c>
      <c r="C662" s="76">
        <v>2</v>
      </c>
      <c r="D662" s="77">
        <v>31925</v>
      </c>
      <c r="G662" s="257">
        <v>11</v>
      </c>
      <c r="H662" s="76" t="s">
        <v>211</v>
      </c>
      <c r="I662" s="76">
        <v>0.02</v>
      </c>
      <c r="J662" s="76">
        <v>1</v>
      </c>
      <c r="K662" s="76" t="s">
        <v>232</v>
      </c>
      <c r="L662" s="76">
        <v>7</v>
      </c>
      <c r="M662" s="76" t="s">
        <v>235</v>
      </c>
    </row>
    <row r="663" spans="1:13" hidden="1" x14ac:dyDescent="0.2">
      <c r="A663" s="76" t="s">
        <v>21</v>
      </c>
      <c r="B663" s="76">
        <v>1674</v>
      </c>
      <c r="C663" s="76">
        <v>2</v>
      </c>
      <c r="D663" s="77">
        <v>31937</v>
      </c>
      <c r="G663" s="257">
        <v>0</v>
      </c>
      <c r="H663" s="76" t="s">
        <v>211</v>
      </c>
      <c r="I663" s="76">
        <v>1.4999999999999999E-2</v>
      </c>
      <c r="J663" s="76">
        <v>1</v>
      </c>
      <c r="K663" s="76" t="s">
        <v>232</v>
      </c>
      <c r="L663" s="76">
        <v>7</v>
      </c>
      <c r="M663" s="76" t="s">
        <v>235</v>
      </c>
    </row>
    <row r="664" spans="1:13" hidden="1" x14ac:dyDescent="0.2">
      <c r="A664" s="76" t="s">
        <v>21</v>
      </c>
      <c r="B664" s="76">
        <v>1674</v>
      </c>
      <c r="C664" s="76">
        <v>2</v>
      </c>
      <c r="D664" s="77">
        <v>31937</v>
      </c>
      <c r="G664" s="257">
        <v>2</v>
      </c>
      <c r="H664" s="76" t="s">
        <v>211</v>
      </c>
      <c r="I664" s="76">
        <v>1.4999999999999999E-2</v>
      </c>
      <c r="J664" s="76">
        <v>1</v>
      </c>
      <c r="K664" s="76" t="s">
        <v>232</v>
      </c>
      <c r="L664" s="76">
        <v>7</v>
      </c>
      <c r="M664" s="76" t="s">
        <v>235</v>
      </c>
    </row>
    <row r="665" spans="1:13" hidden="1" x14ac:dyDescent="0.2">
      <c r="A665" s="76" t="s">
        <v>21</v>
      </c>
      <c r="B665" s="76">
        <v>1674</v>
      </c>
      <c r="C665" s="76">
        <v>2</v>
      </c>
      <c r="D665" s="77">
        <v>31937</v>
      </c>
      <c r="G665" s="257">
        <v>4</v>
      </c>
      <c r="H665" s="76" t="s">
        <v>211</v>
      </c>
      <c r="I665" s="76">
        <v>1.4999999999999999E-2</v>
      </c>
      <c r="J665" s="76">
        <v>1</v>
      </c>
      <c r="K665" s="76" t="s">
        <v>232</v>
      </c>
      <c r="L665" s="76">
        <v>7</v>
      </c>
      <c r="M665" s="76" t="s">
        <v>235</v>
      </c>
    </row>
    <row r="666" spans="1:13" hidden="1" x14ac:dyDescent="0.2">
      <c r="A666" s="76" t="s">
        <v>21</v>
      </c>
      <c r="B666" s="76">
        <v>1674</v>
      </c>
      <c r="C666" s="76">
        <v>2</v>
      </c>
      <c r="D666" s="77">
        <v>31937</v>
      </c>
      <c r="G666" s="257">
        <v>6</v>
      </c>
      <c r="H666" s="76" t="s">
        <v>211</v>
      </c>
      <c r="I666" s="76">
        <v>1.7999999999999999E-2</v>
      </c>
      <c r="J666" s="76">
        <v>1</v>
      </c>
      <c r="K666" s="76" t="s">
        <v>232</v>
      </c>
      <c r="L666" s="76">
        <v>7</v>
      </c>
      <c r="M666" s="76" t="s">
        <v>235</v>
      </c>
    </row>
    <row r="667" spans="1:13" hidden="1" x14ac:dyDescent="0.2">
      <c r="A667" s="76" t="s">
        <v>21</v>
      </c>
      <c r="B667" s="76">
        <v>1674</v>
      </c>
      <c r="C667" s="76">
        <v>2</v>
      </c>
      <c r="D667" s="77">
        <v>31937</v>
      </c>
      <c r="G667" s="257">
        <v>8</v>
      </c>
      <c r="H667" s="76" t="s">
        <v>211</v>
      </c>
      <c r="I667" s="76">
        <v>1.9E-2</v>
      </c>
      <c r="J667" s="76">
        <v>1</v>
      </c>
      <c r="K667" s="76" t="s">
        <v>232</v>
      </c>
      <c r="L667" s="76">
        <v>7</v>
      </c>
      <c r="M667" s="76" t="s">
        <v>235</v>
      </c>
    </row>
    <row r="668" spans="1:13" hidden="1" x14ac:dyDescent="0.2">
      <c r="A668" s="76" t="s">
        <v>21</v>
      </c>
      <c r="B668" s="76">
        <v>1674</v>
      </c>
      <c r="C668" s="76">
        <v>2</v>
      </c>
      <c r="D668" s="77">
        <v>31937</v>
      </c>
      <c r="G668" s="257">
        <v>10</v>
      </c>
      <c r="H668" s="76" t="s">
        <v>211</v>
      </c>
      <c r="I668" s="76">
        <v>3.9E-2</v>
      </c>
      <c r="J668" s="76">
        <v>1</v>
      </c>
      <c r="K668" s="76" t="s">
        <v>232</v>
      </c>
      <c r="L668" s="76">
        <v>7</v>
      </c>
      <c r="M668" s="76" t="s">
        <v>235</v>
      </c>
    </row>
    <row r="669" spans="1:13" hidden="1" x14ac:dyDescent="0.2">
      <c r="A669" s="76" t="s">
        <v>21</v>
      </c>
      <c r="B669" s="76">
        <v>1674</v>
      </c>
      <c r="C669" s="76">
        <v>2</v>
      </c>
      <c r="D669" s="77">
        <v>31937</v>
      </c>
      <c r="G669" s="257">
        <v>11</v>
      </c>
      <c r="H669" s="76" t="s">
        <v>211</v>
      </c>
      <c r="I669" s="76">
        <v>3.5999999999999997E-2</v>
      </c>
      <c r="J669" s="76">
        <v>1</v>
      </c>
      <c r="K669" s="76" t="s">
        <v>232</v>
      </c>
      <c r="L669" s="76">
        <v>7</v>
      </c>
      <c r="M669" s="76" t="s">
        <v>235</v>
      </c>
    </row>
    <row r="670" spans="1:13" hidden="1" x14ac:dyDescent="0.2">
      <c r="A670" s="76" t="s">
        <v>21</v>
      </c>
      <c r="B670" s="76">
        <v>1674</v>
      </c>
      <c r="C670" s="76">
        <v>2</v>
      </c>
      <c r="D670" s="77">
        <v>31951</v>
      </c>
      <c r="G670" s="257">
        <v>0</v>
      </c>
      <c r="H670" s="76" t="s">
        <v>211</v>
      </c>
      <c r="I670" s="76">
        <v>1.6E-2</v>
      </c>
      <c r="J670" s="76">
        <v>1</v>
      </c>
      <c r="K670" s="76" t="s">
        <v>232</v>
      </c>
      <c r="L670" s="76">
        <v>7</v>
      </c>
      <c r="M670" s="76" t="s">
        <v>235</v>
      </c>
    </row>
    <row r="671" spans="1:13" hidden="1" x14ac:dyDescent="0.2">
      <c r="A671" s="76" t="s">
        <v>21</v>
      </c>
      <c r="B671" s="76">
        <v>1674</v>
      </c>
      <c r="C671" s="76">
        <v>2</v>
      </c>
      <c r="D671" s="77">
        <v>31951</v>
      </c>
      <c r="G671" s="257">
        <v>2</v>
      </c>
      <c r="H671" s="76" t="s">
        <v>211</v>
      </c>
      <c r="I671" s="76">
        <v>2.4E-2</v>
      </c>
      <c r="J671" s="76">
        <v>1</v>
      </c>
      <c r="K671" s="76" t="s">
        <v>232</v>
      </c>
      <c r="L671" s="76">
        <v>7</v>
      </c>
      <c r="M671" s="76" t="s">
        <v>235</v>
      </c>
    </row>
    <row r="672" spans="1:13" hidden="1" x14ac:dyDescent="0.2">
      <c r="A672" s="76" t="s">
        <v>21</v>
      </c>
      <c r="B672" s="76">
        <v>1674</v>
      </c>
      <c r="C672" s="76">
        <v>2</v>
      </c>
      <c r="D672" s="77">
        <v>31951</v>
      </c>
      <c r="G672" s="257">
        <v>4</v>
      </c>
      <c r="H672" s="76" t="s">
        <v>211</v>
      </c>
      <c r="I672" s="76">
        <v>1.7000000000000001E-2</v>
      </c>
      <c r="J672" s="76">
        <v>1</v>
      </c>
      <c r="K672" s="76" t="s">
        <v>232</v>
      </c>
      <c r="L672" s="76">
        <v>7</v>
      </c>
      <c r="M672" s="76" t="s">
        <v>235</v>
      </c>
    </row>
    <row r="673" spans="1:13" hidden="1" x14ac:dyDescent="0.2">
      <c r="A673" s="76" t="s">
        <v>21</v>
      </c>
      <c r="B673" s="76">
        <v>1674</v>
      </c>
      <c r="C673" s="76">
        <v>2</v>
      </c>
      <c r="D673" s="77">
        <v>31951</v>
      </c>
      <c r="G673" s="257">
        <v>6</v>
      </c>
      <c r="H673" s="76" t="s">
        <v>211</v>
      </c>
      <c r="I673" s="76">
        <v>1.7000000000000001E-2</v>
      </c>
      <c r="J673" s="76">
        <v>1</v>
      </c>
      <c r="K673" s="76" t="s">
        <v>232</v>
      </c>
      <c r="L673" s="76">
        <v>7</v>
      </c>
      <c r="M673" s="76" t="s">
        <v>235</v>
      </c>
    </row>
    <row r="674" spans="1:13" hidden="1" x14ac:dyDescent="0.2">
      <c r="A674" s="76" t="s">
        <v>21</v>
      </c>
      <c r="B674" s="76">
        <v>1674</v>
      </c>
      <c r="C674" s="76">
        <v>2</v>
      </c>
      <c r="D674" s="77">
        <v>31951</v>
      </c>
      <c r="G674" s="257">
        <v>8</v>
      </c>
      <c r="H674" s="76" t="s">
        <v>211</v>
      </c>
      <c r="I674" s="76">
        <v>1.9E-2</v>
      </c>
      <c r="J674" s="76">
        <v>1</v>
      </c>
      <c r="K674" s="76" t="s">
        <v>232</v>
      </c>
      <c r="L674" s="76">
        <v>7</v>
      </c>
      <c r="M674" s="76" t="s">
        <v>235</v>
      </c>
    </row>
    <row r="675" spans="1:13" hidden="1" x14ac:dyDescent="0.2">
      <c r="A675" s="76" t="s">
        <v>21</v>
      </c>
      <c r="B675" s="76">
        <v>1674</v>
      </c>
      <c r="C675" s="76">
        <v>2</v>
      </c>
      <c r="D675" s="77">
        <v>31951</v>
      </c>
      <c r="G675" s="257">
        <v>10</v>
      </c>
      <c r="H675" s="76" t="s">
        <v>211</v>
      </c>
      <c r="I675" s="76">
        <v>2.7E-2</v>
      </c>
      <c r="J675" s="76">
        <v>1</v>
      </c>
      <c r="K675" s="76" t="s">
        <v>232</v>
      </c>
      <c r="L675" s="76">
        <v>7</v>
      </c>
      <c r="M675" s="76" t="s">
        <v>235</v>
      </c>
    </row>
    <row r="676" spans="1:13" hidden="1" x14ac:dyDescent="0.2">
      <c r="A676" s="76" t="s">
        <v>21</v>
      </c>
      <c r="B676" s="76">
        <v>1674</v>
      </c>
      <c r="C676" s="76">
        <v>2</v>
      </c>
      <c r="D676" s="77">
        <v>31951</v>
      </c>
      <c r="G676" s="257">
        <v>11</v>
      </c>
      <c r="H676" s="76" t="s">
        <v>211</v>
      </c>
      <c r="I676" s="76">
        <v>3.6999999999999998E-2</v>
      </c>
      <c r="J676" s="76">
        <v>1</v>
      </c>
      <c r="K676" s="76" t="s">
        <v>232</v>
      </c>
      <c r="L676" s="76">
        <v>7</v>
      </c>
      <c r="M676" s="76" t="s">
        <v>235</v>
      </c>
    </row>
    <row r="677" spans="1:13" hidden="1" x14ac:dyDescent="0.2">
      <c r="A677" s="76" t="s">
        <v>21</v>
      </c>
      <c r="B677" s="76">
        <v>1674</v>
      </c>
      <c r="C677" s="76">
        <v>2</v>
      </c>
      <c r="D677" s="77">
        <v>31971</v>
      </c>
      <c r="G677" s="257">
        <v>0</v>
      </c>
      <c r="H677" s="76" t="s">
        <v>211</v>
      </c>
      <c r="I677" s="76">
        <v>1.2E-2</v>
      </c>
      <c r="J677" s="76">
        <v>1</v>
      </c>
      <c r="K677" s="76" t="s">
        <v>232</v>
      </c>
      <c r="L677" s="76">
        <v>6</v>
      </c>
      <c r="M677" s="76" t="s">
        <v>235</v>
      </c>
    </row>
    <row r="678" spans="1:13" hidden="1" x14ac:dyDescent="0.2">
      <c r="A678" s="76" t="s">
        <v>21</v>
      </c>
      <c r="B678" s="76">
        <v>1674</v>
      </c>
      <c r="C678" s="76">
        <v>2</v>
      </c>
      <c r="D678" s="77">
        <v>31971</v>
      </c>
      <c r="G678" s="257">
        <v>2</v>
      </c>
      <c r="H678" s="76" t="s">
        <v>211</v>
      </c>
      <c r="I678" s="76">
        <v>1.4E-2</v>
      </c>
      <c r="J678" s="76">
        <v>1</v>
      </c>
      <c r="K678" s="76" t="s">
        <v>232</v>
      </c>
      <c r="L678" s="76">
        <v>6</v>
      </c>
      <c r="M678" s="76" t="s">
        <v>235</v>
      </c>
    </row>
    <row r="679" spans="1:13" hidden="1" x14ac:dyDescent="0.2">
      <c r="A679" s="76" t="s">
        <v>21</v>
      </c>
      <c r="B679" s="76">
        <v>1674</v>
      </c>
      <c r="C679" s="76">
        <v>2</v>
      </c>
      <c r="D679" s="77">
        <v>31971</v>
      </c>
      <c r="G679" s="257">
        <v>4</v>
      </c>
      <c r="H679" s="76" t="s">
        <v>211</v>
      </c>
      <c r="I679" s="76">
        <v>1.4999999999999999E-2</v>
      </c>
      <c r="J679" s="76">
        <v>1</v>
      </c>
      <c r="K679" s="76" t="s">
        <v>232</v>
      </c>
      <c r="L679" s="76">
        <v>6</v>
      </c>
      <c r="M679" s="76" t="s">
        <v>235</v>
      </c>
    </row>
    <row r="680" spans="1:13" hidden="1" x14ac:dyDescent="0.2">
      <c r="A680" s="76" t="s">
        <v>21</v>
      </c>
      <c r="B680" s="76">
        <v>1674</v>
      </c>
      <c r="C680" s="76">
        <v>2</v>
      </c>
      <c r="D680" s="77">
        <v>31971</v>
      </c>
      <c r="G680" s="257">
        <v>6</v>
      </c>
      <c r="H680" s="76" t="s">
        <v>211</v>
      </c>
      <c r="I680" s="76">
        <v>2.1999999999999999E-2</v>
      </c>
      <c r="J680" s="76">
        <v>1</v>
      </c>
      <c r="K680" s="76" t="s">
        <v>232</v>
      </c>
      <c r="L680" s="76">
        <v>6</v>
      </c>
      <c r="M680" s="76" t="s">
        <v>235</v>
      </c>
    </row>
    <row r="681" spans="1:13" hidden="1" x14ac:dyDescent="0.2">
      <c r="A681" s="76" t="s">
        <v>21</v>
      </c>
      <c r="B681" s="76">
        <v>1674</v>
      </c>
      <c r="C681" s="76">
        <v>2</v>
      </c>
      <c r="D681" s="77">
        <v>31971</v>
      </c>
      <c r="G681" s="257">
        <v>8</v>
      </c>
      <c r="H681" s="76" t="s">
        <v>211</v>
      </c>
      <c r="I681" s="76">
        <v>3.5000000000000003E-2</v>
      </c>
      <c r="J681" s="76">
        <v>1</v>
      </c>
      <c r="K681" s="76" t="s">
        <v>232</v>
      </c>
      <c r="L681" s="76">
        <v>6</v>
      </c>
      <c r="M681" s="76" t="s">
        <v>235</v>
      </c>
    </row>
    <row r="682" spans="1:13" hidden="1" x14ac:dyDescent="0.2">
      <c r="A682" s="76" t="s">
        <v>21</v>
      </c>
      <c r="B682" s="76">
        <v>1674</v>
      </c>
      <c r="C682" s="76">
        <v>2</v>
      </c>
      <c r="D682" s="77">
        <v>31971</v>
      </c>
      <c r="G682" s="257">
        <v>10</v>
      </c>
      <c r="H682" s="76" t="s">
        <v>211</v>
      </c>
      <c r="I682" s="76">
        <v>5.0999999999999997E-2</v>
      </c>
      <c r="J682" s="76">
        <v>1</v>
      </c>
      <c r="K682" s="76" t="s">
        <v>232</v>
      </c>
      <c r="L682" s="76">
        <v>6</v>
      </c>
      <c r="M682" s="76" t="s">
        <v>235</v>
      </c>
    </row>
    <row r="683" spans="1:13" hidden="1" x14ac:dyDescent="0.2">
      <c r="A683" s="76" t="s">
        <v>21</v>
      </c>
      <c r="B683" s="76">
        <v>1674</v>
      </c>
      <c r="C683" s="76">
        <v>2</v>
      </c>
      <c r="D683" s="77">
        <v>31987</v>
      </c>
      <c r="G683" s="257">
        <v>0</v>
      </c>
      <c r="H683" s="76" t="s">
        <v>211</v>
      </c>
      <c r="I683" s="76">
        <v>1.9E-2</v>
      </c>
      <c r="J683" s="76">
        <v>1</v>
      </c>
      <c r="K683" s="76" t="s">
        <v>232</v>
      </c>
      <c r="L683" s="76">
        <v>4</v>
      </c>
      <c r="M683" s="76" t="s">
        <v>235</v>
      </c>
    </row>
    <row r="684" spans="1:13" hidden="1" x14ac:dyDescent="0.2">
      <c r="A684" s="76" t="s">
        <v>21</v>
      </c>
      <c r="B684" s="76">
        <v>1674</v>
      </c>
      <c r="C684" s="76">
        <v>2</v>
      </c>
      <c r="D684" s="77">
        <v>31987</v>
      </c>
      <c r="G684" s="257">
        <v>2</v>
      </c>
      <c r="H684" s="76" t="s">
        <v>211</v>
      </c>
      <c r="I684" s="76">
        <v>2.1999999999999999E-2</v>
      </c>
      <c r="J684" s="76">
        <v>1</v>
      </c>
      <c r="K684" s="76" t="s">
        <v>232</v>
      </c>
      <c r="L684" s="76">
        <v>4</v>
      </c>
      <c r="M684" s="76" t="s">
        <v>235</v>
      </c>
    </row>
    <row r="685" spans="1:13" hidden="1" x14ac:dyDescent="0.2">
      <c r="A685" s="76" t="s">
        <v>21</v>
      </c>
      <c r="B685" s="76">
        <v>1674</v>
      </c>
      <c r="C685" s="76">
        <v>2</v>
      </c>
      <c r="D685" s="77">
        <v>31987</v>
      </c>
      <c r="G685" s="257">
        <v>4</v>
      </c>
      <c r="H685" s="76" t="s">
        <v>211</v>
      </c>
      <c r="I685" s="76">
        <v>2.1000000000000001E-2</v>
      </c>
      <c r="J685" s="76">
        <v>1</v>
      </c>
      <c r="K685" s="76" t="s">
        <v>232</v>
      </c>
      <c r="L685" s="76">
        <v>4</v>
      </c>
      <c r="M685" s="76" t="s">
        <v>235</v>
      </c>
    </row>
    <row r="686" spans="1:13" hidden="1" x14ac:dyDescent="0.2">
      <c r="A686" s="76" t="s">
        <v>21</v>
      </c>
      <c r="B686" s="76">
        <v>1674</v>
      </c>
      <c r="C686" s="76">
        <v>2</v>
      </c>
      <c r="D686" s="77">
        <v>31987</v>
      </c>
      <c r="G686" s="257">
        <v>6</v>
      </c>
      <c r="H686" s="76" t="s">
        <v>211</v>
      </c>
      <c r="I686" s="76">
        <v>2.8000000000000001E-2</v>
      </c>
      <c r="J686" s="76">
        <v>1</v>
      </c>
      <c r="K686" s="76" t="s">
        <v>232</v>
      </c>
      <c r="L686" s="76">
        <v>4</v>
      </c>
      <c r="M686" s="76" t="s">
        <v>235</v>
      </c>
    </row>
    <row r="687" spans="1:13" hidden="1" x14ac:dyDescent="0.2">
      <c r="A687" s="76" t="s">
        <v>21</v>
      </c>
      <c r="B687" s="76">
        <v>1674</v>
      </c>
      <c r="C687" s="76">
        <v>2</v>
      </c>
      <c r="D687" s="77">
        <v>32002</v>
      </c>
      <c r="G687" s="257">
        <v>0</v>
      </c>
      <c r="H687" s="76" t="s">
        <v>211</v>
      </c>
      <c r="I687" s="76">
        <v>0.02</v>
      </c>
      <c r="J687" s="76">
        <v>1</v>
      </c>
      <c r="K687" s="76" t="s">
        <v>232</v>
      </c>
      <c r="L687" s="76">
        <v>6</v>
      </c>
      <c r="M687" s="76" t="s">
        <v>235</v>
      </c>
    </row>
    <row r="688" spans="1:13" hidden="1" x14ac:dyDescent="0.2">
      <c r="A688" s="76" t="s">
        <v>21</v>
      </c>
      <c r="B688" s="76">
        <v>1674</v>
      </c>
      <c r="C688" s="76">
        <v>2</v>
      </c>
      <c r="D688" s="77">
        <v>32002</v>
      </c>
      <c r="G688" s="257">
        <v>2</v>
      </c>
      <c r="H688" s="76" t="s">
        <v>211</v>
      </c>
      <c r="I688" s="76">
        <v>2.4E-2</v>
      </c>
      <c r="J688" s="76">
        <v>1</v>
      </c>
      <c r="K688" s="76" t="s">
        <v>232</v>
      </c>
      <c r="L688" s="76">
        <v>6</v>
      </c>
      <c r="M688" s="76" t="s">
        <v>235</v>
      </c>
    </row>
    <row r="689" spans="1:13" hidden="1" x14ac:dyDescent="0.2">
      <c r="A689" s="76" t="s">
        <v>21</v>
      </c>
      <c r="B689" s="76">
        <v>1674</v>
      </c>
      <c r="C689" s="76">
        <v>2</v>
      </c>
      <c r="D689" s="77">
        <v>32002</v>
      </c>
      <c r="G689" s="257">
        <v>4</v>
      </c>
      <c r="H689" s="76" t="s">
        <v>211</v>
      </c>
      <c r="I689" s="76">
        <v>2.5000000000000001E-2</v>
      </c>
      <c r="J689" s="76">
        <v>1</v>
      </c>
      <c r="K689" s="76" t="s">
        <v>232</v>
      </c>
      <c r="L689" s="76">
        <v>6</v>
      </c>
      <c r="M689" s="76" t="s">
        <v>235</v>
      </c>
    </row>
    <row r="690" spans="1:13" hidden="1" x14ac:dyDescent="0.2">
      <c r="A690" s="76" t="s">
        <v>21</v>
      </c>
      <c r="B690" s="76">
        <v>1674</v>
      </c>
      <c r="C690" s="76">
        <v>2</v>
      </c>
      <c r="D690" s="77">
        <v>32002</v>
      </c>
      <c r="G690" s="257">
        <v>6</v>
      </c>
      <c r="H690" s="76" t="s">
        <v>211</v>
      </c>
      <c r="I690" s="76">
        <v>0.02</v>
      </c>
      <c r="J690" s="76">
        <v>1</v>
      </c>
      <c r="K690" s="76" t="s">
        <v>232</v>
      </c>
      <c r="L690" s="76">
        <v>6</v>
      </c>
      <c r="M690" s="76" t="s">
        <v>235</v>
      </c>
    </row>
    <row r="691" spans="1:13" hidden="1" x14ac:dyDescent="0.2">
      <c r="A691" s="76" t="s">
        <v>21</v>
      </c>
      <c r="B691" s="76">
        <v>1674</v>
      </c>
      <c r="C691" s="76">
        <v>2</v>
      </c>
      <c r="D691" s="77">
        <v>32002</v>
      </c>
      <c r="G691" s="257">
        <v>8</v>
      </c>
      <c r="H691" s="76" t="s">
        <v>211</v>
      </c>
      <c r="I691" s="76">
        <v>0.02</v>
      </c>
      <c r="J691" s="76">
        <v>1</v>
      </c>
      <c r="K691" s="76" t="s">
        <v>232</v>
      </c>
      <c r="L691" s="76">
        <v>6</v>
      </c>
      <c r="M691" s="76" t="s">
        <v>235</v>
      </c>
    </row>
    <row r="692" spans="1:13" hidden="1" x14ac:dyDescent="0.2">
      <c r="A692" s="76" t="s">
        <v>21</v>
      </c>
      <c r="B692" s="76">
        <v>1674</v>
      </c>
      <c r="C692" s="76">
        <v>2</v>
      </c>
      <c r="D692" s="77">
        <v>32002</v>
      </c>
      <c r="G692" s="257">
        <v>10</v>
      </c>
      <c r="H692" s="76" t="s">
        <v>211</v>
      </c>
      <c r="I692" s="76">
        <v>2.8000000000000001E-2</v>
      </c>
      <c r="J692" s="76">
        <v>1</v>
      </c>
      <c r="K692" s="76" t="s">
        <v>232</v>
      </c>
      <c r="L692" s="76">
        <v>6</v>
      </c>
      <c r="M692" s="76" t="s">
        <v>235</v>
      </c>
    </row>
    <row r="693" spans="1:13" hidden="1" x14ac:dyDescent="0.2">
      <c r="A693" s="76" t="s">
        <v>21</v>
      </c>
      <c r="B693" s="76">
        <v>1674</v>
      </c>
      <c r="C693" s="76">
        <v>2</v>
      </c>
      <c r="D693" s="77">
        <v>32014</v>
      </c>
      <c r="G693" s="257">
        <v>0</v>
      </c>
      <c r="H693" s="76" t="s">
        <v>211</v>
      </c>
      <c r="I693" s="76">
        <v>2.3E-2</v>
      </c>
      <c r="J693" s="76">
        <v>1</v>
      </c>
      <c r="K693" s="76" t="s">
        <v>232</v>
      </c>
      <c r="L693" s="76">
        <v>5</v>
      </c>
      <c r="M693" s="76" t="s">
        <v>235</v>
      </c>
    </row>
    <row r="694" spans="1:13" hidden="1" x14ac:dyDescent="0.2">
      <c r="A694" s="76" t="s">
        <v>21</v>
      </c>
      <c r="B694" s="76">
        <v>1674</v>
      </c>
      <c r="C694" s="76">
        <v>2</v>
      </c>
      <c r="D694" s="77">
        <v>32014</v>
      </c>
      <c r="G694" s="257">
        <v>2</v>
      </c>
      <c r="H694" s="76" t="s">
        <v>211</v>
      </c>
      <c r="I694" s="76">
        <v>2.1999999999999999E-2</v>
      </c>
      <c r="J694" s="76">
        <v>1</v>
      </c>
      <c r="K694" s="76" t="s">
        <v>232</v>
      </c>
      <c r="L694" s="76">
        <v>5</v>
      </c>
      <c r="M694" s="76" t="s">
        <v>235</v>
      </c>
    </row>
    <row r="695" spans="1:13" hidden="1" x14ac:dyDescent="0.2">
      <c r="A695" s="76" t="s">
        <v>21</v>
      </c>
      <c r="B695" s="76">
        <v>1674</v>
      </c>
      <c r="C695" s="76">
        <v>2</v>
      </c>
      <c r="D695" s="77">
        <v>32014</v>
      </c>
      <c r="G695" s="257">
        <v>4</v>
      </c>
      <c r="H695" s="76" t="s">
        <v>211</v>
      </c>
      <c r="I695" s="76">
        <v>2.5000000000000001E-2</v>
      </c>
      <c r="J695" s="76">
        <v>1</v>
      </c>
      <c r="K695" s="76" t="s">
        <v>232</v>
      </c>
      <c r="L695" s="76">
        <v>5</v>
      </c>
      <c r="M695" s="76" t="s">
        <v>235</v>
      </c>
    </row>
    <row r="696" spans="1:13" hidden="1" x14ac:dyDescent="0.2">
      <c r="A696" s="76" t="s">
        <v>21</v>
      </c>
      <c r="B696" s="76">
        <v>1674</v>
      </c>
      <c r="C696" s="76">
        <v>2</v>
      </c>
      <c r="D696" s="77">
        <v>32014</v>
      </c>
      <c r="G696" s="257">
        <v>6</v>
      </c>
      <c r="H696" s="76" t="s">
        <v>211</v>
      </c>
      <c r="I696" s="76">
        <v>2.3E-2</v>
      </c>
      <c r="J696" s="76">
        <v>1</v>
      </c>
      <c r="K696" s="76" t="s">
        <v>232</v>
      </c>
      <c r="L696" s="76">
        <v>5</v>
      </c>
      <c r="M696" s="76" t="s">
        <v>235</v>
      </c>
    </row>
    <row r="697" spans="1:13" hidden="1" x14ac:dyDescent="0.2">
      <c r="A697" s="76" t="s">
        <v>21</v>
      </c>
      <c r="B697" s="76">
        <v>1674</v>
      </c>
      <c r="C697" s="76">
        <v>2</v>
      </c>
      <c r="D697" s="77">
        <v>32014</v>
      </c>
      <c r="G697" s="257">
        <v>8</v>
      </c>
      <c r="H697" s="76" t="s">
        <v>211</v>
      </c>
      <c r="I697" s="76">
        <v>2.4E-2</v>
      </c>
      <c r="J697" s="76">
        <v>1</v>
      </c>
      <c r="K697" s="76" t="s">
        <v>232</v>
      </c>
      <c r="L697" s="76">
        <v>5</v>
      </c>
      <c r="M697" s="76" t="s">
        <v>235</v>
      </c>
    </row>
    <row r="698" spans="1:13" hidden="1" x14ac:dyDescent="0.2">
      <c r="A698" s="76" t="s">
        <v>21</v>
      </c>
      <c r="B698" s="76">
        <v>1674</v>
      </c>
      <c r="C698" s="76">
        <v>2</v>
      </c>
      <c r="D698" s="77">
        <v>32035</v>
      </c>
      <c r="G698" s="257">
        <v>0</v>
      </c>
      <c r="H698" s="76" t="s">
        <v>211</v>
      </c>
      <c r="I698" s="76">
        <v>1.9E-2</v>
      </c>
      <c r="J698" s="76">
        <v>1</v>
      </c>
      <c r="K698" s="76" t="s">
        <v>232</v>
      </c>
      <c r="L698" s="76">
        <v>6</v>
      </c>
      <c r="M698" s="76" t="s">
        <v>235</v>
      </c>
    </row>
    <row r="699" spans="1:13" hidden="1" x14ac:dyDescent="0.2">
      <c r="A699" s="76" t="s">
        <v>21</v>
      </c>
      <c r="B699" s="76">
        <v>1674</v>
      </c>
      <c r="C699" s="76">
        <v>2</v>
      </c>
      <c r="D699" s="77">
        <v>32035</v>
      </c>
      <c r="G699" s="257">
        <v>2</v>
      </c>
      <c r="H699" s="76" t="s">
        <v>211</v>
      </c>
      <c r="I699" s="76">
        <v>2.1000000000000001E-2</v>
      </c>
      <c r="J699" s="76">
        <v>1</v>
      </c>
      <c r="K699" s="76" t="s">
        <v>232</v>
      </c>
      <c r="L699" s="76">
        <v>6</v>
      </c>
      <c r="M699" s="76" t="s">
        <v>235</v>
      </c>
    </row>
    <row r="700" spans="1:13" hidden="1" x14ac:dyDescent="0.2">
      <c r="A700" s="76" t="s">
        <v>21</v>
      </c>
      <c r="B700" s="76">
        <v>1674</v>
      </c>
      <c r="C700" s="76">
        <v>2</v>
      </c>
      <c r="D700" s="77">
        <v>32035</v>
      </c>
      <c r="G700" s="257">
        <v>4</v>
      </c>
      <c r="H700" s="76" t="s">
        <v>211</v>
      </c>
      <c r="I700" s="76">
        <v>2.3E-2</v>
      </c>
      <c r="J700" s="76">
        <v>1</v>
      </c>
      <c r="K700" s="76" t="s">
        <v>232</v>
      </c>
      <c r="L700" s="76">
        <v>6</v>
      </c>
      <c r="M700" s="76" t="s">
        <v>235</v>
      </c>
    </row>
    <row r="701" spans="1:13" hidden="1" x14ac:dyDescent="0.2">
      <c r="A701" s="76" t="s">
        <v>21</v>
      </c>
      <c r="B701" s="76">
        <v>1674</v>
      </c>
      <c r="C701" s="76">
        <v>2</v>
      </c>
      <c r="D701" s="77">
        <v>32035</v>
      </c>
      <c r="G701" s="257">
        <v>6</v>
      </c>
      <c r="H701" s="76" t="s">
        <v>211</v>
      </c>
      <c r="I701" s="76">
        <v>2.1000000000000001E-2</v>
      </c>
      <c r="J701" s="76">
        <v>1</v>
      </c>
      <c r="K701" s="76" t="s">
        <v>232</v>
      </c>
      <c r="L701" s="76">
        <v>6</v>
      </c>
      <c r="M701" s="76" t="s">
        <v>235</v>
      </c>
    </row>
    <row r="702" spans="1:13" hidden="1" x14ac:dyDescent="0.2">
      <c r="A702" s="76" t="s">
        <v>21</v>
      </c>
      <c r="B702" s="76">
        <v>1674</v>
      </c>
      <c r="C702" s="76">
        <v>2</v>
      </c>
      <c r="D702" s="77">
        <v>32035</v>
      </c>
      <c r="G702" s="257">
        <v>8</v>
      </c>
      <c r="H702" s="76" t="s">
        <v>211</v>
      </c>
      <c r="I702" s="76">
        <v>0.02</v>
      </c>
      <c r="J702" s="76">
        <v>1</v>
      </c>
      <c r="K702" s="76" t="s">
        <v>232</v>
      </c>
      <c r="L702" s="76">
        <v>6</v>
      </c>
      <c r="M702" s="76" t="s">
        <v>235</v>
      </c>
    </row>
    <row r="703" spans="1:13" hidden="1" x14ac:dyDescent="0.2">
      <c r="A703" s="76" t="s">
        <v>21</v>
      </c>
      <c r="B703" s="76">
        <v>1674</v>
      </c>
      <c r="C703" s="76">
        <v>2</v>
      </c>
      <c r="D703" s="77">
        <v>32035</v>
      </c>
      <c r="G703" s="257">
        <v>9</v>
      </c>
      <c r="H703" s="76" t="s">
        <v>211</v>
      </c>
      <c r="I703" s="76">
        <v>2.5000000000000001E-2</v>
      </c>
      <c r="J703" s="76">
        <v>1</v>
      </c>
      <c r="K703" s="76" t="s">
        <v>232</v>
      </c>
      <c r="L703" s="76">
        <v>6</v>
      </c>
      <c r="M703" s="76" t="s">
        <v>235</v>
      </c>
    </row>
    <row r="704" spans="1:13" hidden="1" x14ac:dyDescent="0.2">
      <c r="A704" s="76" t="s">
        <v>21</v>
      </c>
      <c r="B704" s="76">
        <v>1674</v>
      </c>
      <c r="C704" s="76">
        <v>2</v>
      </c>
      <c r="D704" s="77">
        <v>32048</v>
      </c>
      <c r="G704" s="257">
        <v>0</v>
      </c>
      <c r="H704" s="76" t="s">
        <v>211</v>
      </c>
      <c r="I704" s="76">
        <v>2.1999999999999999E-2</v>
      </c>
      <c r="J704" s="76">
        <v>1</v>
      </c>
      <c r="K704" s="76" t="s">
        <v>232</v>
      </c>
      <c r="L704" s="76">
        <v>6</v>
      </c>
      <c r="M704" s="76" t="s">
        <v>235</v>
      </c>
    </row>
    <row r="705" spans="1:13" hidden="1" x14ac:dyDescent="0.2">
      <c r="A705" s="76" t="s">
        <v>21</v>
      </c>
      <c r="B705" s="76">
        <v>1674</v>
      </c>
      <c r="C705" s="76">
        <v>2</v>
      </c>
      <c r="D705" s="77">
        <v>32048</v>
      </c>
      <c r="G705" s="257">
        <v>2</v>
      </c>
      <c r="H705" s="76" t="s">
        <v>211</v>
      </c>
      <c r="I705" s="76">
        <v>2.3E-2</v>
      </c>
      <c r="J705" s="76">
        <v>1</v>
      </c>
      <c r="K705" s="76" t="s">
        <v>232</v>
      </c>
      <c r="L705" s="76">
        <v>6</v>
      </c>
      <c r="M705" s="76" t="s">
        <v>235</v>
      </c>
    </row>
    <row r="706" spans="1:13" hidden="1" x14ac:dyDescent="0.2">
      <c r="A706" s="76" t="s">
        <v>21</v>
      </c>
      <c r="B706" s="76">
        <v>1674</v>
      </c>
      <c r="C706" s="76">
        <v>2</v>
      </c>
      <c r="D706" s="77">
        <v>32048</v>
      </c>
      <c r="G706" s="257">
        <v>4</v>
      </c>
      <c r="H706" s="76" t="s">
        <v>211</v>
      </c>
      <c r="I706" s="76">
        <v>2.3E-2</v>
      </c>
      <c r="J706" s="76">
        <v>1</v>
      </c>
      <c r="K706" s="76" t="s">
        <v>232</v>
      </c>
      <c r="L706" s="76">
        <v>6</v>
      </c>
      <c r="M706" s="76" t="s">
        <v>235</v>
      </c>
    </row>
    <row r="707" spans="1:13" hidden="1" x14ac:dyDescent="0.2">
      <c r="A707" s="76" t="s">
        <v>21</v>
      </c>
      <c r="B707" s="76">
        <v>1674</v>
      </c>
      <c r="C707" s="76">
        <v>2</v>
      </c>
      <c r="D707" s="77">
        <v>32048</v>
      </c>
      <c r="G707" s="257">
        <v>6</v>
      </c>
      <c r="H707" s="76" t="s">
        <v>211</v>
      </c>
      <c r="I707" s="76">
        <v>2.1999999999999999E-2</v>
      </c>
      <c r="J707" s="76">
        <v>1</v>
      </c>
      <c r="K707" s="76" t="s">
        <v>232</v>
      </c>
      <c r="L707" s="76">
        <v>6</v>
      </c>
      <c r="M707" s="76" t="s">
        <v>235</v>
      </c>
    </row>
    <row r="708" spans="1:13" hidden="1" x14ac:dyDescent="0.2">
      <c r="A708" s="76" t="s">
        <v>21</v>
      </c>
      <c r="B708" s="76">
        <v>1674</v>
      </c>
      <c r="C708" s="76">
        <v>2</v>
      </c>
      <c r="D708" s="77">
        <v>32048</v>
      </c>
      <c r="G708" s="257">
        <v>8</v>
      </c>
      <c r="H708" s="76" t="s">
        <v>211</v>
      </c>
      <c r="I708" s="76">
        <v>2.3E-2</v>
      </c>
      <c r="J708" s="76">
        <v>1</v>
      </c>
      <c r="K708" s="76" t="s">
        <v>232</v>
      </c>
      <c r="L708" s="76">
        <v>6</v>
      </c>
      <c r="M708" s="76" t="s">
        <v>235</v>
      </c>
    </row>
    <row r="709" spans="1:13" hidden="1" x14ac:dyDescent="0.2">
      <c r="A709" s="76" t="s">
        <v>21</v>
      </c>
      <c r="B709" s="76">
        <v>1674</v>
      </c>
      <c r="C709" s="76">
        <v>2</v>
      </c>
      <c r="D709" s="77">
        <v>32048</v>
      </c>
      <c r="G709" s="257">
        <v>10</v>
      </c>
      <c r="H709" s="76" t="s">
        <v>211</v>
      </c>
      <c r="I709" s="76">
        <v>2.4E-2</v>
      </c>
      <c r="J709" s="76">
        <v>1</v>
      </c>
      <c r="K709" s="76" t="s">
        <v>232</v>
      </c>
      <c r="L709" s="76">
        <v>6</v>
      </c>
      <c r="M709" s="76" t="s">
        <v>235</v>
      </c>
    </row>
    <row r="710" spans="1:13" hidden="1" x14ac:dyDescent="0.2">
      <c r="A710" s="76" t="s">
        <v>21</v>
      </c>
      <c r="B710" s="76">
        <v>1674</v>
      </c>
      <c r="C710" s="76">
        <v>2</v>
      </c>
      <c r="D710" s="77">
        <v>32065</v>
      </c>
      <c r="G710" s="257">
        <v>0</v>
      </c>
      <c r="H710" s="76" t="s">
        <v>211</v>
      </c>
      <c r="I710" s="76">
        <v>2.3E-2</v>
      </c>
      <c r="J710" s="76">
        <v>1</v>
      </c>
      <c r="K710" s="76" t="s">
        <v>232</v>
      </c>
      <c r="L710" s="76">
        <v>6</v>
      </c>
      <c r="M710" s="76" t="s">
        <v>235</v>
      </c>
    </row>
    <row r="711" spans="1:13" hidden="1" x14ac:dyDescent="0.2">
      <c r="A711" s="76" t="s">
        <v>21</v>
      </c>
      <c r="B711" s="76">
        <v>1674</v>
      </c>
      <c r="C711" s="76">
        <v>2</v>
      </c>
      <c r="D711" s="77">
        <v>32065</v>
      </c>
      <c r="G711" s="257">
        <v>2</v>
      </c>
      <c r="H711" s="76" t="s">
        <v>211</v>
      </c>
      <c r="I711" s="76">
        <v>2.1000000000000001E-2</v>
      </c>
      <c r="J711" s="76">
        <v>1</v>
      </c>
      <c r="K711" s="76" t="s">
        <v>232</v>
      </c>
      <c r="L711" s="76">
        <v>6</v>
      </c>
      <c r="M711" s="76" t="s">
        <v>235</v>
      </c>
    </row>
    <row r="712" spans="1:13" hidden="1" x14ac:dyDescent="0.2">
      <c r="A712" s="76" t="s">
        <v>21</v>
      </c>
      <c r="B712" s="76">
        <v>1674</v>
      </c>
      <c r="C712" s="76">
        <v>2</v>
      </c>
      <c r="D712" s="77">
        <v>32065</v>
      </c>
      <c r="G712" s="257">
        <v>4</v>
      </c>
      <c r="H712" s="76" t="s">
        <v>211</v>
      </c>
      <c r="I712" s="76">
        <v>2.4E-2</v>
      </c>
      <c r="J712" s="76">
        <v>1</v>
      </c>
      <c r="K712" s="76" t="s">
        <v>232</v>
      </c>
      <c r="L712" s="76">
        <v>6</v>
      </c>
      <c r="M712" s="76" t="s">
        <v>235</v>
      </c>
    </row>
    <row r="713" spans="1:13" hidden="1" x14ac:dyDescent="0.2">
      <c r="A713" s="76" t="s">
        <v>21</v>
      </c>
      <c r="B713" s="76">
        <v>1674</v>
      </c>
      <c r="C713" s="76">
        <v>2</v>
      </c>
      <c r="D713" s="77">
        <v>32065</v>
      </c>
      <c r="G713" s="257">
        <v>6</v>
      </c>
      <c r="H713" s="76" t="s">
        <v>211</v>
      </c>
      <c r="I713" s="76">
        <v>2.4E-2</v>
      </c>
      <c r="J713" s="76">
        <v>1</v>
      </c>
      <c r="K713" s="76" t="s">
        <v>232</v>
      </c>
      <c r="L713" s="76">
        <v>6</v>
      </c>
      <c r="M713" s="76" t="s">
        <v>235</v>
      </c>
    </row>
    <row r="714" spans="1:13" hidden="1" x14ac:dyDescent="0.2">
      <c r="A714" s="76" t="s">
        <v>21</v>
      </c>
      <c r="B714" s="76">
        <v>1674</v>
      </c>
      <c r="C714" s="76">
        <v>2</v>
      </c>
      <c r="D714" s="77">
        <v>32065</v>
      </c>
      <c r="G714" s="257">
        <v>8</v>
      </c>
      <c r="H714" s="76" t="s">
        <v>211</v>
      </c>
      <c r="I714" s="76">
        <v>2.5999999999999999E-2</v>
      </c>
      <c r="J714" s="76">
        <v>1</v>
      </c>
      <c r="K714" s="76" t="s">
        <v>232</v>
      </c>
      <c r="L714" s="76">
        <v>6</v>
      </c>
      <c r="M714" s="76" t="s">
        <v>235</v>
      </c>
    </row>
    <row r="715" spans="1:13" hidden="1" x14ac:dyDescent="0.2">
      <c r="A715" s="76" t="s">
        <v>21</v>
      </c>
      <c r="B715" s="76">
        <v>1674</v>
      </c>
      <c r="C715" s="76">
        <v>2</v>
      </c>
      <c r="D715" s="77">
        <v>32065</v>
      </c>
      <c r="G715" s="257">
        <v>10</v>
      </c>
      <c r="H715" s="76" t="s">
        <v>211</v>
      </c>
      <c r="I715" s="76">
        <v>2.3E-2</v>
      </c>
      <c r="J715" s="76">
        <v>1</v>
      </c>
      <c r="K715" s="76" t="s">
        <v>232</v>
      </c>
      <c r="L715" s="76">
        <v>6</v>
      </c>
      <c r="M715" s="76" t="s">
        <v>235</v>
      </c>
    </row>
    <row r="716" spans="1:13" hidden="1" x14ac:dyDescent="0.2">
      <c r="A716" s="76" t="s">
        <v>21</v>
      </c>
      <c r="B716" s="76">
        <v>1674</v>
      </c>
      <c r="C716" s="76">
        <v>2</v>
      </c>
      <c r="D716" s="77">
        <v>33829</v>
      </c>
      <c r="E716" s="76" t="s">
        <v>22</v>
      </c>
      <c r="F716" s="76">
        <v>2</v>
      </c>
      <c r="G716" s="257">
        <v>1</v>
      </c>
      <c r="H716" s="76" t="s">
        <v>211</v>
      </c>
      <c r="I716" s="76">
        <v>1.4999999999999999E-2</v>
      </c>
      <c r="J716" s="76">
        <v>1</v>
      </c>
      <c r="L716" s="76">
        <v>9</v>
      </c>
      <c r="M716" s="76" t="s">
        <v>235</v>
      </c>
    </row>
    <row r="717" spans="1:13" hidden="1" x14ac:dyDescent="0.2">
      <c r="A717" s="76" t="s">
        <v>21</v>
      </c>
      <c r="B717" s="76">
        <v>1674</v>
      </c>
      <c r="C717" s="76">
        <v>2</v>
      </c>
      <c r="D717" s="77">
        <v>33829</v>
      </c>
      <c r="E717" s="76" t="s">
        <v>22</v>
      </c>
      <c r="F717" s="76">
        <v>2</v>
      </c>
      <c r="G717" s="257">
        <v>2</v>
      </c>
      <c r="H717" s="76" t="s">
        <v>211</v>
      </c>
      <c r="I717" s="76">
        <v>1.9E-2</v>
      </c>
      <c r="J717" s="76">
        <v>1</v>
      </c>
      <c r="L717" s="76">
        <v>9</v>
      </c>
      <c r="M717" s="76" t="s">
        <v>235</v>
      </c>
    </row>
    <row r="718" spans="1:13" hidden="1" x14ac:dyDescent="0.2">
      <c r="A718" s="76" t="s">
        <v>21</v>
      </c>
      <c r="B718" s="76">
        <v>1674</v>
      </c>
      <c r="C718" s="76">
        <v>2</v>
      </c>
      <c r="D718" s="77">
        <v>33829</v>
      </c>
      <c r="E718" s="76" t="s">
        <v>22</v>
      </c>
      <c r="F718" s="76">
        <v>2</v>
      </c>
      <c r="G718" s="257">
        <v>3</v>
      </c>
      <c r="H718" s="76" t="s">
        <v>211</v>
      </c>
      <c r="I718" s="76">
        <v>0.02</v>
      </c>
      <c r="J718" s="76">
        <v>1</v>
      </c>
      <c r="L718" s="76">
        <v>9</v>
      </c>
      <c r="M718" s="76" t="s">
        <v>235</v>
      </c>
    </row>
    <row r="719" spans="1:13" hidden="1" x14ac:dyDescent="0.2">
      <c r="A719" s="76" t="s">
        <v>21</v>
      </c>
      <c r="B719" s="76">
        <v>1674</v>
      </c>
      <c r="C719" s="76">
        <v>2</v>
      </c>
      <c r="D719" s="77">
        <v>33829</v>
      </c>
      <c r="E719" s="76" t="s">
        <v>22</v>
      </c>
      <c r="F719" s="76">
        <v>2</v>
      </c>
      <c r="G719" s="257">
        <v>4</v>
      </c>
      <c r="H719" s="76" t="s">
        <v>211</v>
      </c>
      <c r="I719" s="76">
        <v>1.2999999999999999E-2</v>
      </c>
      <c r="J719" s="76">
        <v>1</v>
      </c>
      <c r="L719" s="76">
        <v>9</v>
      </c>
      <c r="M719" s="76" t="s">
        <v>235</v>
      </c>
    </row>
    <row r="720" spans="1:13" hidden="1" x14ac:dyDescent="0.2">
      <c r="A720" s="76" t="s">
        <v>21</v>
      </c>
      <c r="B720" s="76">
        <v>1674</v>
      </c>
      <c r="C720" s="76">
        <v>2</v>
      </c>
      <c r="D720" s="77">
        <v>33829</v>
      </c>
      <c r="E720" s="76" t="s">
        <v>22</v>
      </c>
      <c r="F720" s="76">
        <v>2</v>
      </c>
      <c r="G720" s="257">
        <v>5</v>
      </c>
      <c r="H720" s="76" t="s">
        <v>211</v>
      </c>
      <c r="I720" s="76">
        <v>1.4999999999999999E-2</v>
      </c>
      <c r="J720" s="76">
        <v>1</v>
      </c>
      <c r="L720" s="76">
        <v>9</v>
      </c>
      <c r="M720" s="76" t="s">
        <v>235</v>
      </c>
    </row>
    <row r="721" spans="1:13" hidden="1" x14ac:dyDescent="0.2">
      <c r="A721" s="76" t="s">
        <v>21</v>
      </c>
      <c r="B721" s="76">
        <v>1674</v>
      </c>
      <c r="C721" s="76">
        <v>2</v>
      </c>
      <c r="D721" s="77">
        <v>33829</v>
      </c>
      <c r="E721" s="76" t="s">
        <v>22</v>
      </c>
      <c r="F721" s="76">
        <v>2</v>
      </c>
      <c r="G721" s="257">
        <v>6</v>
      </c>
      <c r="H721" s="76" t="s">
        <v>211</v>
      </c>
      <c r="I721" s="76">
        <v>1.4999999999999999E-2</v>
      </c>
      <c r="J721" s="76">
        <v>1</v>
      </c>
      <c r="L721" s="76">
        <v>9</v>
      </c>
      <c r="M721" s="76" t="s">
        <v>235</v>
      </c>
    </row>
    <row r="722" spans="1:13" hidden="1" x14ac:dyDescent="0.2">
      <c r="A722" s="76" t="s">
        <v>21</v>
      </c>
      <c r="B722" s="76">
        <v>1674</v>
      </c>
      <c r="C722" s="76">
        <v>2</v>
      </c>
      <c r="D722" s="77">
        <v>33829</v>
      </c>
      <c r="E722" s="76" t="s">
        <v>22</v>
      </c>
      <c r="F722" s="76">
        <v>2</v>
      </c>
      <c r="G722" s="257">
        <v>7</v>
      </c>
      <c r="H722" s="76" t="s">
        <v>211</v>
      </c>
      <c r="I722" s="76">
        <v>1.9E-2</v>
      </c>
      <c r="J722" s="76">
        <v>1</v>
      </c>
      <c r="L722" s="76">
        <v>9</v>
      </c>
      <c r="M722" s="76" t="s">
        <v>235</v>
      </c>
    </row>
    <row r="723" spans="1:13" hidden="1" x14ac:dyDescent="0.2">
      <c r="A723" s="76" t="s">
        <v>21</v>
      </c>
      <c r="B723" s="76">
        <v>1674</v>
      </c>
      <c r="C723" s="76">
        <v>2</v>
      </c>
      <c r="D723" s="77">
        <v>33829</v>
      </c>
      <c r="E723" s="76" t="s">
        <v>22</v>
      </c>
      <c r="F723" s="76">
        <v>2</v>
      </c>
      <c r="G723" s="257">
        <v>8</v>
      </c>
      <c r="H723" s="76" t="s">
        <v>211</v>
      </c>
      <c r="I723" s="76">
        <v>2.1000000000000001E-2</v>
      </c>
      <c r="J723" s="76">
        <v>1</v>
      </c>
      <c r="L723" s="76">
        <v>9</v>
      </c>
      <c r="M723" s="76" t="s">
        <v>235</v>
      </c>
    </row>
    <row r="724" spans="1:13" hidden="1" x14ac:dyDescent="0.2">
      <c r="A724" s="76" t="s">
        <v>21</v>
      </c>
      <c r="B724" s="76">
        <v>1674</v>
      </c>
      <c r="C724" s="76">
        <v>2</v>
      </c>
      <c r="D724" s="77">
        <v>33829</v>
      </c>
      <c r="E724" s="76" t="s">
        <v>22</v>
      </c>
      <c r="F724" s="76">
        <v>2</v>
      </c>
      <c r="G724" s="257">
        <v>9</v>
      </c>
      <c r="H724" s="76" t="s">
        <v>211</v>
      </c>
      <c r="I724" s="76">
        <v>2.1999999999999999E-2</v>
      </c>
      <c r="J724" s="76">
        <v>1</v>
      </c>
      <c r="L724" s="76">
        <v>9</v>
      </c>
      <c r="M724" s="76" t="s">
        <v>235</v>
      </c>
    </row>
    <row r="725" spans="1:13" hidden="1" x14ac:dyDescent="0.2"/>
    <row r="726" spans="1:13" hidden="1" x14ac:dyDescent="0.2"/>
    <row r="727" spans="1:13" hidden="1" x14ac:dyDescent="0.2"/>
  </sheetData>
  <sortState xmlns:xlrd2="http://schemas.microsoft.com/office/spreadsheetml/2017/richdata2" ref="CG3:CG59">
    <sortCondition ref="CG3"/>
  </sortState>
  <mergeCells count="6">
    <mergeCell ref="AE1:AH1"/>
    <mergeCell ref="A1:M1"/>
    <mergeCell ref="O1:AC1"/>
    <mergeCell ref="BA1:BO1"/>
    <mergeCell ref="BQ1:CE1"/>
    <mergeCell ref="AK1:AY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2F66-09CA-4B04-BF61-51375CF38B90}">
  <dimension ref="A1:JT133"/>
  <sheetViews>
    <sheetView topLeftCell="A83" zoomScaleNormal="100" workbookViewId="0">
      <selection activeCell="A85" sqref="A85:L85"/>
    </sheetView>
  </sheetViews>
  <sheetFormatPr baseColWidth="10" defaultColWidth="8.83203125" defaultRowHeight="15" x14ac:dyDescent="0.2"/>
  <cols>
    <col min="1" max="1" width="8.1640625" style="161" bestFit="1" customWidth="1"/>
    <col min="2" max="2" width="6.5" style="161" bestFit="1" customWidth="1"/>
    <col min="3" max="3" width="8.1640625" style="161" bestFit="1" customWidth="1"/>
    <col min="4" max="4" width="10.5" style="161" bestFit="1" customWidth="1"/>
    <col min="5" max="5" width="5.1640625" style="162" bestFit="1" customWidth="1"/>
    <col min="6" max="6" width="7.83203125" style="161" bestFit="1" customWidth="1"/>
    <col min="7" max="7" width="8.1640625" style="161" bestFit="1" customWidth="1"/>
    <col min="8" max="8" width="6.5" style="161" bestFit="1" customWidth="1"/>
    <col min="9" max="9" width="5" style="161" bestFit="1" customWidth="1"/>
    <col min="10" max="10" width="5.33203125" style="161" bestFit="1" customWidth="1"/>
    <col min="11" max="11" width="2.1640625" style="161" bestFit="1" customWidth="1"/>
    <col min="12" max="12" width="5.1640625" style="161" bestFit="1" customWidth="1"/>
    <col min="13" max="13" width="1.5" style="161" customWidth="1"/>
    <col min="14" max="14" width="6.83203125" customWidth="1"/>
    <col min="15" max="15" width="17" customWidth="1"/>
    <col min="16" max="16" width="16.1640625" customWidth="1"/>
    <col min="19" max="19" width="7" customWidth="1"/>
  </cols>
  <sheetData>
    <row r="1" spans="1:18" x14ac:dyDescent="0.2">
      <c r="A1" s="161" t="s">
        <v>0</v>
      </c>
      <c r="B1" s="161" t="s">
        <v>1</v>
      </c>
      <c r="C1" s="161" t="s">
        <v>2</v>
      </c>
      <c r="D1" s="161" t="s">
        <v>3</v>
      </c>
      <c r="E1" s="162" t="s">
        <v>238</v>
      </c>
      <c r="F1" s="161" t="s">
        <v>4</v>
      </c>
      <c r="G1" s="161" t="s">
        <v>5</v>
      </c>
      <c r="H1" s="161" t="s">
        <v>189</v>
      </c>
      <c r="I1" s="161" t="s">
        <v>194</v>
      </c>
      <c r="J1" s="161" t="s">
        <v>223</v>
      </c>
      <c r="K1" s="161" t="s">
        <v>224</v>
      </c>
      <c r="L1" s="161" t="s">
        <v>214</v>
      </c>
      <c r="M1" s="161" t="s">
        <v>225</v>
      </c>
      <c r="O1" s="299" t="s">
        <v>282</v>
      </c>
      <c r="P1" s="299"/>
      <c r="Q1" s="299"/>
      <c r="R1" s="299"/>
    </row>
    <row r="2" spans="1:18" x14ac:dyDescent="0.2">
      <c r="A2" s="161" t="s">
        <v>21</v>
      </c>
      <c r="B2" s="161">
        <v>1674</v>
      </c>
      <c r="C2" s="161">
        <v>1</v>
      </c>
      <c r="D2" s="163">
        <v>29817</v>
      </c>
      <c r="E2" s="162" cm="1">
        <f t="array" ref="E2:E79">YEAR(D2:D79)</f>
        <v>1981</v>
      </c>
      <c r="F2" s="161" t="s">
        <v>22</v>
      </c>
      <c r="G2" s="161">
        <v>2</v>
      </c>
      <c r="H2" s="161">
        <v>10</v>
      </c>
      <c r="I2" s="161" t="s">
        <v>32</v>
      </c>
      <c r="J2" s="161">
        <v>9.3000000000000007</v>
      </c>
      <c r="O2" s="217" t="s">
        <v>272</v>
      </c>
      <c r="P2" s="217" t="s">
        <v>281</v>
      </c>
      <c r="Q2" s="217" t="s">
        <v>299</v>
      </c>
      <c r="R2" s="217" t="s">
        <v>271</v>
      </c>
    </row>
    <row r="3" spans="1:18" x14ac:dyDescent="0.2">
      <c r="A3" s="161" t="s">
        <v>21</v>
      </c>
      <c r="B3" s="161">
        <v>1674</v>
      </c>
      <c r="C3" s="161">
        <v>1</v>
      </c>
      <c r="D3" s="163">
        <v>30209</v>
      </c>
      <c r="E3" s="162">
        <v>1982</v>
      </c>
      <c r="F3" s="161" t="s">
        <v>22</v>
      </c>
      <c r="G3" s="161">
        <v>2</v>
      </c>
      <c r="H3" s="161">
        <v>10</v>
      </c>
      <c r="I3" s="161" t="s">
        <v>32</v>
      </c>
      <c r="J3" s="161">
        <v>11.9</v>
      </c>
      <c r="O3" s="98">
        <v>1981</v>
      </c>
      <c r="P3" s="97">
        <f>AVERAGE(J2)</f>
        <v>9.3000000000000007</v>
      </c>
      <c r="Q3" s="214">
        <f>_xlfn.MAXIFS($J$2:$J$90,$E$2:$E$90,"1981")</f>
        <v>9.3000000000000007</v>
      </c>
      <c r="R3" s="92">
        <f>COUNTIF($E$2:$E$90,"1981")</f>
        <v>1</v>
      </c>
    </row>
    <row r="4" spans="1:18" x14ac:dyDescent="0.2">
      <c r="A4" s="161" t="s">
        <v>21</v>
      </c>
      <c r="B4" s="161">
        <v>1674</v>
      </c>
      <c r="C4" s="161">
        <v>1</v>
      </c>
      <c r="D4" s="163">
        <v>30465</v>
      </c>
      <c r="E4" s="162">
        <v>1983</v>
      </c>
      <c r="F4" s="161" t="s">
        <v>22</v>
      </c>
      <c r="G4" s="161">
        <v>2</v>
      </c>
      <c r="H4" s="161">
        <v>10</v>
      </c>
      <c r="I4" s="161" t="s">
        <v>32</v>
      </c>
      <c r="J4" s="161">
        <v>5.2</v>
      </c>
      <c r="O4" s="98">
        <v>1982</v>
      </c>
      <c r="P4" s="97">
        <f>AVERAGE(J3)</f>
        <v>11.9</v>
      </c>
      <c r="Q4" s="214">
        <f>_xlfn.MAXIFS($J$2:$J$90,$E$2:$E$90,"1982")</f>
        <v>11.9</v>
      </c>
      <c r="R4" s="92">
        <f>COUNTIF($E$2:$E$90,"1982")</f>
        <v>1</v>
      </c>
    </row>
    <row r="5" spans="1:18" x14ac:dyDescent="0.2">
      <c r="A5" s="161" t="s">
        <v>21</v>
      </c>
      <c r="B5" s="161">
        <v>1674</v>
      </c>
      <c r="C5" s="161">
        <v>1</v>
      </c>
      <c r="D5" s="163">
        <v>30482</v>
      </c>
      <c r="E5" s="162">
        <v>1983</v>
      </c>
      <c r="F5" s="161" t="s">
        <v>22</v>
      </c>
      <c r="G5" s="161">
        <v>3</v>
      </c>
      <c r="H5" s="161">
        <v>10</v>
      </c>
      <c r="I5" s="161" t="s">
        <v>32</v>
      </c>
      <c r="J5" s="161">
        <v>7.4</v>
      </c>
      <c r="O5" s="98">
        <v>1983</v>
      </c>
      <c r="P5" s="97">
        <f>AVERAGE(J4:J8)</f>
        <v>12.720000000000002</v>
      </c>
      <c r="Q5" s="214">
        <f>_xlfn.MAXIFS($J$2:$J$90,$E$2:$E$90,"1983")</f>
        <v>31.8</v>
      </c>
      <c r="R5" s="92">
        <f>COUNTIF($E$2:$E$90,"1983")</f>
        <v>5</v>
      </c>
    </row>
    <row r="6" spans="1:18" x14ac:dyDescent="0.2">
      <c r="A6" s="161" t="s">
        <v>21</v>
      </c>
      <c r="B6" s="161">
        <v>1674</v>
      </c>
      <c r="C6" s="161">
        <v>1</v>
      </c>
      <c r="D6" s="163">
        <v>30510</v>
      </c>
      <c r="E6" s="162">
        <v>1983</v>
      </c>
      <c r="F6" s="161" t="s">
        <v>22</v>
      </c>
      <c r="G6" s="161">
        <v>3</v>
      </c>
      <c r="H6" s="161">
        <v>10</v>
      </c>
      <c r="I6" s="161" t="s">
        <v>32</v>
      </c>
      <c r="J6" s="161">
        <v>7.6</v>
      </c>
      <c r="O6" s="98">
        <v>1984</v>
      </c>
      <c r="P6" s="97">
        <f>AVERAGE(J5:J9)</f>
        <v>12.700000000000001</v>
      </c>
      <c r="Q6" s="214">
        <f>_xlfn.MAXIFS($J$2:$J$90,$E$2:$E$90,"1984")</f>
        <v>48.4</v>
      </c>
      <c r="R6" s="92">
        <f>COUNTIF($E$2:$E$90,"1984")</f>
        <v>5</v>
      </c>
    </row>
    <row r="7" spans="1:18" x14ac:dyDescent="0.2">
      <c r="A7" s="161" t="s">
        <v>21</v>
      </c>
      <c r="B7" s="161">
        <v>1674</v>
      </c>
      <c r="C7" s="161">
        <v>1</v>
      </c>
      <c r="D7" s="163">
        <v>30537</v>
      </c>
      <c r="E7" s="162">
        <v>1983</v>
      </c>
      <c r="F7" s="161" t="s">
        <v>22</v>
      </c>
      <c r="G7" s="161">
        <v>3</v>
      </c>
      <c r="H7" s="161">
        <v>10</v>
      </c>
      <c r="I7" s="161" t="s">
        <v>32</v>
      </c>
      <c r="J7" s="161">
        <v>11.6</v>
      </c>
      <c r="O7" s="98">
        <v>1986</v>
      </c>
      <c r="P7" s="97">
        <f>AVERAGE(J14:J28)</f>
        <v>17.833333333333332</v>
      </c>
      <c r="Q7" s="216">
        <f>_xlfn.MAXIFS($J$2:$J$90,$E$2:$E$90,"1986")</f>
        <v>53.4</v>
      </c>
      <c r="R7" s="92">
        <f>COUNTIF($E$2:$E$90,"1986")</f>
        <v>15</v>
      </c>
    </row>
    <row r="8" spans="1:18" x14ac:dyDescent="0.2">
      <c r="A8" s="161" t="s">
        <v>21</v>
      </c>
      <c r="B8" s="161">
        <v>1674</v>
      </c>
      <c r="C8" s="161">
        <v>1</v>
      </c>
      <c r="D8" s="163">
        <v>30572</v>
      </c>
      <c r="E8" s="162">
        <v>1983</v>
      </c>
      <c r="F8" s="161" t="s">
        <v>22</v>
      </c>
      <c r="G8" s="161">
        <v>2</v>
      </c>
      <c r="H8" s="161">
        <v>7</v>
      </c>
      <c r="I8" s="161" t="s">
        <v>32</v>
      </c>
      <c r="J8" s="161">
        <v>31.8</v>
      </c>
      <c r="O8" s="98">
        <v>1987</v>
      </c>
      <c r="P8" s="97">
        <f>AVERAGE(J29:J40)</f>
        <v>10.383333333333335</v>
      </c>
      <c r="Q8" s="214">
        <f>_xlfn.MAXIFS($J$2:$J$90,$E$2:$E$90,"1987")</f>
        <v>20.100000000000001</v>
      </c>
      <c r="R8" s="92">
        <f>COUNTIF($E$2:$E$90,"1987")</f>
        <v>12</v>
      </c>
    </row>
    <row r="9" spans="1:18" x14ac:dyDescent="0.2">
      <c r="A9" s="161" t="s">
        <v>21</v>
      </c>
      <c r="B9" s="161">
        <v>1674</v>
      </c>
      <c r="C9" s="161">
        <v>1</v>
      </c>
      <c r="D9" s="163">
        <v>30854</v>
      </c>
      <c r="E9" s="162">
        <v>1984</v>
      </c>
      <c r="F9" s="161" t="s">
        <v>22</v>
      </c>
      <c r="G9" s="161">
        <v>2</v>
      </c>
      <c r="H9" s="161">
        <v>9</v>
      </c>
      <c r="I9" s="161" t="s">
        <v>32</v>
      </c>
      <c r="J9" s="161">
        <v>5.0999999999999996</v>
      </c>
      <c r="O9" s="98">
        <v>1988</v>
      </c>
      <c r="P9" s="97">
        <f>AVERAGE(J41:J48)</f>
        <v>8.15</v>
      </c>
      <c r="Q9" s="214">
        <f>_xlfn.MAXIFS($J$2:$J$90,$E$2:$E$90,"1988")</f>
        <v>14.9</v>
      </c>
      <c r="R9" s="92">
        <f>COUNTIF($E$2:$E$90,"1988")</f>
        <v>8</v>
      </c>
    </row>
    <row r="10" spans="1:18" x14ac:dyDescent="0.2">
      <c r="A10" s="161" t="s">
        <v>21</v>
      </c>
      <c r="B10" s="161">
        <v>1674</v>
      </c>
      <c r="C10" s="161">
        <v>1</v>
      </c>
      <c r="D10" s="163">
        <v>30873</v>
      </c>
      <c r="E10" s="162">
        <v>1984</v>
      </c>
      <c r="F10" s="161" t="s">
        <v>22</v>
      </c>
      <c r="G10" s="161">
        <v>2</v>
      </c>
      <c r="H10" s="161">
        <v>10</v>
      </c>
      <c r="I10" s="161" t="s">
        <v>32</v>
      </c>
      <c r="J10" s="161">
        <v>11.2</v>
      </c>
      <c r="O10" s="98">
        <v>1989</v>
      </c>
      <c r="P10" s="97">
        <f>AVERAGE(J49:J54)</f>
        <v>3.4833333333333329</v>
      </c>
      <c r="Q10" s="214">
        <f>_xlfn.MAXIFS($J$2:$J$90,$E$2:$E$90,"1989")</f>
        <v>6.8</v>
      </c>
      <c r="R10" s="92">
        <f>COUNTIF($E$2:$E$90,"1989")</f>
        <v>6</v>
      </c>
    </row>
    <row r="11" spans="1:18" x14ac:dyDescent="0.2">
      <c r="A11" s="161" t="s">
        <v>21</v>
      </c>
      <c r="B11" s="161">
        <v>1674</v>
      </c>
      <c r="C11" s="161">
        <v>1</v>
      </c>
      <c r="D11" s="163">
        <v>30897</v>
      </c>
      <c r="E11" s="162">
        <v>1984</v>
      </c>
      <c r="F11" s="161" t="s">
        <v>22</v>
      </c>
      <c r="G11" s="161">
        <v>3</v>
      </c>
      <c r="H11" s="161">
        <v>6</v>
      </c>
      <c r="I11" s="161" t="s">
        <v>32</v>
      </c>
      <c r="J11" s="161">
        <v>24.1</v>
      </c>
      <c r="O11" s="98">
        <v>1990</v>
      </c>
      <c r="P11" s="97">
        <f>AVERAGE(J55:J58)</f>
        <v>7.25</v>
      </c>
      <c r="Q11" s="214">
        <f>_xlfn.MAXIFS($J$2:$J$90,$E$2:$E$90,"1990")</f>
        <v>14</v>
      </c>
      <c r="R11" s="92">
        <f>COUNTIF($E$2:$E$90,"1990")</f>
        <v>4</v>
      </c>
    </row>
    <row r="12" spans="1:18" x14ac:dyDescent="0.2">
      <c r="A12" s="161" t="s">
        <v>21</v>
      </c>
      <c r="B12" s="161">
        <v>1674</v>
      </c>
      <c r="C12" s="161">
        <v>1</v>
      </c>
      <c r="D12" s="163">
        <v>30908</v>
      </c>
      <c r="E12" s="162">
        <v>1984</v>
      </c>
      <c r="F12" s="161" t="s">
        <v>22</v>
      </c>
      <c r="G12" s="161">
        <v>3</v>
      </c>
      <c r="H12" s="161">
        <v>9</v>
      </c>
      <c r="I12" s="161" t="s">
        <v>32</v>
      </c>
      <c r="J12" s="161">
        <v>24.8</v>
      </c>
      <c r="O12" s="98">
        <v>1991</v>
      </c>
      <c r="P12" s="97">
        <f>AVERAGE(J59:J60)</f>
        <v>7.7</v>
      </c>
      <c r="Q12" s="214">
        <f>_xlfn.MAXIFS($J$2:$J$90,$E$2:$E$90,"1991")</f>
        <v>9.3000000000000007</v>
      </c>
      <c r="R12" s="92">
        <f>COUNTIF($E$2:$E$90,"1991")</f>
        <v>2</v>
      </c>
    </row>
    <row r="13" spans="1:18" x14ac:dyDescent="0.2">
      <c r="A13" s="161" t="s">
        <v>21</v>
      </c>
      <c r="B13" s="161">
        <v>1674</v>
      </c>
      <c r="C13" s="161">
        <v>1</v>
      </c>
      <c r="D13" s="163">
        <v>30939</v>
      </c>
      <c r="E13" s="162">
        <v>1984</v>
      </c>
      <c r="F13" s="161" t="s">
        <v>22</v>
      </c>
      <c r="G13" s="161">
        <v>3</v>
      </c>
      <c r="H13" s="161">
        <v>10</v>
      </c>
      <c r="I13" s="161" t="s">
        <v>32</v>
      </c>
      <c r="J13" s="161">
        <v>48.4</v>
      </c>
      <c r="O13" s="98">
        <v>1992</v>
      </c>
      <c r="P13" s="97">
        <f>AVERAGE(J61:J64)</f>
        <v>6.0250000000000004</v>
      </c>
      <c r="Q13" s="214">
        <f>_xlfn.MAXIFS($J$2:$J$90,$E$2:$E$90,"1992")</f>
        <v>7.6</v>
      </c>
      <c r="R13" s="92">
        <f>COUNTIF($E$2:$E$90,"1992")</f>
        <v>4</v>
      </c>
    </row>
    <row r="14" spans="1:18" x14ac:dyDescent="0.2">
      <c r="A14" s="161" t="s">
        <v>21</v>
      </c>
      <c r="B14" s="161">
        <v>1674</v>
      </c>
      <c r="C14" s="161">
        <v>1</v>
      </c>
      <c r="D14" s="163">
        <v>31497</v>
      </c>
      <c r="E14" s="162">
        <v>1986</v>
      </c>
      <c r="F14" s="161" t="s">
        <v>22</v>
      </c>
      <c r="G14" s="161">
        <v>2</v>
      </c>
      <c r="H14" s="161">
        <v>1</v>
      </c>
      <c r="I14" s="161" t="s">
        <v>211</v>
      </c>
      <c r="J14" s="161">
        <v>2.5</v>
      </c>
      <c r="O14" s="98">
        <v>1994</v>
      </c>
      <c r="P14" s="97">
        <f>AVERAGE(J65:J66)</f>
        <v>5</v>
      </c>
      <c r="Q14" s="214">
        <f>_xlfn.MAXIFS($J$2:$J$90,$E$2:$E$90,"1994")</f>
        <v>7</v>
      </c>
      <c r="R14" s="92">
        <f>COUNTIF($E$2:$E$90,"1994")</f>
        <v>2</v>
      </c>
    </row>
    <row r="15" spans="1:18" x14ac:dyDescent="0.2">
      <c r="A15" s="161" t="s">
        <v>21</v>
      </c>
      <c r="B15" s="161">
        <v>1674</v>
      </c>
      <c r="C15" s="161">
        <v>1</v>
      </c>
      <c r="D15" s="163">
        <v>31497</v>
      </c>
      <c r="E15" s="162">
        <v>1986</v>
      </c>
      <c r="F15" s="161" t="s">
        <v>22</v>
      </c>
      <c r="G15" s="161">
        <v>2</v>
      </c>
      <c r="H15" s="161">
        <v>1</v>
      </c>
      <c r="I15" s="161" t="s">
        <v>211</v>
      </c>
      <c r="J15" s="161">
        <v>2.5</v>
      </c>
      <c r="O15" s="98">
        <v>1997</v>
      </c>
      <c r="P15" s="97">
        <f>AVERAGE(J67)</f>
        <v>9.4</v>
      </c>
      <c r="Q15" s="214">
        <f>_xlfn.MAXIFS($J$2:$J$90,$E$2:$E$90,"1997")</f>
        <v>9.4</v>
      </c>
      <c r="R15" s="92">
        <f>COUNTIF($E$2:$E$90,"1997")</f>
        <v>1</v>
      </c>
    </row>
    <row r="16" spans="1:18" x14ac:dyDescent="0.2">
      <c r="A16" s="161" t="s">
        <v>21</v>
      </c>
      <c r="B16" s="161">
        <v>1674</v>
      </c>
      <c r="C16" s="161">
        <v>1</v>
      </c>
      <c r="D16" s="163">
        <v>31497</v>
      </c>
      <c r="E16" s="162">
        <v>1986</v>
      </c>
      <c r="F16" s="161" t="s">
        <v>22</v>
      </c>
      <c r="G16" s="161">
        <v>2</v>
      </c>
      <c r="H16" s="161">
        <v>10</v>
      </c>
      <c r="I16" s="161" t="s">
        <v>32</v>
      </c>
      <c r="J16" s="161">
        <v>1</v>
      </c>
      <c r="O16" s="98">
        <v>2000</v>
      </c>
      <c r="P16" s="97">
        <f>AVERAGE(J68:J69)</f>
        <v>15</v>
      </c>
      <c r="Q16" s="214">
        <f>_xlfn.MAXIFS($J$2:$J$90,$E$2:$E$90,"2000")</f>
        <v>20</v>
      </c>
      <c r="R16" s="92">
        <f>COUNTIF($E$2:$E$90,"2000")</f>
        <v>2</v>
      </c>
    </row>
    <row r="17" spans="1:18" x14ac:dyDescent="0.2">
      <c r="A17" s="161" t="s">
        <v>21</v>
      </c>
      <c r="B17" s="161">
        <v>1674</v>
      </c>
      <c r="C17" s="161">
        <v>1</v>
      </c>
      <c r="D17" s="163">
        <v>31541</v>
      </c>
      <c r="E17" s="162">
        <v>1986</v>
      </c>
      <c r="F17" s="161" t="s">
        <v>22</v>
      </c>
      <c r="G17" s="161">
        <v>2</v>
      </c>
      <c r="H17" s="161">
        <v>10</v>
      </c>
      <c r="I17" s="161" t="s">
        <v>32</v>
      </c>
      <c r="J17" s="161">
        <v>3.9</v>
      </c>
      <c r="O17" s="98">
        <v>2003</v>
      </c>
      <c r="P17" s="97">
        <f>AVERAGE(J70:J72)</f>
        <v>4.5333333333333332</v>
      </c>
      <c r="Q17" s="214">
        <f>_xlfn.MAXIFS($J$2:$J$90,$E$2:$E$90,"2003")</f>
        <v>5.5</v>
      </c>
      <c r="R17" s="92">
        <f>COUNTIF($E$2:$E$90,"2003")</f>
        <v>3</v>
      </c>
    </row>
    <row r="18" spans="1:18" x14ac:dyDescent="0.2">
      <c r="A18" s="161" t="s">
        <v>21</v>
      </c>
      <c r="B18" s="161">
        <v>1674</v>
      </c>
      <c r="C18" s="161">
        <v>1</v>
      </c>
      <c r="D18" s="163">
        <v>31559</v>
      </c>
      <c r="E18" s="162">
        <v>1986</v>
      </c>
      <c r="F18" s="161" t="s">
        <v>22</v>
      </c>
      <c r="G18" s="161">
        <v>2</v>
      </c>
      <c r="H18" s="161">
        <v>10</v>
      </c>
      <c r="I18" s="161" t="s">
        <v>32</v>
      </c>
      <c r="J18" s="161">
        <v>4.5</v>
      </c>
      <c r="O18" s="98">
        <v>2004</v>
      </c>
      <c r="P18" s="97">
        <f>AVERAGE(J73:J74)</f>
        <v>9.9</v>
      </c>
      <c r="Q18" s="214">
        <f>_xlfn.MAXIFS($J$2:$J$90,$E$2:$E$90,"2004")</f>
        <v>11</v>
      </c>
      <c r="R18" s="92">
        <f>COUNTIF($E$2:$E$90,"2004")</f>
        <v>2</v>
      </c>
    </row>
    <row r="19" spans="1:18" x14ac:dyDescent="0.2">
      <c r="A19" s="161" t="s">
        <v>21</v>
      </c>
      <c r="B19" s="161">
        <v>1674</v>
      </c>
      <c r="C19" s="161">
        <v>1</v>
      </c>
      <c r="D19" s="163">
        <v>31573</v>
      </c>
      <c r="E19" s="162">
        <v>1986</v>
      </c>
      <c r="F19" s="161" t="s">
        <v>22</v>
      </c>
      <c r="G19" s="161">
        <v>2</v>
      </c>
      <c r="H19" s="161">
        <v>10</v>
      </c>
      <c r="I19" s="161" t="s">
        <v>32</v>
      </c>
      <c r="J19" s="161">
        <v>9.6999999999999993</v>
      </c>
      <c r="O19" s="98">
        <v>2005</v>
      </c>
      <c r="P19" s="97">
        <f>AVERAGE(J75)</f>
        <v>19</v>
      </c>
      <c r="Q19" s="214">
        <f>_xlfn.MAXIFS($J$2:$J$90,$E$2:$E$90,"2005")</f>
        <v>19</v>
      </c>
      <c r="R19" s="92">
        <f>COUNTIF($E$2:$E$90,"2005")</f>
        <v>1</v>
      </c>
    </row>
    <row r="20" spans="1:18" x14ac:dyDescent="0.2">
      <c r="A20" s="161" t="s">
        <v>21</v>
      </c>
      <c r="B20" s="161">
        <v>1674</v>
      </c>
      <c r="C20" s="161">
        <v>1</v>
      </c>
      <c r="D20" s="163">
        <v>31590</v>
      </c>
      <c r="E20" s="162">
        <v>1986</v>
      </c>
      <c r="F20" s="161" t="s">
        <v>22</v>
      </c>
      <c r="G20" s="161">
        <v>2</v>
      </c>
      <c r="H20" s="161">
        <v>10</v>
      </c>
      <c r="I20" s="161" t="s">
        <v>32</v>
      </c>
      <c r="J20" s="161">
        <v>6.7</v>
      </c>
      <c r="O20" s="98">
        <v>2009</v>
      </c>
      <c r="P20" s="97">
        <f>AVERAGE(J76)</f>
        <v>13</v>
      </c>
      <c r="Q20" s="214">
        <f>_xlfn.MAXIFS($J$2:$J$90,$E$2:$E$90,"2009")</f>
        <v>13</v>
      </c>
      <c r="R20" s="92">
        <f>COUNTIF($E$2:$E$90,"2009")</f>
        <v>1</v>
      </c>
    </row>
    <row r="21" spans="1:18" x14ac:dyDescent="0.2">
      <c r="A21" s="161" t="s">
        <v>21</v>
      </c>
      <c r="B21" s="161">
        <v>1674</v>
      </c>
      <c r="C21" s="161">
        <v>1</v>
      </c>
      <c r="D21" s="163">
        <v>31609</v>
      </c>
      <c r="E21" s="162">
        <v>1986</v>
      </c>
      <c r="F21" s="161" t="s">
        <v>22</v>
      </c>
      <c r="G21" s="161">
        <v>2</v>
      </c>
      <c r="H21" s="161">
        <v>10</v>
      </c>
      <c r="I21" s="161" t="s">
        <v>32</v>
      </c>
      <c r="J21" s="161">
        <v>12.5</v>
      </c>
      <c r="O21" s="98">
        <v>2016</v>
      </c>
      <c r="P21" s="97">
        <f>AVERAGE(J77)</f>
        <v>7.5</v>
      </c>
      <c r="Q21" s="214">
        <f>_xlfn.MAXIFS($J$2:$J$90,$E$2:$E$90,"2016")</f>
        <v>7.5</v>
      </c>
      <c r="R21" s="92">
        <f>COUNTIF($E$2:$E$90,"2016")</f>
        <v>1</v>
      </c>
    </row>
    <row r="22" spans="1:18" x14ac:dyDescent="0.2">
      <c r="A22" s="161" t="s">
        <v>21</v>
      </c>
      <c r="B22" s="161">
        <v>1674</v>
      </c>
      <c r="C22" s="161">
        <v>1</v>
      </c>
      <c r="D22" s="163">
        <v>31623</v>
      </c>
      <c r="E22" s="162">
        <v>1986</v>
      </c>
      <c r="F22" s="161" t="s">
        <v>22</v>
      </c>
      <c r="G22" s="161">
        <v>2</v>
      </c>
      <c r="H22" s="161">
        <v>5</v>
      </c>
      <c r="I22" s="161" t="s">
        <v>32</v>
      </c>
      <c r="J22" s="161">
        <v>16.7</v>
      </c>
      <c r="O22" s="98">
        <v>2017</v>
      </c>
      <c r="P22" s="97">
        <f>AVERAGE(J78)</f>
        <v>17</v>
      </c>
      <c r="Q22" s="214">
        <f>_xlfn.MAXIFS($J$2:$J$90,$E$2:$E$90,"2017")</f>
        <v>17</v>
      </c>
      <c r="R22" s="92">
        <f>COUNTIF($E$2:$E$90,"2017")</f>
        <v>1</v>
      </c>
    </row>
    <row r="23" spans="1:18" x14ac:dyDescent="0.2">
      <c r="A23" s="161" t="s">
        <v>21</v>
      </c>
      <c r="B23" s="161">
        <v>1674</v>
      </c>
      <c r="C23" s="161">
        <v>1</v>
      </c>
      <c r="D23" s="163">
        <v>31636</v>
      </c>
      <c r="E23" s="162">
        <v>1986</v>
      </c>
      <c r="F23" s="161" t="s">
        <v>22</v>
      </c>
      <c r="G23" s="161">
        <v>2</v>
      </c>
      <c r="H23" s="161">
        <v>8</v>
      </c>
      <c r="I23" s="161" t="s">
        <v>32</v>
      </c>
      <c r="J23" s="161">
        <v>22</v>
      </c>
      <c r="O23" s="99">
        <v>2018</v>
      </c>
      <c r="P23" s="157">
        <f>AVERAGE(J79)</f>
        <v>6</v>
      </c>
      <c r="Q23" s="245">
        <f>_xlfn.MAXIFS($J$2:$J$90,$E$2:$E$90,"2018")</f>
        <v>6</v>
      </c>
      <c r="R23" s="246">
        <f>COUNTIF($E$2:$E$90,"2018")</f>
        <v>1</v>
      </c>
    </row>
    <row r="24" spans="1:18" x14ac:dyDescent="0.2">
      <c r="A24" s="161" t="s">
        <v>21</v>
      </c>
      <c r="B24" s="161">
        <v>1674</v>
      </c>
      <c r="C24" s="161">
        <v>1</v>
      </c>
      <c r="D24" s="163">
        <v>31651</v>
      </c>
      <c r="E24" s="162">
        <v>1986</v>
      </c>
      <c r="F24" s="161" t="s">
        <v>22</v>
      </c>
      <c r="G24" s="161">
        <v>2</v>
      </c>
      <c r="H24" s="161">
        <v>10</v>
      </c>
      <c r="I24" s="161" t="s">
        <v>32</v>
      </c>
      <c r="J24" s="161">
        <v>53.4</v>
      </c>
      <c r="O24" s="247">
        <v>2019</v>
      </c>
      <c r="P24" s="157">
        <f>AVERAGE(J80:J90)</f>
        <v>9.2727272727272734</v>
      </c>
      <c r="Q24" s="245">
        <f>_xlfn.MAXIFS($J$2:$J$90,$E$2:$E$90,"2019")</f>
        <v>21</v>
      </c>
      <c r="R24" s="246">
        <f>COUNTIF($E$2:$E$90,"2019")</f>
        <v>11</v>
      </c>
    </row>
    <row r="25" spans="1:18" x14ac:dyDescent="0.2">
      <c r="A25" s="161" t="s">
        <v>21</v>
      </c>
      <c r="B25" s="161">
        <v>1674</v>
      </c>
      <c r="C25" s="161">
        <v>1</v>
      </c>
      <c r="D25" s="163">
        <v>31663</v>
      </c>
      <c r="E25" s="162">
        <v>1986</v>
      </c>
      <c r="F25" s="161" t="s">
        <v>22</v>
      </c>
      <c r="G25" s="161">
        <v>2</v>
      </c>
      <c r="H25" s="161">
        <v>10</v>
      </c>
      <c r="I25" s="161" t="s">
        <v>32</v>
      </c>
      <c r="J25" s="161">
        <v>33.9</v>
      </c>
      <c r="O25" s="100">
        <v>2020</v>
      </c>
      <c r="P25" s="102">
        <f>AVERAGE(J91:J106)</f>
        <v>5.625</v>
      </c>
      <c r="Q25" s="215">
        <f>_xlfn.MAXIFS($J$2:$J$106,$E$2:$E$106,"2020")</f>
        <v>12</v>
      </c>
      <c r="R25" s="101">
        <f>COUNTIF($E$2:$E$106,"2020")</f>
        <v>16</v>
      </c>
    </row>
    <row r="26" spans="1:18" x14ac:dyDescent="0.2">
      <c r="A26" s="161" t="s">
        <v>21</v>
      </c>
      <c r="B26" s="161">
        <v>1674</v>
      </c>
      <c r="C26" s="161">
        <v>1</v>
      </c>
      <c r="D26" s="163">
        <v>31684</v>
      </c>
      <c r="E26" s="162">
        <v>1986</v>
      </c>
      <c r="F26" s="161" t="s">
        <v>22</v>
      </c>
      <c r="G26" s="161">
        <v>2</v>
      </c>
      <c r="H26" s="161">
        <v>10</v>
      </c>
      <c r="I26" s="161" t="s">
        <v>32</v>
      </c>
      <c r="J26" s="161">
        <v>32.9</v>
      </c>
      <c r="O26" s="218" t="s">
        <v>270</v>
      </c>
      <c r="P26" s="219">
        <f>AVERAGE(P3:P25)</f>
        <v>9.9424374176548103</v>
      </c>
      <c r="Q26" s="219">
        <f>MAX(Q3:Q25)</f>
        <v>53.4</v>
      </c>
      <c r="R26" s="220">
        <f>SUM(R3:R25)</f>
        <v>105</v>
      </c>
    </row>
    <row r="27" spans="1:18" x14ac:dyDescent="0.2">
      <c r="A27" s="161" t="s">
        <v>21</v>
      </c>
      <c r="B27" s="161">
        <v>1674</v>
      </c>
      <c r="C27" s="161">
        <v>1</v>
      </c>
      <c r="D27" s="163">
        <v>31699</v>
      </c>
      <c r="E27" s="162">
        <v>1986</v>
      </c>
      <c r="F27" s="161" t="s">
        <v>22</v>
      </c>
      <c r="G27" s="161">
        <v>2</v>
      </c>
      <c r="H27" s="161">
        <v>10</v>
      </c>
      <c r="I27" s="161" t="s">
        <v>32</v>
      </c>
      <c r="J27" s="161">
        <v>34.799999999999997</v>
      </c>
      <c r="O27">
        <f>COUNTA(O3:O25)</f>
        <v>23</v>
      </c>
    </row>
    <row r="28" spans="1:18" x14ac:dyDescent="0.2">
      <c r="A28" s="161" t="s">
        <v>21</v>
      </c>
      <c r="B28" s="161">
        <v>1674</v>
      </c>
      <c r="C28" s="161">
        <v>1</v>
      </c>
      <c r="D28" s="163">
        <v>31714</v>
      </c>
      <c r="E28" s="162">
        <v>1986</v>
      </c>
      <c r="F28" s="161" t="s">
        <v>22</v>
      </c>
      <c r="G28" s="161">
        <v>2</v>
      </c>
      <c r="H28" s="161">
        <v>10</v>
      </c>
      <c r="I28" s="161" t="s">
        <v>32</v>
      </c>
      <c r="J28" s="161">
        <v>30.5</v>
      </c>
    </row>
    <row r="29" spans="1:18" x14ac:dyDescent="0.2">
      <c r="A29" s="161" t="s">
        <v>21</v>
      </c>
      <c r="B29" s="161">
        <v>1674</v>
      </c>
      <c r="C29" s="161">
        <v>1</v>
      </c>
      <c r="D29" s="163">
        <v>31906</v>
      </c>
      <c r="E29" s="162">
        <v>1987</v>
      </c>
      <c r="F29" s="161" t="s">
        <v>22</v>
      </c>
      <c r="G29" s="161">
        <v>2</v>
      </c>
      <c r="H29" s="161">
        <v>10</v>
      </c>
      <c r="I29" s="161" t="s">
        <v>32</v>
      </c>
      <c r="J29" s="161">
        <v>5.2</v>
      </c>
    </row>
    <row r="30" spans="1:18" x14ac:dyDescent="0.2">
      <c r="A30" s="161" t="s">
        <v>21</v>
      </c>
      <c r="B30" s="161">
        <v>1674</v>
      </c>
      <c r="C30" s="161">
        <v>1</v>
      </c>
      <c r="D30" s="163">
        <v>31925</v>
      </c>
      <c r="E30" s="162">
        <v>1987</v>
      </c>
      <c r="F30" s="161" t="s">
        <v>22</v>
      </c>
      <c r="G30" s="161">
        <v>2</v>
      </c>
      <c r="H30" s="161">
        <v>10</v>
      </c>
      <c r="I30" s="161" t="s">
        <v>32</v>
      </c>
      <c r="J30" s="161">
        <v>4.2</v>
      </c>
    </row>
    <row r="31" spans="1:18" x14ac:dyDescent="0.2">
      <c r="A31" s="161" t="s">
        <v>21</v>
      </c>
      <c r="B31" s="161">
        <v>1674</v>
      </c>
      <c r="C31" s="161">
        <v>1</v>
      </c>
      <c r="D31" s="163">
        <v>31937</v>
      </c>
      <c r="E31" s="162">
        <v>1987</v>
      </c>
      <c r="F31" s="161" t="s">
        <v>22</v>
      </c>
      <c r="G31" s="161">
        <v>2</v>
      </c>
      <c r="H31" s="161">
        <v>9</v>
      </c>
      <c r="I31" s="161" t="s">
        <v>32</v>
      </c>
      <c r="J31" s="161">
        <v>5.3</v>
      </c>
    </row>
    <row r="32" spans="1:18" x14ac:dyDescent="0.2">
      <c r="A32" s="161" t="s">
        <v>21</v>
      </c>
      <c r="B32" s="161">
        <v>1674</v>
      </c>
      <c r="C32" s="161">
        <v>1</v>
      </c>
      <c r="D32" s="163">
        <v>31951</v>
      </c>
      <c r="E32" s="162">
        <v>1987</v>
      </c>
      <c r="F32" s="161" t="s">
        <v>22</v>
      </c>
      <c r="G32" s="161">
        <v>2</v>
      </c>
      <c r="H32" s="161">
        <v>10</v>
      </c>
      <c r="I32" s="161" t="s">
        <v>32</v>
      </c>
      <c r="J32" s="161">
        <v>5.9</v>
      </c>
    </row>
    <row r="33" spans="1:10" x14ac:dyDescent="0.2">
      <c r="A33" s="161" t="s">
        <v>21</v>
      </c>
      <c r="B33" s="161">
        <v>1674</v>
      </c>
      <c r="C33" s="161">
        <v>1</v>
      </c>
      <c r="D33" s="163">
        <v>31972</v>
      </c>
      <c r="E33" s="162">
        <v>1987</v>
      </c>
      <c r="F33" s="161" t="s">
        <v>22</v>
      </c>
      <c r="G33" s="161">
        <v>2</v>
      </c>
      <c r="H33" s="161">
        <v>5</v>
      </c>
      <c r="I33" s="161" t="s">
        <v>32</v>
      </c>
      <c r="J33" s="161">
        <v>12</v>
      </c>
    </row>
    <row r="34" spans="1:10" x14ac:dyDescent="0.2">
      <c r="A34" s="161" t="s">
        <v>21</v>
      </c>
      <c r="B34" s="161">
        <v>1674</v>
      </c>
      <c r="C34" s="161">
        <v>1</v>
      </c>
      <c r="D34" s="163">
        <v>31987</v>
      </c>
      <c r="E34" s="162">
        <v>1987</v>
      </c>
      <c r="F34" s="161" t="s">
        <v>22</v>
      </c>
      <c r="G34" s="161">
        <v>2</v>
      </c>
      <c r="H34" s="161">
        <v>7</v>
      </c>
      <c r="I34" s="161" t="s">
        <v>32</v>
      </c>
      <c r="J34" s="161">
        <v>13.5</v>
      </c>
    </row>
    <row r="35" spans="1:10" x14ac:dyDescent="0.2">
      <c r="A35" s="161" t="s">
        <v>21</v>
      </c>
      <c r="B35" s="161">
        <v>1674</v>
      </c>
      <c r="C35" s="161">
        <v>1</v>
      </c>
      <c r="D35" s="163">
        <v>32002</v>
      </c>
      <c r="E35" s="162">
        <v>1987</v>
      </c>
      <c r="F35" s="161" t="s">
        <v>22</v>
      </c>
      <c r="G35" s="161">
        <v>2</v>
      </c>
      <c r="H35" s="161">
        <v>10</v>
      </c>
      <c r="I35" s="161" t="s">
        <v>32</v>
      </c>
      <c r="J35" s="161">
        <v>18.600000000000001</v>
      </c>
    </row>
    <row r="36" spans="1:10" x14ac:dyDescent="0.2">
      <c r="A36" s="161" t="s">
        <v>21</v>
      </c>
      <c r="B36" s="161">
        <v>1674</v>
      </c>
      <c r="C36" s="161">
        <v>1</v>
      </c>
      <c r="D36" s="163">
        <v>32014</v>
      </c>
      <c r="E36" s="162">
        <v>1987</v>
      </c>
      <c r="F36" s="161" t="s">
        <v>22</v>
      </c>
      <c r="G36" s="161">
        <v>2</v>
      </c>
      <c r="H36" s="161">
        <v>10</v>
      </c>
      <c r="I36" s="161" t="s">
        <v>32</v>
      </c>
      <c r="J36" s="161">
        <v>20.100000000000001</v>
      </c>
    </row>
    <row r="37" spans="1:10" x14ac:dyDescent="0.2">
      <c r="A37" s="161" t="s">
        <v>21</v>
      </c>
      <c r="B37" s="161">
        <v>1674</v>
      </c>
      <c r="C37" s="161">
        <v>1</v>
      </c>
      <c r="D37" s="163">
        <v>32035</v>
      </c>
      <c r="E37" s="162">
        <v>1987</v>
      </c>
      <c r="F37" s="161" t="s">
        <v>22</v>
      </c>
      <c r="G37" s="161">
        <v>2</v>
      </c>
      <c r="H37" s="161">
        <v>10</v>
      </c>
      <c r="I37" s="161" t="s">
        <v>32</v>
      </c>
      <c r="J37" s="161">
        <v>10.1</v>
      </c>
    </row>
    <row r="38" spans="1:10" x14ac:dyDescent="0.2">
      <c r="A38" s="161" t="s">
        <v>21</v>
      </c>
      <c r="B38" s="161">
        <v>1674</v>
      </c>
      <c r="C38" s="161">
        <v>1</v>
      </c>
      <c r="D38" s="163">
        <v>32048</v>
      </c>
      <c r="E38" s="162">
        <v>1987</v>
      </c>
      <c r="F38" s="161" t="s">
        <v>22</v>
      </c>
      <c r="G38" s="161">
        <v>2</v>
      </c>
      <c r="H38" s="161">
        <v>10</v>
      </c>
      <c r="I38" s="161" t="s">
        <v>32</v>
      </c>
      <c r="J38" s="161">
        <v>13.4</v>
      </c>
    </row>
    <row r="39" spans="1:10" x14ac:dyDescent="0.2">
      <c r="A39" s="161" t="s">
        <v>21</v>
      </c>
      <c r="B39" s="161">
        <v>1674</v>
      </c>
      <c r="C39" s="161">
        <v>1</v>
      </c>
      <c r="D39" s="163">
        <v>32065</v>
      </c>
      <c r="E39" s="162">
        <v>1987</v>
      </c>
      <c r="F39" s="161" t="s">
        <v>22</v>
      </c>
      <c r="G39" s="161">
        <v>2</v>
      </c>
      <c r="H39" s="161">
        <v>10</v>
      </c>
      <c r="I39" s="161" t="s">
        <v>32</v>
      </c>
      <c r="J39" s="161">
        <v>9.6999999999999993</v>
      </c>
    </row>
    <row r="40" spans="1:10" x14ac:dyDescent="0.2">
      <c r="A40" s="161" t="s">
        <v>21</v>
      </c>
      <c r="B40" s="161">
        <v>1674</v>
      </c>
      <c r="C40" s="161">
        <v>1</v>
      </c>
      <c r="D40" s="163">
        <v>32078</v>
      </c>
      <c r="E40" s="162">
        <v>1987</v>
      </c>
      <c r="F40" s="161" t="s">
        <v>22</v>
      </c>
      <c r="G40" s="161">
        <v>2</v>
      </c>
      <c r="H40" s="161">
        <v>10</v>
      </c>
      <c r="I40" s="161" t="s">
        <v>32</v>
      </c>
      <c r="J40" s="161">
        <v>6.6</v>
      </c>
    </row>
    <row r="41" spans="1:10" x14ac:dyDescent="0.2">
      <c r="A41" s="161" t="s">
        <v>21</v>
      </c>
      <c r="B41" s="161">
        <v>1674</v>
      </c>
      <c r="C41" s="161">
        <v>1</v>
      </c>
      <c r="D41" s="163">
        <v>32275</v>
      </c>
      <c r="E41" s="162">
        <v>1988</v>
      </c>
      <c r="F41" s="161" t="s">
        <v>22</v>
      </c>
      <c r="G41" s="161">
        <v>2</v>
      </c>
      <c r="H41" s="161">
        <v>10</v>
      </c>
      <c r="I41" s="161" t="s">
        <v>32</v>
      </c>
      <c r="J41" s="161">
        <v>2.6</v>
      </c>
    </row>
    <row r="42" spans="1:10" x14ac:dyDescent="0.2">
      <c r="A42" s="161" t="s">
        <v>21</v>
      </c>
      <c r="B42" s="161">
        <v>1674</v>
      </c>
      <c r="C42" s="161">
        <v>1</v>
      </c>
      <c r="D42" s="163">
        <v>32296</v>
      </c>
      <c r="E42" s="162">
        <v>1988</v>
      </c>
      <c r="F42" s="161" t="s">
        <v>22</v>
      </c>
      <c r="G42" s="161">
        <v>2</v>
      </c>
      <c r="H42" s="161">
        <v>10</v>
      </c>
      <c r="I42" s="161" t="s">
        <v>32</v>
      </c>
      <c r="J42" s="161">
        <v>4.5</v>
      </c>
    </row>
    <row r="43" spans="1:10" x14ac:dyDescent="0.2">
      <c r="A43" s="161" t="s">
        <v>21</v>
      </c>
      <c r="B43" s="161">
        <v>1674</v>
      </c>
      <c r="C43" s="161">
        <v>1</v>
      </c>
      <c r="D43" s="163">
        <v>32310</v>
      </c>
      <c r="E43" s="162">
        <v>1988</v>
      </c>
      <c r="F43" s="161" t="s">
        <v>22</v>
      </c>
      <c r="G43" s="161">
        <v>2</v>
      </c>
      <c r="H43" s="161">
        <v>4</v>
      </c>
      <c r="I43" s="161" t="s">
        <v>32</v>
      </c>
      <c r="J43" s="161">
        <v>4.5999999999999996</v>
      </c>
    </row>
    <row r="44" spans="1:10" x14ac:dyDescent="0.2">
      <c r="A44" s="161" t="s">
        <v>21</v>
      </c>
      <c r="B44" s="161">
        <v>1674</v>
      </c>
      <c r="C44" s="161">
        <v>1</v>
      </c>
      <c r="D44" s="163">
        <v>32322</v>
      </c>
      <c r="E44" s="162">
        <v>1988</v>
      </c>
      <c r="F44" s="161" t="s">
        <v>22</v>
      </c>
      <c r="G44" s="161">
        <v>2</v>
      </c>
      <c r="H44" s="161">
        <v>6</v>
      </c>
      <c r="I44" s="161" t="s">
        <v>32</v>
      </c>
      <c r="J44" s="161">
        <v>10.5</v>
      </c>
    </row>
    <row r="45" spans="1:10" x14ac:dyDescent="0.2">
      <c r="A45" s="161" t="s">
        <v>21</v>
      </c>
      <c r="B45" s="161">
        <v>1674</v>
      </c>
      <c r="C45" s="161">
        <v>1</v>
      </c>
      <c r="D45" s="163">
        <v>32357</v>
      </c>
      <c r="E45" s="162">
        <v>1988</v>
      </c>
      <c r="F45" s="161" t="s">
        <v>22</v>
      </c>
      <c r="G45" s="161">
        <v>2</v>
      </c>
      <c r="H45" s="161">
        <v>8</v>
      </c>
      <c r="I45" s="161" t="s">
        <v>32</v>
      </c>
      <c r="J45" s="161">
        <v>11.3</v>
      </c>
    </row>
    <row r="46" spans="1:10" x14ac:dyDescent="0.2">
      <c r="A46" s="161" t="s">
        <v>21</v>
      </c>
      <c r="B46" s="161">
        <v>1674</v>
      </c>
      <c r="C46" s="161">
        <v>1</v>
      </c>
      <c r="D46" s="163">
        <v>32377</v>
      </c>
      <c r="E46" s="162">
        <v>1988</v>
      </c>
      <c r="F46" s="161" t="s">
        <v>22</v>
      </c>
      <c r="G46" s="161">
        <v>2</v>
      </c>
      <c r="H46" s="161">
        <v>0</v>
      </c>
      <c r="I46" s="161" t="s">
        <v>32</v>
      </c>
      <c r="J46" s="161">
        <v>14.9</v>
      </c>
    </row>
    <row r="47" spans="1:10" x14ac:dyDescent="0.2">
      <c r="A47" s="161" t="s">
        <v>21</v>
      </c>
      <c r="B47" s="161">
        <v>1674</v>
      </c>
      <c r="C47" s="161">
        <v>1</v>
      </c>
      <c r="D47" s="163">
        <v>32394</v>
      </c>
      <c r="E47" s="162">
        <v>1988</v>
      </c>
      <c r="F47" s="161" t="s">
        <v>22</v>
      </c>
      <c r="G47" s="161">
        <v>2</v>
      </c>
      <c r="H47" s="161">
        <v>9</v>
      </c>
      <c r="I47" s="161" t="s">
        <v>32</v>
      </c>
      <c r="J47" s="161">
        <v>12</v>
      </c>
    </row>
    <row r="48" spans="1:10" x14ac:dyDescent="0.2">
      <c r="A48" s="161" t="s">
        <v>21</v>
      </c>
      <c r="B48" s="161">
        <v>1674</v>
      </c>
      <c r="C48" s="161">
        <v>1</v>
      </c>
      <c r="D48" s="163">
        <v>32422</v>
      </c>
      <c r="E48" s="162">
        <v>1988</v>
      </c>
      <c r="F48" s="161" t="s">
        <v>22</v>
      </c>
      <c r="G48" s="161">
        <v>2</v>
      </c>
      <c r="H48" s="161">
        <v>8</v>
      </c>
      <c r="I48" s="161" t="s">
        <v>32</v>
      </c>
      <c r="J48" s="161">
        <v>4.8</v>
      </c>
    </row>
    <row r="49" spans="1:10" x14ac:dyDescent="0.2">
      <c r="A49" s="161" t="s">
        <v>21</v>
      </c>
      <c r="B49" s="161">
        <v>1674</v>
      </c>
      <c r="C49" s="161">
        <v>1</v>
      </c>
      <c r="D49" s="163">
        <v>32582</v>
      </c>
      <c r="E49" s="162">
        <v>1989</v>
      </c>
      <c r="F49" s="161" t="s">
        <v>22</v>
      </c>
      <c r="G49" s="161">
        <v>2</v>
      </c>
      <c r="H49" s="161">
        <v>7</v>
      </c>
      <c r="I49" s="161" t="s">
        <v>32</v>
      </c>
      <c r="J49" s="161">
        <v>0.2</v>
      </c>
    </row>
    <row r="50" spans="1:10" x14ac:dyDescent="0.2">
      <c r="A50" s="161" t="s">
        <v>21</v>
      </c>
      <c r="B50" s="161">
        <v>1674</v>
      </c>
      <c r="C50" s="161">
        <v>1</v>
      </c>
      <c r="D50" s="163">
        <v>32646</v>
      </c>
      <c r="E50" s="162">
        <v>1989</v>
      </c>
      <c r="F50" s="161" t="s">
        <v>22</v>
      </c>
      <c r="G50" s="161">
        <v>2</v>
      </c>
      <c r="H50" s="161">
        <v>7</v>
      </c>
      <c r="I50" s="161" t="s">
        <v>32</v>
      </c>
      <c r="J50" s="161">
        <v>3.8</v>
      </c>
    </row>
    <row r="51" spans="1:10" x14ac:dyDescent="0.2">
      <c r="A51" s="161" t="s">
        <v>21</v>
      </c>
      <c r="B51" s="161">
        <v>1674</v>
      </c>
      <c r="C51" s="161">
        <v>1</v>
      </c>
      <c r="D51" s="163">
        <v>32662</v>
      </c>
      <c r="E51" s="162">
        <v>1989</v>
      </c>
      <c r="F51" s="161" t="s">
        <v>22</v>
      </c>
      <c r="G51" s="161">
        <v>2</v>
      </c>
      <c r="H51" s="161">
        <v>9</v>
      </c>
      <c r="I51" s="161" t="s">
        <v>32</v>
      </c>
      <c r="J51" s="161">
        <v>2.2999999999999998</v>
      </c>
    </row>
    <row r="52" spans="1:10" x14ac:dyDescent="0.2">
      <c r="A52" s="161" t="s">
        <v>21</v>
      </c>
      <c r="B52" s="161">
        <v>1674</v>
      </c>
      <c r="C52" s="161">
        <v>1</v>
      </c>
      <c r="D52" s="163">
        <v>32707</v>
      </c>
      <c r="E52" s="162">
        <v>1989</v>
      </c>
      <c r="F52" s="161" t="s">
        <v>22</v>
      </c>
      <c r="G52" s="161">
        <v>2</v>
      </c>
      <c r="H52" s="161">
        <v>3</v>
      </c>
      <c r="I52" s="161" t="s">
        <v>32</v>
      </c>
      <c r="J52" s="161">
        <v>2.9</v>
      </c>
    </row>
    <row r="53" spans="1:10" x14ac:dyDescent="0.2">
      <c r="A53" s="161" t="s">
        <v>21</v>
      </c>
      <c r="B53" s="161">
        <v>1674</v>
      </c>
      <c r="C53" s="161">
        <v>1</v>
      </c>
      <c r="D53" s="163">
        <v>32720</v>
      </c>
      <c r="E53" s="162">
        <v>1989</v>
      </c>
      <c r="F53" s="161" t="s">
        <v>22</v>
      </c>
      <c r="G53" s="161">
        <v>2</v>
      </c>
      <c r="H53" s="161">
        <v>8</v>
      </c>
      <c r="I53" s="161" t="s">
        <v>32</v>
      </c>
      <c r="J53" s="161">
        <v>6.8</v>
      </c>
    </row>
    <row r="54" spans="1:10" x14ac:dyDescent="0.2">
      <c r="A54" s="161" t="s">
        <v>21</v>
      </c>
      <c r="B54" s="161">
        <v>1674</v>
      </c>
      <c r="C54" s="161">
        <v>1</v>
      </c>
      <c r="D54" s="163">
        <v>32734</v>
      </c>
      <c r="E54" s="162">
        <v>1989</v>
      </c>
      <c r="F54" s="161" t="s">
        <v>22</v>
      </c>
      <c r="G54" s="161">
        <v>2</v>
      </c>
      <c r="H54" s="161">
        <v>5</v>
      </c>
      <c r="I54" s="161" t="s">
        <v>32</v>
      </c>
      <c r="J54" s="161">
        <v>4.9000000000000004</v>
      </c>
    </row>
    <row r="55" spans="1:10" x14ac:dyDescent="0.2">
      <c r="A55" s="161" t="s">
        <v>21</v>
      </c>
      <c r="B55" s="161">
        <v>1674</v>
      </c>
      <c r="C55" s="161">
        <v>1</v>
      </c>
      <c r="D55" s="163">
        <v>33021</v>
      </c>
      <c r="E55" s="162">
        <v>1990</v>
      </c>
      <c r="F55" s="161" t="s">
        <v>22</v>
      </c>
      <c r="G55" s="161">
        <v>2</v>
      </c>
      <c r="H55" s="161">
        <v>10</v>
      </c>
      <c r="I55" s="161" t="s">
        <v>32</v>
      </c>
      <c r="J55" s="161">
        <v>4.2</v>
      </c>
    </row>
    <row r="56" spans="1:10" x14ac:dyDescent="0.2">
      <c r="A56" s="161" t="s">
        <v>21</v>
      </c>
      <c r="B56" s="161">
        <v>1674</v>
      </c>
      <c r="C56" s="161">
        <v>1</v>
      </c>
      <c r="D56" s="163">
        <v>33051</v>
      </c>
      <c r="E56" s="162">
        <v>1990</v>
      </c>
      <c r="F56" s="161" t="s">
        <v>22</v>
      </c>
      <c r="G56" s="161">
        <v>2</v>
      </c>
      <c r="H56" s="161">
        <v>5</v>
      </c>
      <c r="I56" s="161" t="s">
        <v>32</v>
      </c>
      <c r="J56" s="161">
        <v>7.5</v>
      </c>
    </row>
    <row r="57" spans="1:10" x14ac:dyDescent="0.2">
      <c r="A57" s="161" t="s">
        <v>21</v>
      </c>
      <c r="B57" s="161">
        <v>1674</v>
      </c>
      <c r="C57" s="161">
        <v>1</v>
      </c>
      <c r="D57" s="163">
        <v>33078</v>
      </c>
      <c r="E57" s="162">
        <v>1990</v>
      </c>
      <c r="F57" s="161" t="s">
        <v>22</v>
      </c>
      <c r="G57" s="161">
        <v>2</v>
      </c>
      <c r="H57" s="161">
        <v>8</v>
      </c>
      <c r="I57" s="161" t="s">
        <v>32</v>
      </c>
      <c r="J57" s="161">
        <v>3.3</v>
      </c>
    </row>
    <row r="58" spans="1:10" x14ac:dyDescent="0.2">
      <c r="A58" s="161" t="s">
        <v>21</v>
      </c>
      <c r="B58" s="161">
        <v>1674</v>
      </c>
      <c r="C58" s="161">
        <v>1</v>
      </c>
      <c r="D58" s="163">
        <v>33106</v>
      </c>
      <c r="E58" s="162">
        <v>1990</v>
      </c>
      <c r="F58" s="161" t="s">
        <v>22</v>
      </c>
      <c r="G58" s="161">
        <v>2</v>
      </c>
      <c r="H58" s="161">
        <v>10</v>
      </c>
      <c r="I58" s="161" t="s">
        <v>32</v>
      </c>
      <c r="J58" s="161">
        <v>14</v>
      </c>
    </row>
    <row r="59" spans="1:10" x14ac:dyDescent="0.2">
      <c r="A59" s="161" t="s">
        <v>21</v>
      </c>
      <c r="B59" s="161">
        <v>1674</v>
      </c>
      <c r="C59" s="161">
        <v>1</v>
      </c>
      <c r="D59" s="163">
        <v>33437</v>
      </c>
      <c r="E59" s="162">
        <v>1991</v>
      </c>
      <c r="F59" s="161" t="s">
        <v>22</v>
      </c>
      <c r="G59" s="161">
        <v>2</v>
      </c>
      <c r="H59" s="161">
        <v>5</v>
      </c>
      <c r="I59" s="161" t="s">
        <v>32</v>
      </c>
      <c r="J59" s="161">
        <v>6.1</v>
      </c>
    </row>
    <row r="60" spans="1:10" x14ac:dyDescent="0.2">
      <c r="A60" s="161" t="s">
        <v>21</v>
      </c>
      <c r="B60" s="161">
        <v>1674</v>
      </c>
      <c r="C60" s="161">
        <v>1</v>
      </c>
      <c r="D60" s="163">
        <v>33470</v>
      </c>
      <c r="E60" s="162">
        <v>1991</v>
      </c>
      <c r="F60" s="161" t="s">
        <v>22</v>
      </c>
      <c r="G60" s="161">
        <v>2</v>
      </c>
      <c r="H60" s="161">
        <v>10</v>
      </c>
      <c r="I60" s="161" t="s">
        <v>32</v>
      </c>
      <c r="J60" s="161">
        <v>9.3000000000000007</v>
      </c>
    </row>
    <row r="61" spans="1:10" x14ac:dyDescent="0.2">
      <c r="A61" s="161" t="s">
        <v>21</v>
      </c>
      <c r="B61" s="161">
        <v>1674</v>
      </c>
      <c r="C61" s="161">
        <v>1</v>
      </c>
      <c r="D61" s="163">
        <v>33752</v>
      </c>
      <c r="E61" s="162">
        <v>1992</v>
      </c>
      <c r="F61" s="161" t="s">
        <v>22</v>
      </c>
      <c r="G61" s="161">
        <v>2</v>
      </c>
      <c r="H61" s="161">
        <v>10</v>
      </c>
      <c r="I61" s="161" t="s">
        <v>32</v>
      </c>
      <c r="J61" s="161">
        <v>2.8</v>
      </c>
    </row>
    <row r="62" spans="1:10" x14ac:dyDescent="0.2">
      <c r="A62" s="161" t="s">
        <v>21</v>
      </c>
      <c r="B62" s="161">
        <v>1674</v>
      </c>
      <c r="C62" s="161">
        <v>1</v>
      </c>
      <c r="D62" s="163">
        <v>33793</v>
      </c>
      <c r="E62" s="162">
        <v>1992</v>
      </c>
      <c r="F62" s="161" t="s">
        <v>22</v>
      </c>
      <c r="G62" s="161">
        <v>2</v>
      </c>
      <c r="H62" s="161">
        <v>10</v>
      </c>
      <c r="I62" s="161" t="s">
        <v>32</v>
      </c>
      <c r="J62" s="161">
        <v>7.1</v>
      </c>
    </row>
    <row r="63" spans="1:10" x14ac:dyDescent="0.2">
      <c r="A63" s="161" t="s">
        <v>21</v>
      </c>
      <c r="B63" s="161">
        <v>1674</v>
      </c>
      <c r="C63" s="161">
        <v>1</v>
      </c>
      <c r="D63" s="163">
        <v>33815</v>
      </c>
      <c r="E63" s="162">
        <v>1992</v>
      </c>
      <c r="F63" s="161" t="s">
        <v>22</v>
      </c>
      <c r="G63" s="161">
        <v>2</v>
      </c>
      <c r="H63" s="161">
        <v>9</v>
      </c>
      <c r="I63" s="161" t="s">
        <v>32</v>
      </c>
      <c r="J63" s="161">
        <v>7.6</v>
      </c>
    </row>
    <row r="64" spans="1:10" x14ac:dyDescent="0.2">
      <c r="A64" s="161" t="s">
        <v>21</v>
      </c>
      <c r="B64" s="161">
        <v>1674</v>
      </c>
      <c r="C64" s="161">
        <v>1</v>
      </c>
      <c r="D64" s="163">
        <v>33829</v>
      </c>
      <c r="E64" s="162">
        <v>1992</v>
      </c>
      <c r="F64" s="161" t="s">
        <v>22</v>
      </c>
      <c r="G64" s="161">
        <v>2</v>
      </c>
      <c r="H64" s="161">
        <v>10</v>
      </c>
      <c r="I64" s="161" t="s">
        <v>32</v>
      </c>
      <c r="J64" s="161">
        <v>6.6</v>
      </c>
    </row>
    <row r="65" spans="1:18" x14ac:dyDescent="0.2">
      <c r="A65" s="161" t="s">
        <v>21</v>
      </c>
      <c r="B65" s="161">
        <v>1674</v>
      </c>
      <c r="C65" s="161">
        <v>1</v>
      </c>
      <c r="D65" s="163">
        <v>34511</v>
      </c>
      <c r="E65" s="162">
        <v>1994</v>
      </c>
      <c r="F65" s="161" t="s">
        <v>22</v>
      </c>
      <c r="G65" s="161">
        <v>2</v>
      </c>
      <c r="H65" s="161">
        <v>10</v>
      </c>
      <c r="I65" s="161" t="s">
        <v>32</v>
      </c>
      <c r="J65" s="161">
        <v>3</v>
      </c>
    </row>
    <row r="66" spans="1:18" x14ac:dyDescent="0.2">
      <c r="A66" s="161" t="s">
        <v>21</v>
      </c>
      <c r="B66" s="161">
        <v>1674</v>
      </c>
      <c r="C66" s="161">
        <v>1</v>
      </c>
      <c r="D66" s="163">
        <v>34573</v>
      </c>
      <c r="E66" s="162">
        <v>1994</v>
      </c>
      <c r="F66" s="161" t="s">
        <v>22</v>
      </c>
      <c r="G66" s="161">
        <v>2</v>
      </c>
      <c r="H66" s="161">
        <v>10</v>
      </c>
      <c r="I66" s="161" t="s">
        <v>32</v>
      </c>
      <c r="J66" s="161">
        <v>7</v>
      </c>
    </row>
    <row r="67" spans="1:18" x14ac:dyDescent="0.2">
      <c r="A67" s="161" t="s">
        <v>21</v>
      </c>
      <c r="B67" s="161">
        <v>1674</v>
      </c>
      <c r="C67" s="161">
        <v>1</v>
      </c>
      <c r="D67" s="163">
        <v>35654</v>
      </c>
      <c r="E67" s="162">
        <v>1997</v>
      </c>
      <c r="F67" s="161" t="s">
        <v>22</v>
      </c>
      <c r="G67" s="161">
        <v>2</v>
      </c>
      <c r="H67" s="161">
        <v>9</v>
      </c>
      <c r="I67" s="161" t="s">
        <v>32</v>
      </c>
      <c r="J67" s="161">
        <v>9.4</v>
      </c>
      <c r="L67" s="161" t="s">
        <v>210</v>
      </c>
    </row>
    <row r="68" spans="1:18" x14ac:dyDescent="0.2">
      <c r="A68" s="161" t="s">
        <v>21</v>
      </c>
      <c r="B68" s="161">
        <v>1674</v>
      </c>
      <c r="C68" s="161">
        <v>1</v>
      </c>
      <c r="D68" s="163">
        <v>36689</v>
      </c>
      <c r="E68" s="162">
        <v>2000</v>
      </c>
      <c r="F68" s="161" t="s">
        <v>22</v>
      </c>
      <c r="G68" s="161">
        <v>2</v>
      </c>
      <c r="H68" s="161">
        <v>10</v>
      </c>
      <c r="I68" s="161" t="s">
        <v>32</v>
      </c>
      <c r="J68" s="161">
        <v>10</v>
      </c>
      <c r="K68" s="161">
        <v>1</v>
      </c>
      <c r="L68" s="161" t="s">
        <v>210</v>
      </c>
    </row>
    <row r="69" spans="1:18" x14ac:dyDescent="0.2">
      <c r="A69" s="161" t="s">
        <v>21</v>
      </c>
      <c r="B69" s="161">
        <v>1674</v>
      </c>
      <c r="C69" s="161">
        <v>1</v>
      </c>
      <c r="D69" s="163">
        <v>36752</v>
      </c>
      <c r="E69" s="162">
        <v>2000</v>
      </c>
      <c r="F69" s="161" t="s">
        <v>22</v>
      </c>
      <c r="G69" s="161">
        <v>2</v>
      </c>
      <c r="H69" s="161">
        <v>10</v>
      </c>
      <c r="I69" s="161" t="s">
        <v>32</v>
      </c>
      <c r="J69" s="161">
        <v>20</v>
      </c>
      <c r="K69" s="161">
        <v>1</v>
      </c>
      <c r="L69" s="161" t="s">
        <v>210</v>
      </c>
    </row>
    <row r="70" spans="1:18" x14ac:dyDescent="0.2">
      <c r="A70" s="161" t="s">
        <v>21</v>
      </c>
      <c r="B70" s="161">
        <v>1674</v>
      </c>
      <c r="C70" s="161">
        <v>1</v>
      </c>
      <c r="D70" s="163">
        <v>37769</v>
      </c>
      <c r="E70" s="162">
        <v>2003</v>
      </c>
      <c r="F70" s="161" t="s">
        <v>22</v>
      </c>
      <c r="G70" s="161">
        <v>2</v>
      </c>
      <c r="H70" s="161">
        <v>1</v>
      </c>
      <c r="I70" s="161" t="s">
        <v>211</v>
      </c>
      <c r="J70" s="161">
        <v>4.2</v>
      </c>
      <c r="K70" s="161">
        <v>1</v>
      </c>
      <c r="L70" s="161" t="s">
        <v>210</v>
      </c>
    </row>
    <row r="71" spans="1:18" x14ac:dyDescent="0.2">
      <c r="A71" s="161" t="s">
        <v>21</v>
      </c>
      <c r="B71" s="161">
        <v>1674</v>
      </c>
      <c r="C71" s="161">
        <v>1</v>
      </c>
      <c r="D71" s="163">
        <v>37769</v>
      </c>
      <c r="E71" s="162">
        <v>2003</v>
      </c>
      <c r="F71" s="161" t="s">
        <v>22</v>
      </c>
      <c r="G71" s="161">
        <v>2</v>
      </c>
      <c r="H71" s="161">
        <v>1</v>
      </c>
      <c r="I71" s="161" t="s">
        <v>211</v>
      </c>
      <c r="J71" s="161">
        <v>3.9</v>
      </c>
      <c r="K71" s="161">
        <v>2</v>
      </c>
      <c r="L71" s="161" t="s">
        <v>210</v>
      </c>
    </row>
    <row r="72" spans="1:18" x14ac:dyDescent="0.2">
      <c r="A72" s="161" t="s">
        <v>21</v>
      </c>
      <c r="B72" s="161">
        <v>1674</v>
      </c>
      <c r="C72" s="161">
        <v>1</v>
      </c>
      <c r="D72" s="163">
        <v>37857</v>
      </c>
      <c r="E72" s="162">
        <v>2003</v>
      </c>
      <c r="F72" s="161" t="s">
        <v>22</v>
      </c>
      <c r="G72" s="161">
        <v>2</v>
      </c>
      <c r="H72" s="161">
        <v>9</v>
      </c>
      <c r="I72" s="161" t="s">
        <v>32</v>
      </c>
      <c r="J72" s="161">
        <v>5.5</v>
      </c>
      <c r="K72" s="161">
        <v>1</v>
      </c>
      <c r="L72" s="161" t="s">
        <v>210</v>
      </c>
    </row>
    <row r="73" spans="1:18" x14ac:dyDescent="0.2">
      <c r="A73" s="161" t="s">
        <v>21</v>
      </c>
      <c r="B73" s="161">
        <v>1674</v>
      </c>
      <c r="C73" s="161">
        <v>1</v>
      </c>
      <c r="D73" s="163">
        <v>38169</v>
      </c>
      <c r="E73" s="162">
        <v>2004</v>
      </c>
      <c r="F73" s="161" t="s">
        <v>22</v>
      </c>
      <c r="G73" s="161">
        <v>2</v>
      </c>
      <c r="H73" s="161">
        <v>3</v>
      </c>
      <c r="I73" s="161" t="s">
        <v>32</v>
      </c>
      <c r="J73" s="161">
        <v>8.8000000000000007</v>
      </c>
      <c r="K73" s="161">
        <v>1</v>
      </c>
      <c r="L73" s="161" t="s">
        <v>210</v>
      </c>
    </row>
    <row r="74" spans="1:18" x14ac:dyDescent="0.2">
      <c r="A74" s="161" t="s">
        <v>21</v>
      </c>
      <c r="B74" s="161">
        <v>1674</v>
      </c>
      <c r="C74" s="161">
        <v>1</v>
      </c>
      <c r="D74" s="163">
        <v>38203</v>
      </c>
      <c r="E74" s="162">
        <v>2004</v>
      </c>
      <c r="F74" s="161" t="s">
        <v>22</v>
      </c>
      <c r="G74" s="161">
        <v>2</v>
      </c>
      <c r="H74" s="161">
        <v>9</v>
      </c>
      <c r="I74" s="161" t="s">
        <v>32</v>
      </c>
      <c r="J74" s="161">
        <v>11</v>
      </c>
      <c r="K74" s="161">
        <v>1</v>
      </c>
      <c r="L74" s="161" t="s">
        <v>210</v>
      </c>
    </row>
    <row r="75" spans="1:18" x14ac:dyDescent="0.2">
      <c r="A75" s="161" t="s">
        <v>21</v>
      </c>
      <c r="B75" s="161">
        <v>1674</v>
      </c>
      <c r="C75" s="161">
        <v>1</v>
      </c>
      <c r="D75" s="163">
        <v>38583</v>
      </c>
      <c r="E75" s="162">
        <v>2005</v>
      </c>
      <c r="F75" s="161" t="s">
        <v>22</v>
      </c>
      <c r="G75" s="161">
        <v>2</v>
      </c>
      <c r="H75" s="161">
        <v>9</v>
      </c>
      <c r="I75" s="161" t="s">
        <v>32</v>
      </c>
      <c r="J75" s="161">
        <v>19</v>
      </c>
      <c r="K75" s="161">
        <v>1</v>
      </c>
      <c r="L75" s="161" t="s">
        <v>215</v>
      </c>
    </row>
    <row r="76" spans="1:18" x14ac:dyDescent="0.2">
      <c r="A76" s="161" t="s">
        <v>21</v>
      </c>
      <c r="B76" s="161">
        <v>1674</v>
      </c>
      <c r="C76" s="161">
        <v>1</v>
      </c>
      <c r="D76" s="163">
        <v>40045</v>
      </c>
      <c r="E76" s="162">
        <v>2009</v>
      </c>
      <c r="F76" s="161" t="s">
        <v>22</v>
      </c>
      <c r="G76" s="161">
        <v>2</v>
      </c>
      <c r="H76" s="161">
        <v>6</v>
      </c>
      <c r="I76" s="161" t="s">
        <v>32</v>
      </c>
      <c r="J76" s="161">
        <v>13</v>
      </c>
      <c r="K76" s="161">
        <v>1</v>
      </c>
      <c r="L76" s="161" t="s">
        <v>215</v>
      </c>
    </row>
    <row r="77" spans="1:18" x14ac:dyDescent="0.2">
      <c r="A77" s="161" t="s">
        <v>21</v>
      </c>
      <c r="B77" s="161">
        <v>1674</v>
      </c>
      <c r="C77" s="161">
        <v>1</v>
      </c>
      <c r="D77" s="163">
        <v>42604</v>
      </c>
      <c r="E77" s="162">
        <v>2016</v>
      </c>
      <c r="F77" s="161" t="s">
        <v>22</v>
      </c>
      <c r="G77" s="161">
        <v>2</v>
      </c>
      <c r="H77" s="161">
        <v>9</v>
      </c>
      <c r="I77" s="161" t="s">
        <v>32</v>
      </c>
      <c r="J77" s="161">
        <v>7.5</v>
      </c>
      <c r="K77" s="161">
        <v>1</v>
      </c>
      <c r="L77" s="161" t="s">
        <v>227</v>
      </c>
    </row>
    <row r="78" spans="1:18" x14ac:dyDescent="0.2">
      <c r="A78" s="161" t="s">
        <v>21</v>
      </c>
      <c r="B78" s="161">
        <v>1674</v>
      </c>
      <c r="C78" s="161">
        <v>1</v>
      </c>
      <c r="D78" s="163">
        <v>42996</v>
      </c>
      <c r="E78" s="162">
        <v>2017</v>
      </c>
      <c r="F78" s="161" t="s">
        <v>22</v>
      </c>
      <c r="G78" s="161">
        <v>2</v>
      </c>
      <c r="H78" s="161">
        <v>6</v>
      </c>
      <c r="I78" s="161" t="s">
        <v>32</v>
      </c>
      <c r="J78" s="161">
        <v>17</v>
      </c>
      <c r="K78" s="161">
        <v>1</v>
      </c>
      <c r="L78" s="161" t="s">
        <v>227</v>
      </c>
    </row>
    <row r="79" spans="1:18" s="32" customFormat="1" x14ac:dyDescent="0.2">
      <c r="A79" s="164" t="s">
        <v>21</v>
      </c>
      <c r="B79" s="164">
        <v>1674</v>
      </c>
      <c r="C79" s="164">
        <v>1</v>
      </c>
      <c r="D79" s="165">
        <v>43334</v>
      </c>
      <c r="E79" s="166">
        <v>2018</v>
      </c>
      <c r="F79" s="164" t="s">
        <v>22</v>
      </c>
      <c r="G79" s="164">
        <v>2</v>
      </c>
      <c r="H79" s="164">
        <v>9</v>
      </c>
      <c r="I79" s="164" t="s">
        <v>32</v>
      </c>
      <c r="J79" s="164">
        <v>6</v>
      </c>
      <c r="K79" s="164">
        <v>1</v>
      </c>
      <c r="L79" s="164" t="s">
        <v>227</v>
      </c>
      <c r="M79" s="164"/>
      <c r="O79"/>
      <c r="P79" s="89"/>
      <c r="Q79"/>
      <c r="R79"/>
    </row>
    <row r="80" spans="1:18" s="32" customFormat="1" x14ac:dyDescent="0.2">
      <c r="A80" s="164" t="s">
        <v>21</v>
      </c>
      <c r="B80" s="164">
        <v>1674</v>
      </c>
      <c r="C80" s="164">
        <v>1</v>
      </c>
      <c r="D80" s="167">
        <v>43637</v>
      </c>
      <c r="E80" s="166">
        <f>YEAR(D80)</f>
        <v>2019</v>
      </c>
      <c r="F80" s="161" t="s">
        <v>246</v>
      </c>
      <c r="G80" s="164"/>
      <c r="H80" s="164">
        <v>7</v>
      </c>
      <c r="I80" s="164" t="s">
        <v>32</v>
      </c>
      <c r="J80" s="164">
        <v>2</v>
      </c>
      <c r="K80" s="164"/>
      <c r="L80" s="164" t="s">
        <v>227</v>
      </c>
      <c r="M80" s="164"/>
      <c r="O80" s="88"/>
      <c r="P80" s="90"/>
    </row>
    <row r="81" spans="1:280" s="32" customFormat="1" x14ac:dyDescent="0.2">
      <c r="A81" s="164" t="s">
        <v>21</v>
      </c>
      <c r="B81" s="164">
        <v>1674</v>
      </c>
      <c r="C81" s="164">
        <v>1</v>
      </c>
      <c r="D81" s="167">
        <v>43651</v>
      </c>
      <c r="E81" s="166">
        <f t="shared" ref="E81:E90" si="0">YEAR(D81)</f>
        <v>2019</v>
      </c>
      <c r="F81" s="161" t="s">
        <v>246</v>
      </c>
      <c r="G81" s="164"/>
      <c r="H81" s="164">
        <v>5</v>
      </c>
      <c r="I81" s="164" t="s">
        <v>32</v>
      </c>
      <c r="J81" s="164">
        <v>7</v>
      </c>
      <c r="K81" s="164"/>
      <c r="L81" s="164" t="s">
        <v>227</v>
      </c>
      <c r="M81" s="164"/>
      <c r="O81" s="88"/>
      <c r="P81" s="90"/>
    </row>
    <row r="82" spans="1:280" s="32" customFormat="1" x14ac:dyDescent="0.2">
      <c r="A82" s="164" t="s">
        <v>21</v>
      </c>
      <c r="B82" s="164">
        <v>1674</v>
      </c>
      <c r="C82" s="164">
        <v>1</v>
      </c>
      <c r="D82" s="167">
        <v>43664</v>
      </c>
      <c r="E82" s="166">
        <f t="shared" si="0"/>
        <v>2019</v>
      </c>
      <c r="F82" s="161" t="s">
        <v>246</v>
      </c>
      <c r="G82" s="164"/>
      <c r="H82" s="164">
        <v>10</v>
      </c>
      <c r="I82" s="164" t="s">
        <v>32</v>
      </c>
      <c r="J82" s="164">
        <v>8</v>
      </c>
      <c r="K82" s="164"/>
      <c r="L82" s="164" t="s">
        <v>227</v>
      </c>
      <c r="M82" s="164"/>
      <c r="O82" s="88"/>
      <c r="P82" s="90"/>
    </row>
    <row r="83" spans="1:280" s="32" customFormat="1" x14ac:dyDescent="0.2">
      <c r="A83" s="164" t="s">
        <v>21</v>
      </c>
      <c r="B83" s="164">
        <v>1674</v>
      </c>
      <c r="C83" s="164">
        <v>1</v>
      </c>
      <c r="D83" s="168">
        <v>43678</v>
      </c>
      <c r="E83" s="166">
        <f t="shared" si="0"/>
        <v>2019</v>
      </c>
      <c r="F83" s="161" t="s">
        <v>246</v>
      </c>
      <c r="G83" s="164"/>
      <c r="H83" s="164">
        <v>6</v>
      </c>
      <c r="I83" s="164" t="s">
        <v>32</v>
      </c>
      <c r="J83" s="164">
        <v>5</v>
      </c>
      <c r="K83" s="164"/>
      <c r="L83" s="164" t="s">
        <v>227</v>
      </c>
      <c r="M83" s="164"/>
      <c r="O83" s="88"/>
      <c r="P83" s="90"/>
    </row>
    <row r="84" spans="1:280" s="32" customFormat="1" x14ac:dyDescent="0.2">
      <c r="A84" s="164" t="s">
        <v>21</v>
      </c>
      <c r="B84" s="164">
        <v>1674</v>
      </c>
      <c r="C84" s="164">
        <v>1</v>
      </c>
      <c r="D84" s="168">
        <v>43691</v>
      </c>
      <c r="E84" s="166">
        <f t="shared" si="0"/>
        <v>2019</v>
      </c>
      <c r="F84" s="161" t="s">
        <v>246</v>
      </c>
      <c r="G84" s="164"/>
      <c r="H84" s="164">
        <v>10</v>
      </c>
      <c r="I84" s="164" t="s">
        <v>32</v>
      </c>
      <c r="J84" s="164">
        <v>10</v>
      </c>
      <c r="K84" s="164"/>
      <c r="L84" s="164" t="s">
        <v>227</v>
      </c>
      <c r="M84" s="164"/>
      <c r="O84" s="88"/>
      <c r="P84" s="90"/>
    </row>
    <row r="85" spans="1:280" s="32" customFormat="1" x14ac:dyDescent="0.2">
      <c r="A85" s="279" t="s">
        <v>21</v>
      </c>
      <c r="B85" s="279">
        <v>1674</v>
      </c>
      <c r="C85" s="279">
        <v>1</v>
      </c>
      <c r="D85" s="272">
        <v>43705</v>
      </c>
      <c r="E85" s="280">
        <f t="shared" si="0"/>
        <v>2019</v>
      </c>
      <c r="F85" s="212" t="s">
        <v>208</v>
      </c>
      <c r="G85" s="279">
        <v>2</v>
      </c>
      <c r="H85" s="279">
        <v>9</v>
      </c>
      <c r="I85" s="279" t="s">
        <v>32</v>
      </c>
      <c r="J85" s="279">
        <v>6</v>
      </c>
      <c r="K85" s="279"/>
      <c r="L85" s="279" t="s">
        <v>227</v>
      </c>
      <c r="M85" s="164"/>
      <c r="O85" s="88"/>
      <c r="P85" s="90"/>
    </row>
    <row r="86" spans="1:280" s="32" customFormat="1" x14ac:dyDescent="0.2">
      <c r="A86" s="164" t="s">
        <v>21</v>
      </c>
      <c r="B86" s="164">
        <v>1674</v>
      </c>
      <c r="C86" s="164">
        <v>1</v>
      </c>
      <c r="D86" s="168">
        <v>43721</v>
      </c>
      <c r="E86" s="166">
        <f t="shared" si="0"/>
        <v>2019</v>
      </c>
      <c r="F86" s="161" t="s">
        <v>246</v>
      </c>
      <c r="G86" s="164"/>
      <c r="H86" s="164">
        <v>10</v>
      </c>
      <c r="I86" s="164" t="s">
        <v>32</v>
      </c>
      <c r="J86" s="164">
        <v>18</v>
      </c>
      <c r="K86" s="164"/>
      <c r="L86" s="164" t="s">
        <v>227</v>
      </c>
      <c r="M86" s="164"/>
      <c r="O86" s="88"/>
      <c r="P86" s="90"/>
    </row>
    <row r="87" spans="1:280" s="32" customFormat="1" x14ac:dyDescent="0.2">
      <c r="A87" s="164" t="s">
        <v>21</v>
      </c>
      <c r="B87" s="164">
        <v>1674</v>
      </c>
      <c r="C87" s="164">
        <v>1</v>
      </c>
      <c r="D87" s="168">
        <v>43733</v>
      </c>
      <c r="E87" s="166">
        <f t="shared" si="0"/>
        <v>2019</v>
      </c>
      <c r="F87" s="161" t="s">
        <v>246</v>
      </c>
      <c r="G87" s="164"/>
      <c r="H87" s="164">
        <v>10</v>
      </c>
      <c r="I87" s="164" t="s">
        <v>32</v>
      </c>
      <c r="J87" s="164">
        <v>21</v>
      </c>
      <c r="K87" s="164"/>
      <c r="L87" s="164" t="s">
        <v>227</v>
      </c>
      <c r="M87" s="164"/>
      <c r="O87" s="88"/>
      <c r="P87" s="90"/>
    </row>
    <row r="88" spans="1:280" s="32" customFormat="1" x14ac:dyDescent="0.2">
      <c r="A88" s="164" t="s">
        <v>21</v>
      </c>
      <c r="B88" s="164">
        <v>1674</v>
      </c>
      <c r="C88" s="164">
        <v>1</v>
      </c>
      <c r="D88" s="168">
        <v>43747</v>
      </c>
      <c r="E88" s="166">
        <f t="shared" si="0"/>
        <v>2019</v>
      </c>
      <c r="F88" s="161" t="s">
        <v>246</v>
      </c>
      <c r="G88" s="164"/>
      <c r="H88" s="164">
        <v>10</v>
      </c>
      <c r="I88" s="164" t="s">
        <v>32</v>
      </c>
      <c r="J88" s="164">
        <v>6</v>
      </c>
      <c r="K88" s="164"/>
      <c r="L88" s="164" t="s">
        <v>227</v>
      </c>
      <c r="M88" s="164"/>
      <c r="O88" s="88"/>
      <c r="P88" s="90"/>
    </row>
    <row r="89" spans="1:280" s="32" customFormat="1" x14ac:dyDescent="0.2">
      <c r="A89" s="164" t="s">
        <v>21</v>
      </c>
      <c r="B89" s="164">
        <v>1674</v>
      </c>
      <c r="C89" s="164">
        <v>1</v>
      </c>
      <c r="D89" s="168">
        <v>43759</v>
      </c>
      <c r="E89" s="166">
        <f t="shared" si="0"/>
        <v>2019</v>
      </c>
      <c r="F89" s="161" t="s">
        <v>246</v>
      </c>
      <c r="G89" s="164"/>
      <c r="H89" s="164">
        <v>10</v>
      </c>
      <c r="I89" s="164" t="s">
        <v>32</v>
      </c>
      <c r="J89" s="164">
        <v>9</v>
      </c>
      <c r="K89" s="164"/>
      <c r="L89" s="164" t="s">
        <v>227</v>
      </c>
      <c r="M89" s="164"/>
      <c r="O89" s="88"/>
      <c r="P89" s="90"/>
    </row>
    <row r="90" spans="1:280" s="74" customFormat="1" x14ac:dyDescent="0.2">
      <c r="A90" s="164" t="s">
        <v>21</v>
      </c>
      <c r="B90" s="164">
        <v>1674</v>
      </c>
      <c r="C90" s="164">
        <v>1</v>
      </c>
      <c r="D90" s="168">
        <v>43771</v>
      </c>
      <c r="E90" s="166">
        <f t="shared" si="0"/>
        <v>2019</v>
      </c>
      <c r="F90" s="161" t="s">
        <v>246</v>
      </c>
      <c r="G90" s="164"/>
      <c r="H90" s="164">
        <v>10</v>
      </c>
      <c r="I90" s="164" t="s">
        <v>32</v>
      </c>
      <c r="J90" s="164">
        <v>10</v>
      </c>
      <c r="K90" s="164"/>
      <c r="L90" s="164" t="s">
        <v>227</v>
      </c>
      <c r="M90" s="164"/>
      <c r="N90" s="32"/>
      <c r="O90" s="223"/>
      <c r="P90" s="90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/>
      <c r="GQ90" s="32"/>
      <c r="GR90" s="32"/>
      <c r="GS90" s="32"/>
      <c r="GT90" s="32"/>
      <c r="GU90" s="32"/>
      <c r="GV90" s="32"/>
      <c r="GW90" s="32"/>
      <c r="GX90" s="32"/>
      <c r="GY90" s="32"/>
      <c r="GZ90" s="3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32"/>
      <c r="HM90" s="32"/>
      <c r="HN90" s="32"/>
      <c r="HO90" s="32"/>
      <c r="HP90" s="32"/>
      <c r="HQ90" s="32"/>
      <c r="HR90" s="32"/>
      <c r="HS90" s="32"/>
      <c r="HT90" s="32"/>
      <c r="HU90" s="32"/>
      <c r="HV90" s="32"/>
      <c r="HW90" s="32"/>
      <c r="HX90" s="32"/>
      <c r="HY90" s="32"/>
      <c r="HZ90" s="32"/>
      <c r="IA90" s="32"/>
      <c r="IB90" s="32"/>
      <c r="IC90" s="32"/>
      <c r="ID90" s="32"/>
      <c r="IE90" s="32"/>
      <c r="IF90" s="32"/>
      <c r="IG90" s="32"/>
      <c r="IH90" s="32"/>
      <c r="II90" s="32"/>
      <c r="IJ90" s="32"/>
      <c r="IK90" s="32"/>
      <c r="IL90" s="32"/>
      <c r="IM90" s="32"/>
      <c r="IN90" s="32"/>
      <c r="IO90" s="32"/>
      <c r="IP90" s="32"/>
      <c r="IQ90" s="32"/>
      <c r="IR90" s="32"/>
      <c r="IS90" s="32"/>
      <c r="IT90" s="32"/>
      <c r="IU90" s="32"/>
      <c r="IV90" s="32"/>
      <c r="IW90" s="32"/>
      <c r="IX90" s="32"/>
      <c r="IY90" s="32"/>
      <c r="IZ90" s="32"/>
      <c r="JA90" s="32"/>
      <c r="JB90" s="32"/>
      <c r="JC90" s="32"/>
      <c r="JD90" s="32"/>
      <c r="JE90" s="32"/>
      <c r="JF90" s="32"/>
      <c r="JG90" s="32"/>
      <c r="JH90" s="32"/>
      <c r="JI90" s="32"/>
      <c r="JJ90" s="32"/>
      <c r="JK90" s="32"/>
      <c r="JL90" s="32"/>
      <c r="JM90" s="32"/>
      <c r="JN90" s="32"/>
      <c r="JO90" s="32"/>
      <c r="JP90" s="32"/>
      <c r="JQ90" s="32"/>
      <c r="JR90" s="32"/>
      <c r="JS90" s="32"/>
      <c r="JT90" s="32"/>
    </row>
    <row r="91" spans="1:280" x14ac:dyDescent="0.2">
      <c r="A91" s="164" t="s">
        <v>21</v>
      </c>
      <c r="B91" s="164">
        <v>1674</v>
      </c>
      <c r="C91" s="164">
        <v>1</v>
      </c>
      <c r="D91" s="168">
        <v>43940</v>
      </c>
      <c r="E91" s="162">
        <v>2020</v>
      </c>
      <c r="F91" s="161" t="s">
        <v>246</v>
      </c>
      <c r="H91" s="161">
        <v>10</v>
      </c>
      <c r="I91" s="164" t="s">
        <v>32</v>
      </c>
      <c r="J91" s="161">
        <v>1</v>
      </c>
      <c r="L91" s="161" t="s">
        <v>227</v>
      </c>
      <c r="M91" s="164"/>
      <c r="N91" s="32"/>
      <c r="O91" s="32"/>
      <c r="P91" s="90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32"/>
      <c r="HM91" s="32"/>
      <c r="HN91" s="32"/>
      <c r="HO91" s="32"/>
      <c r="HP91" s="32"/>
      <c r="HQ91" s="32"/>
      <c r="HR91" s="32"/>
      <c r="HS91" s="32"/>
      <c r="HT91" s="32"/>
      <c r="HU91" s="32"/>
      <c r="HV91" s="32"/>
      <c r="HW91" s="32"/>
      <c r="HX91" s="32"/>
      <c r="HY91" s="32"/>
      <c r="HZ91" s="32"/>
      <c r="IA91" s="32"/>
      <c r="IB91" s="32"/>
      <c r="IC91" s="32"/>
      <c r="ID91" s="32"/>
      <c r="IE91" s="32"/>
      <c r="IF91" s="32"/>
      <c r="IG91" s="32"/>
      <c r="IH91" s="32"/>
      <c r="II91" s="32"/>
      <c r="IJ91" s="32"/>
      <c r="IK91" s="32"/>
      <c r="IL91" s="32"/>
      <c r="IM91" s="32"/>
      <c r="IN91" s="32"/>
      <c r="IO91" s="32"/>
      <c r="IP91" s="32"/>
      <c r="IQ91" s="32"/>
      <c r="IR91" s="32"/>
      <c r="IS91" s="32"/>
      <c r="IT91" s="32"/>
      <c r="IU91" s="32"/>
      <c r="IV91" s="32"/>
      <c r="IW91" s="32"/>
      <c r="IX91" s="32"/>
      <c r="IY91" s="32"/>
      <c r="IZ91" s="32"/>
      <c r="JA91" s="32"/>
      <c r="JB91" s="32"/>
      <c r="JC91" s="32"/>
      <c r="JD91" s="32"/>
      <c r="JE91" s="32"/>
      <c r="JF91" s="32"/>
      <c r="JG91" s="32"/>
      <c r="JH91" s="32"/>
      <c r="JI91" s="32"/>
      <c r="JJ91" s="32"/>
      <c r="JK91" s="32"/>
      <c r="JL91" s="32"/>
      <c r="JM91" s="32"/>
      <c r="JN91" s="32"/>
      <c r="JO91" s="32"/>
      <c r="JP91" s="32"/>
      <c r="JQ91" s="32"/>
      <c r="JR91" s="32"/>
      <c r="JS91" s="32"/>
      <c r="JT91" s="32"/>
    </row>
    <row r="92" spans="1:280" x14ac:dyDescent="0.2">
      <c r="A92" s="164" t="s">
        <v>21</v>
      </c>
      <c r="B92" s="164">
        <v>1674</v>
      </c>
      <c r="C92" s="164">
        <v>1</v>
      </c>
      <c r="D92" s="168">
        <v>43958</v>
      </c>
      <c r="E92" s="162">
        <v>2020</v>
      </c>
      <c r="F92" s="161" t="s">
        <v>246</v>
      </c>
      <c r="H92" s="161">
        <v>10</v>
      </c>
      <c r="I92" s="164" t="s">
        <v>32</v>
      </c>
      <c r="J92" s="161">
        <v>4</v>
      </c>
      <c r="L92" s="161" t="s">
        <v>227</v>
      </c>
      <c r="M92" s="164"/>
      <c r="N92" s="32"/>
      <c r="O92" s="32"/>
      <c r="P92" s="90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32"/>
      <c r="HM92" s="32"/>
      <c r="HN92" s="32"/>
      <c r="HO92" s="32"/>
      <c r="HP92" s="32"/>
      <c r="HQ92" s="32"/>
      <c r="HR92" s="32"/>
      <c r="HS92" s="32"/>
      <c r="HT92" s="32"/>
      <c r="HU92" s="32"/>
      <c r="HV92" s="32"/>
      <c r="HW92" s="32"/>
      <c r="HX92" s="32"/>
      <c r="HY92" s="32"/>
      <c r="HZ92" s="32"/>
      <c r="IA92" s="32"/>
      <c r="IB92" s="32"/>
      <c r="IC92" s="32"/>
      <c r="ID92" s="32"/>
      <c r="IE92" s="32"/>
      <c r="IF92" s="32"/>
      <c r="IG92" s="32"/>
      <c r="IH92" s="32"/>
      <c r="II92" s="32"/>
      <c r="IJ92" s="32"/>
      <c r="IK92" s="32"/>
      <c r="IL92" s="32"/>
      <c r="IM92" s="32"/>
      <c r="IN92" s="32"/>
      <c r="IO92" s="32"/>
      <c r="IP92" s="32"/>
      <c r="IQ92" s="32"/>
      <c r="IR92" s="32"/>
      <c r="IS92" s="32"/>
      <c r="IT92" s="32"/>
      <c r="IU92" s="32"/>
      <c r="IV92" s="32"/>
      <c r="IW92" s="32"/>
      <c r="IX92" s="32"/>
      <c r="IY92" s="32"/>
      <c r="IZ92" s="32"/>
      <c r="JA92" s="32"/>
      <c r="JB92" s="32"/>
      <c r="JC92" s="32"/>
      <c r="JD92" s="32"/>
      <c r="JE92" s="32"/>
      <c r="JF92" s="32"/>
      <c r="JG92" s="32"/>
      <c r="JH92" s="32"/>
      <c r="JI92" s="32"/>
      <c r="JJ92" s="32"/>
      <c r="JK92" s="32"/>
      <c r="JL92" s="32"/>
      <c r="JM92" s="32"/>
      <c r="JN92" s="32"/>
      <c r="JO92" s="32"/>
      <c r="JP92" s="32"/>
      <c r="JQ92" s="32"/>
      <c r="JR92" s="32"/>
      <c r="JS92" s="32"/>
      <c r="JT92" s="32"/>
    </row>
    <row r="93" spans="1:280" x14ac:dyDescent="0.2">
      <c r="A93" s="164" t="s">
        <v>21</v>
      </c>
      <c r="B93" s="164">
        <v>1674</v>
      </c>
      <c r="C93" s="164">
        <v>1</v>
      </c>
      <c r="D93" s="168">
        <v>43971</v>
      </c>
      <c r="E93" s="162">
        <v>2020</v>
      </c>
      <c r="F93" s="161" t="s">
        <v>246</v>
      </c>
      <c r="H93" s="161">
        <v>10</v>
      </c>
      <c r="I93" s="164" t="s">
        <v>32</v>
      </c>
      <c r="J93" s="161">
        <v>3</v>
      </c>
      <c r="L93" s="164" t="s">
        <v>227</v>
      </c>
      <c r="M93" s="164"/>
      <c r="N93" s="32"/>
      <c r="O93" s="32"/>
      <c r="P93" s="90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32"/>
      <c r="HM93" s="32"/>
      <c r="HN93" s="32"/>
      <c r="HO93" s="32"/>
      <c r="HP93" s="32"/>
      <c r="HQ93" s="32"/>
      <c r="HR93" s="32"/>
      <c r="HS93" s="32"/>
      <c r="HT93" s="32"/>
      <c r="HU93" s="32"/>
      <c r="HV93" s="32"/>
      <c r="HW93" s="32"/>
      <c r="HX93" s="32"/>
      <c r="HY93" s="32"/>
      <c r="HZ93" s="32"/>
      <c r="IA93" s="32"/>
      <c r="IB93" s="32"/>
      <c r="IC93" s="32"/>
      <c r="ID93" s="32"/>
      <c r="IE93" s="32"/>
      <c r="IF93" s="32"/>
      <c r="IG93" s="32"/>
      <c r="IH93" s="32"/>
      <c r="II93" s="32"/>
      <c r="IJ93" s="32"/>
      <c r="IK93" s="32"/>
      <c r="IL93" s="32"/>
      <c r="IM93" s="32"/>
      <c r="IN93" s="32"/>
      <c r="IO93" s="32"/>
      <c r="IP93" s="32"/>
      <c r="IQ93" s="32"/>
      <c r="IR93" s="32"/>
      <c r="IS93" s="32"/>
      <c r="IT93" s="32"/>
      <c r="IU93" s="32"/>
      <c r="IV93" s="32"/>
      <c r="IW93" s="32"/>
      <c r="IX93" s="32"/>
      <c r="IY93" s="32"/>
      <c r="IZ93" s="32"/>
      <c r="JA93" s="32"/>
      <c r="JB93" s="32"/>
      <c r="JC93" s="32"/>
      <c r="JD93" s="32"/>
      <c r="JE93" s="32"/>
      <c r="JF93" s="32"/>
      <c r="JG93" s="32"/>
      <c r="JH93" s="32"/>
      <c r="JI93" s="32"/>
      <c r="JJ93" s="32"/>
      <c r="JK93" s="32"/>
      <c r="JL93" s="32"/>
      <c r="JM93" s="32"/>
      <c r="JN93" s="32"/>
      <c r="JO93" s="32"/>
      <c r="JP93" s="32"/>
      <c r="JQ93" s="32"/>
      <c r="JR93" s="32"/>
      <c r="JS93" s="32"/>
      <c r="JT93" s="32"/>
    </row>
    <row r="94" spans="1:280" x14ac:dyDescent="0.2">
      <c r="A94" s="164" t="s">
        <v>21</v>
      </c>
      <c r="B94" s="164">
        <v>1674</v>
      </c>
      <c r="C94" s="164">
        <v>1</v>
      </c>
      <c r="D94" s="168">
        <v>43985</v>
      </c>
      <c r="E94" s="162">
        <v>2020</v>
      </c>
      <c r="F94" s="161" t="s">
        <v>246</v>
      </c>
      <c r="H94" s="161">
        <v>10</v>
      </c>
      <c r="I94" s="164" t="s">
        <v>32</v>
      </c>
      <c r="J94" s="161">
        <v>4</v>
      </c>
      <c r="L94" s="164" t="s">
        <v>227</v>
      </c>
      <c r="M94" s="164"/>
      <c r="N94" s="32"/>
      <c r="O94" s="32"/>
      <c r="P94" s="90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32"/>
      <c r="GA94" s="32"/>
      <c r="GB94" s="32"/>
      <c r="GC94" s="32"/>
      <c r="GD94" s="32"/>
      <c r="GE94" s="32"/>
      <c r="GF94" s="32"/>
      <c r="GG94" s="32"/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32"/>
      <c r="HM94" s="32"/>
      <c r="HN94" s="32"/>
      <c r="HO94" s="32"/>
      <c r="HP94" s="32"/>
      <c r="HQ94" s="32"/>
      <c r="HR94" s="32"/>
      <c r="HS94" s="32"/>
      <c r="HT94" s="32"/>
      <c r="HU94" s="32"/>
      <c r="HV94" s="32"/>
      <c r="HW94" s="32"/>
      <c r="HX94" s="32"/>
      <c r="HY94" s="32"/>
      <c r="HZ94" s="32"/>
      <c r="IA94" s="32"/>
      <c r="IB94" s="32"/>
      <c r="IC94" s="32"/>
      <c r="ID94" s="32"/>
      <c r="IE94" s="32"/>
      <c r="IF94" s="32"/>
      <c r="IG94" s="32"/>
      <c r="IH94" s="32"/>
      <c r="II94" s="32"/>
      <c r="IJ94" s="32"/>
      <c r="IK94" s="32"/>
      <c r="IL94" s="32"/>
      <c r="IM94" s="32"/>
      <c r="IN94" s="32"/>
      <c r="IO94" s="32"/>
      <c r="IP94" s="32"/>
      <c r="IQ94" s="32"/>
      <c r="IR94" s="32"/>
      <c r="IS94" s="32"/>
      <c r="IT94" s="32"/>
      <c r="IU94" s="32"/>
      <c r="IV94" s="32"/>
      <c r="IW94" s="32"/>
      <c r="IX94" s="32"/>
      <c r="IY94" s="32"/>
      <c r="IZ94" s="32"/>
      <c r="JA94" s="32"/>
      <c r="JB94" s="32"/>
      <c r="JC94" s="32"/>
      <c r="JD94" s="32"/>
      <c r="JE94" s="32"/>
      <c r="JF94" s="32"/>
      <c r="JG94" s="32"/>
      <c r="JH94" s="32"/>
      <c r="JI94" s="32"/>
      <c r="JJ94" s="32"/>
      <c r="JK94" s="32"/>
      <c r="JL94" s="32"/>
      <c r="JM94" s="32"/>
      <c r="JN94" s="32"/>
      <c r="JO94" s="32"/>
      <c r="JP94" s="32"/>
      <c r="JQ94" s="32"/>
      <c r="JR94" s="32"/>
      <c r="JS94" s="32"/>
      <c r="JT94" s="32"/>
    </row>
    <row r="95" spans="1:280" x14ac:dyDescent="0.2">
      <c r="A95" s="164" t="s">
        <v>21</v>
      </c>
      <c r="B95" s="164">
        <v>1674</v>
      </c>
      <c r="C95" s="164">
        <v>1</v>
      </c>
      <c r="D95" s="168">
        <v>44001</v>
      </c>
      <c r="E95" s="162">
        <v>2020</v>
      </c>
      <c r="F95" s="161" t="s">
        <v>246</v>
      </c>
      <c r="H95" s="161">
        <v>5</v>
      </c>
      <c r="I95" s="164" t="s">
        <v>32</v>
      </c>
      <c r="J95" s="161">
        <v>4</v>
      </c>
      <c r="L95" s="164" t="s">
        <v>227</v>
      </c>
      <c r="N95" s="32"/>
      <c r="O95" s="32"/>
      <c r="P95" s="90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  <c r="GW95" s="32"/>
      <c r="GX95" s="32"/>
      <c r="GY95" s="32"/>
      <c r="GZ95" s="3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32"/>
      <c r="HM95" s="32"/>
      <c r="HN95" s="32"/>
      <c r="HO95" s="32"/>
      <c r="HP95" s="32"/>
      <c r="HQ95" s="32"/>
      <c r="HR95" s="32"/>
      <c r="HS95" s="32"/>
      <c r="HT95" s="32"/>
      <c r="HU95" s="32"/>
      <c r="HV95" s="32"/>
      <c r="HW95" s="32"/>
      <c r="HX95" s="32"/>
      <c r="HY95" s="32"/>
      <c r="HZ95" s="32"/>
      <c r="IA95" s="32"/>
      <c r="IB95" s="32"/>
      <c r="IC95" s="32"/>
      <c r="ID95" s="32"/>
      <c r="IE95" s="32"/>
      <c r="IF95" s="32"/>
      <c r="IG95" s="32"/>
      <c r="IH95" s="32"/>
      <c r="II95" s="32"/>
      <c r="IJ95" s="32"/>
      <c r="IK95" s="32"/>
      <c r="IL95" s="32"/>
      <c r="IM95" s="32"/>
      <c r="IN95" s="32"/>
      <c r="IO95" s="32"/>
      <c r="IP95" s="32"/>
      <c r="IQ95" s="32"/>
      <c r="IR95" s="32"/>
      <c r="IS95" s="32"/>
      <c r="IT95" s="32"/>
      <c r="IU95" s="32"/>
      <c r="IV95" s="32"/>
      <c r="IW95" s="32"/>
      <c r="IX95" s="32"/>
      <c r="IY95" s="32"/>
      <c r="IZ95" s="32"/>
      <c r="JA95" s="32"/>
      <c r="JB95" s="32"/>
      <c r="JC95" s="32"/>
      <c r="JD95" s="32"/>
      <c r="JE95" s="32"/>
      <c r="JF95" s="32"/>
      <c r="JG95" s="32"/>
      <c r="JH95" s="32"/>
      <c r="JI95" s="32"/>
      <c r="JJ95" s="32"/>
      <c r="JK95" s="32"/>
      <c r="JL95" s="32"/>
      <c r="JM95" s="32"/>
      <c r="JN95" s="32"/>
      <c r="JO95" s="32"/>
      <c r="JP95" s="32"/>
      <c r="JQ95" s="32"/>
      <c r="JR95" s="32"/>
      <c r="JS95" s="32"/>
      <c r="JT95" s="32"/>
    </row>
    <row r="96" spans="1:280" x14ac:dyDescent="0.2">
      <c r="A96" s="164" t="s">
        <v>21</v>
      </c>
      <c r="B96" s="164">
        <v>1674</v>
      </c>
      <c r="C96" s="164">
        <v>1</v>
      </c>
      <c r="D96" s="168">
        <v>44013</v>
      </c>
      <c r="E96" s="162">
        <v>2020</v>
      </c>
      <c r="F96" s="161" t="s">
        <v>246</v>
      </c>
      <c r="H96" s="161">
        <v>6</v>
      </c>
      <c r="I96" s="164" t="s">
        <v>32</v>
      </c>
      <c r="J96" s="161">
        <v>6</v>
      </c>
      <c r="L96" s="164" t="s">
        <v>227</v>
      </c>
      <c r="N96" s="32"/>
      <c r="O96" s="32"/>
      <c r="P96" s="243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32"/>
      <c r="HM96" s="32"/>
      <c r="HN96" s="32"/>
      <c r="HO96" s="32"/>
      <c r="HP96" s="32"/>
      <c r="HQ96" s="32"/>
      <c r="HR96" s="32"/>
      <c r="HS96" s="32"/>
      <c r="HT96" s="32"/>
      <c r="HU96" s="32"/>
      <c r="HV96" s="32"/>
      <c r="HW96" s="32"/>
      <c r="HX96" s="32"/>
      <c r="HY96" s="32"/>
      <c r="HZ96" s="32"/>
      <c r="IA96" s="32"/>
      <c r="IB96" s="32"/>
      <c r="IC96" s="32"/>
      <c r="ID96" s="32"/>
      <c r="IE96" s="32"/>
      <c r="IF96" s="32"/>
      <c r="IG96" s="32"/>
      <c r="IH96" s="32"/>
      <c r="II96" s="32"/>
      <c r="IJ96" s="32"/>
      <c r="IK96" s="32"/>
      <c r="IL96" s="32"/>
      <c r="IM96" s="32"/>
      <c r="IN96" s="32"/>
      <c r="IO96" s="32"/>
      <c r="IP96" s="32"/>
      <c r="IQ96" s="32"/>
      <c r="IR96" s="32"/>
      <c r="IS96" s="32"/>
      <c r="IT96" s="32"/>
      <c r="IU96" s="32"/>
      <c r="IV96" s="32"/>
      <c r="IW96" s="32"/>
      <c r="IX96" s="32"/>
      <c r="IY96" s="32"/>
      <c r="IZ96" s="32"/>
      <c r="JA96" s="32"/>
      <c r="JB96" s="32"/>
      <c r="JC96" s="32"/>
      <c r="JD96" s="32"/>
      <c r="JE96" s="32"/>
      <c r="JF96" s="32"/>
      <c r="JG96" s="32"/>
      <c r="JH96" s="32"/>
      <c r="JI96" s="32"/>
      <c r="JJ96" s="32"/>
      <c r="JK96" s="32"/>
      <c r="JL96" s="32"/>
      <c r="JM96" s="32"/>
      <c r="JN96" s="32"/>
      <c r="JO96" s="32"/>
      <c r="JP96" s="32"/>
      <c r="JQ96" s="32"/>
      <c r="JR96" s="32"/>
      <c r="JS96" s="32"/>
      <c r="JT96" s="32"/>
    </row>
    <row r="97" spans="1:280" x14ac:dyDescent="0.2">
      <c r="A97" s="164" t="s">
        <v>21</v>
      </c>
      <c r="B97" s="164">
        <v>1674</v>
      </c>
      <c r="C97" s="164">
        <v>1</v>
      </c>
      <c r="D97" s="168">
        <v>44028</v>
      </c>
      <c r="E97" s="162">
        <v>2020</v>
      </c>
      <c r="F97" s="161" t="s">
        <v>246</v>
      </c>
      <c r="H97" s="161">
        <v>6</v>
      </c>
      <c r="I97" s="164" t="s">
        <v>32</v>
      </c>
      <c r="J97" s="161">
        <v>4</v>
      </c>
      <c r="L97" s="164" t="s">
        <v>227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  <c r="HT97" s="32"/>
      <c r="HU97" s="32"/>
      <c r="HV97" s="32"/>
      <c r="HW97" s="32"/>
      <c r="HX97" s="32"/>
      <c r="HY97" s="32"/>
      <c r="HZ97" s="32"/>
      <c r="IA97" s="32"/>
      <c r="IB97" s="32"/>
      <c r="IC97" s="32"/>
      <c r="ID97" s="32"/>
      <c r="IE97" s="32"/>
      <c r="IF97" s="32"/>
      <c r="IG97" s="32"/>
      <c r="IH97" s="32"/>
      <c r="II97" s="32"/>
      <c r="IJ97" s="32"/>
      <c r="IK97" s="32"/>
      <c r="IL97" s="32"/>
      <c r="IM97" s="32"/>
      <c r="IN97" s="32"/>
      <c r="IO97" s="32"/>
      <c r="IP97" s="32"/>
      <c r="IQ97" s="32"/>
      <c r="IR97" s="32"/>
      <c r="IS97" s="32"/>
      <c r="IT97" s="32"/>
      <c r="IU97" s="32"/>
      <c r="IV97" s="32"/>
      <c r="IW97" s="32"/>
      <c r="IX97" s="32"/>
      <c r="IY97" s="32"/>
      <c r="IZ97" s="32"/>
      <c r="JA97" s="32"/>
      <c r="JB97" s="32"/>
      <c r="JC97" s="32"/>
      <c r="JD97" s="32"/>
      <c r="JE97" s="32"/>
      <c r="JF97" s="32"/>
      <c r="JG97" s="32"/>
      <c r="JH97" s="32"/>
      <c r="JI97" s="32"/>
      <c r="JJ97" s="32"/>
      <c r="JK97" s="32"/>
      <c r="JL97" s="32"/>
      <c r="JM97" s="32"/>
      <c r="JN97" s="32"/>
      <c r="JO97" s="32"/>
      <c r="JP97" s="32"/>
      <c r="JQ97" s="32"/>
      <c r="JR97" s="32"/>
      <c r="JS97" s="32"/>
      <c r="JT97" s="32"/>
    </row>
    <row r="98" spans="1:280" x14ac:dyDescent="0.2">
      <c r="A98" s="164" t="s">
        <v>21</v>
      </c>
      <c r="B98" s="164">
        <v>1674</v>
      </c>
      <c r="C98" s="164">
        <v>1</v>
      </c>
      <c r="D98" s="168">
        <v>44041</v>
      </c>
      <c r="E98" s="162">
        <v>2020</v>
      </c>
      <c r="F98" s="161" t="s">
        <v>246</v>
      </c>
      <c r="H98" s="161">
        <v>6</v>
      </c>
      <c r="I98" s="164" t="s">
        <v>32</v>
      </c>
      <c r="J98" s="161">
        <v>5</v>
      </c>
      <c r="L98" s="164" t="s">
        <v>227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32"/>
      <c r="HM98" s="32"/>
      <c r="HN98" s="32"/>
      <c r="HO98" s="32"/>
      <c r="HP98" s="32"/>
      <c r="HQ98" s="32"/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2"/>
      <c r="ID98" s="32"/>
      <c r="IE98" s="32"/>
      <c r="IF98" s="32"/>
      <c r="IG98" s="32"/>
      <c r="IH98" s="32"/>
      <c r="II98" s="32"/>
      <c r="IJ98" s="32"/>
      <c r="IK98" s="32"/>
      <c r="IL98" s="32"/>
      <c r="IM98" s="32"/>
      <c r="IN98" s="32"/>
      <c r="IO98" s="32"/>
      <c r="IP98" s="32"/>
      <c r="IQ98" s="32"/>
      <c r="IR98" s="32"/>
      <c r="IS98" s="32"/>
      <c r="IT98" s="32"/>
      <c r="IU98" s="32"/>
      <c r="IV98" s="32"/>
      <c r="IW98" s="32"/>
      <c r="IX98" s="32"/>
      <c r="IY98" s="32"/>
      <c r="IZ98" s="32"/>
      <c r="JA98" s="32"/>
      <c r="JB98" s="32"/>
      <c r="JC98" s="32"/>
      <c r="JD98" s="32"/>
      <c r="JE98" s="32"/>
      <c r="JF98" s="32"/>
      <c r="JG98" s="32"/>
      <c r="JH98" s="32"/>
      <c r="JI98" s="32"/>
      <c r="JJ98" s="32"/>
      <c r="JK98" s="32"/>
      <c r="JL98" s="32"/>
      <c r="JM98" s="32"/>
      <c r="JN98" s="32"/>
      <c r="JO98" s="32"/>
      <c r="JP98" s="32"/>
      <c r="JQ98" s="32"/>
      <c r="JR98" s="32"/>
      <c r="JS98" s="32"/>
      <c r="JT98" s="32"/>
    </row>
    <row r="99" spans="1:280" x14ac:dyDescent="0.2">
      <c r="A99" s="164" t="s">
        <v>21</v>
      </c>
      <c r="B99" s="164">
        <v>1674</v>
      </c>
      <c r="C99" s="164">
        <v>1</v>
      </c>
      <c r="D99" s="168">
        <v>44056</v>
      </c>
      <c r="E99" s="162">
        <v>2020</v>
      </c>
      <c r="F99" s="161" t="s">
        <v>246</v>
      </c>
      <c r="G99" s="164"/>
      <c r="H99" s="164">
        <v>8</v>
      </c>
      <c r="I99" s="164" t="s">
        <v>32</v>
      </c>
      <c r="J99" s="164">
        <v>5</v>
      </c>
      <c r="K99" s="164"/>
      <c r="L99" s="164" t="s">
        <v>227</v>
      </c>
      <c r="M99" s="164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32"/>
      <c r="HM99" s="32"/>
      <c r="HN99" s="32"/>
      <c r="HO99" s="32"/>
      <c r="HP99" s="32"/>
      <c r="HQ99" s="32"/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32"/>
      <c r="IE99" s="32"/>
      <c r="IF99" s="32"/>
      <c r="IG99" s="32"/>
      <c r="IH99" s="32"/>
      <c r="II99" s="32"/>
      <c r="IJ99" s="32"/>
      <c r="IK99" s="32"/>
      <c r="IL99" s="32"/>
      <c r="IM99" s="32"/>
      <c r="IN99" s="32"/>
      <c r="IO99" s="32"/>
      <c r="IP99" s="32"/>
      <c r="IQ99" s="32"/>
      <c r="IR99" s="32"/>
      <c r="IS99" s="32"/>
      <c r="IT99" s="32"/>
      <c r="IU99" s="32"/>
      <c r="IV99" s="32"/>
      <c r="IW99" s="32"/>
      <c r="IX99" s="32"/>
      <c r="IY99" s="32"/>
      <c r="IZ99" s="32"/>
      <c r="JA99" s="32"/>
      <c r="JB99" s="32"/>
      <c r="JC99" s="32"/>
      <c r="JD99" s="32"/>
      <c r="JE99" s="32"/>
      <c r="JF99" s="32"/>
      <c r="JG99" s="32"/>
      <c r="JH99" s="32"/>
      <c r="JI99" s="32"/>
      <c r="JJ99" s="32"/>
      <c r="JK99" s="32"/>
      <c r="JL99" s="32"/>
      <c r="JM99" s="32"/>
      <c r="JN99" s="32"/>
      <c r="JO99" s="32"/>
      <c r="JP99" s="32"/>
      <c r="JQ99" s="32"/>
      <c r="JR99" s="32"/>
      <c r="JS99" s="32"/>
      <c r="JT99" s="32"/>
    </row>
    <row r="100" spans="1:280" x14ac:dyDescent="0.2">
      <c r="A100" s="164" t="s">
        <v>21</v>
      </c>
      <c r="B100" s="164">
        <v>1674</v>
      </c>
      <c r="C100" s="164">
        <v>1</v>
      </c>
      <c r="D100" s="168">
        <v>44067</v>
      </c>
      <c r="E100" s="162">
        <v>2020</v>
      </c>
      <c r="F100" s="161" t="s">
        <v>246</v>
      </c>
      <c r="G100" s="164"/>
      <c r="H100" s="164">
        <v>9</v>
      </c>
      <c r="I100" s="164" t="s">
        <v>32</v>
      </c>
      <c r="J100" s="164">
        <v>5</v>
      </c>
      <c r="K100" s="164"/>
      <c r="L100" s="164" t="s">
        <v>227</v>
      </c>
      <c r="M100" s="164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32"/>
      <c r="HM100" s="32"/>
      <c r="HN100" s="32"/>
      <c r="HO100" s="32"/>
      <c r="HP100" s="32"/>
      <c r="HQ100" s="32"/>
      <c r="HR100" s="32"/>
      <c r="HS100" s="32"/>
      <c r="HT100" s="32"/>
      <c r="HU100" s="32"/>
      <c r="HV100" s="32"/>
      <c r="HW100" s="32"/>
      <c r="HX100" s="32"/>
      <c r="HY100" s="32"/>
      <c r="HZ100" s="32"/>
      <c r="IA100" s="32"/>
      <c r="IB100" s="32"/>
      <c r="IC100" s="32"/>
      <c r="ID100" s="32"/>
      <c r="IE100" s="32"/>
      <c r="IF100" s="32"/>
      <c r="IG100" s="32"/>
      <c r="IH100" s="32"/>
      <c r="II100" s="32"/>
      <c r="IJ100" s="32"/>
      <c r="IK100" s="32"/>
      <c r="IL100" s="32"/>
      <c r="IM100" s="32"/>
      <c r="IN100" s="32"/>
      <c r="IO100" s="32"/>
      <c r="IP100" s="32"/>
      <c r="IQ100" s="32"/>
      <c r="IR100" s="32"/>
      <c r="IS100" s="32"/>
      <c r="IT100" s="32"/>
      <c r="IU100" s="32"/>
      <c r="IV100" s="32"/>
      <c r="IW100" s="32"/>
      <c r="IX100" s="32"/>
      <c r="IY100" s="32"/>
      <c r="IZ100" s="32"/>
      <c r="JA100" s="32"/>
      <c r="JB100" s="32"/>
      <c r="JC100" s="32"/>
      <c r="JD100" s="32"/>
      <c r="JE100" s="32"/>
      <c r="JF100" s="32"/>
      <c r="JG100" s="32"/>
      <c r="JH100" s="32"/>
      <c r="JI100" s="32"/>
      <c r="JJ100" s="32"/>
      <c r="JK100" s="32"/>
      <c r="JL100" s="32"/>
      <c r="JM100" s="32"/>
      <c r="JN100" s="32"/>
      <c r="JO100" s="32"/>
      <c r="JP100" s="32"/>
      <c r="JQ100" s="32"/>
      <c r="JR100" s="32"/>
      <c r="JS100" s="32"/>
      <c r="JT100" s="32"/>
    </row>
    <row r="101" spans="1:280" s="177" customFormat="1" x14ac:dyDescent="0.2">
      <c r="A101" s="164" t="s">
        <v>21</v>
      </c>
      <c r="B101" s="164">
        <v>1674</v>
      </c>
      <c r="C101" s="164">
        <v>1</v>
      </c>
      <c r="D101" s="168">
        <v>44071</v>
      </c>
      <c r="E101" s="162">
        <v>2020</v>
      </c>
      <c r="F101" s="161" t="s">
        <v>246</v>
      </c>
      <c r="G101" s="164"/>
      <c r="H101" s="164">
        <v>6</v>
      </c>
      <c r="I101" s="164" t="s">
        <v>32</v>
      </c>
      <c r="J101" s="164">
        <v>9</v>
      </c>
      <c r="K101" s="164"/>
      <c r="L101" s="164" t="s">
        <v>227</v>
      </c>
      <c r="M101" s="164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32"/>
      <c r="FR101" s="32"/>
      <c r="FS101" s="32"/>
      <c r="FT101" s="32"/>
      <c r="FU101" s="32"/>
      <c r="FV101" s="32"/>
      <c r="FW101" s="32"/>
      <c r="FX101" s="32"/>
      <c r="FY101" s="32"/>
      <c r="FZ101" s="32"/>
      <c r="GA101" s="32"/>
      <c r="GB101" s="32"/>
      <c r="GC101" s="32"/>
      <c r="GD101" s="32"/>
      <c r="GE101" s="32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  <c r="GW101" s="32"/>
      <c r="GX101" s="32"/>
      <c r="GY101" s="32"/>
      <c r="GZ101" s="32"/>
      <c r="HA101" s="32"/>
      <c r="HB101" s="32"/>
      <c r="HC101" s="32"/>
      <c r="HD101" s="32"/>
      <c r="HE101" s="32"/>
      <c r="HF101" s="32"/>
      <c r="HG101" s="32"/>
      <c r="HH101" s="32"/>
      <c r="HI101" s="32"/>
      <c r="HJ101" s="32"/>
      <c r="HK101" s="32"/>
      <c r="HL101" s="32"/>
      <c r="HM101" s="32"/>
      <c r="HN101" s="32"/>
      <c r="HO101" s="32"/>
      <c r="HP101" s="32"/>
      <c r="HQ101" s="32"/>
      <c r="HR101" s="32"/>
      <c r="HS101" s="32"/>
      <c r="HT101" s="32"/>
      <c r="HU101" s="32"/>
      <c r="HV101" s="32"/>
      <c r="HW101" s="32"/>
      <c r="HX101" s="32"/>
      <c r="HY101" s="32"/>
      <c r="HZ101" s="32"/>
      <c r="IA101" s="32"/>
      <c r="IB101" s="32"/>
      <c r="IC101" s="32"/>
      <c r="ID101" s="32"/>
      <c r="IE101" s="32"/>
      <c r="IF101" s="32"/>
      <c r="IG101" s="32"/>
      <c r="IH101" s="32"/>
      <c r="II101" s="32"/>
      <c r="IJ101" s="32"/>
      <c r="IK101" s="32"/>
      <c r="IL101" s="32"/>
      <c r="IM101" s="32"/>
      <c r="IN101" s="32"/>
      <c r="IO101" s="32"/>
      <c r="IP101" s="32"/>
      <c r="IQ101" s="32"/>
      <c r="IR101" s="32"/>
      <c r="IS101" s="32"/>
      <c r="IT101" s="32"/>
      <c r="IU101" s="32"/>
      <c r="IV101" s="32"/>
      <c r="IW101" s="32"/>
      <c r="IX101" s="32"/>
      <c r="IY101" s="32"/>
      <c r="IZ101" s="32"/>
      <c r="JA101" s="32"/>
      <c r="JB101" s="32"/>
      <c r="JC101" s="32"/>
      <c r="JD101" s="32"/>
      <c r="JE101" s="32"/>
      <c r="JF101" s="32"/>
      <c r="JG101" s="32"/>
      <c r="JH101" s="32"/>
      <c r="JI101" s="32"/>
      <c r="JJ101" s="32"/>
      <c r="JK101" s="32"/>
      <c r="JL101" s="32"/>
      <c r="JM101" s="32"/>
      <c r="JN101" s="32"/>
      <c r="JO101" s="32"/>
      <c r="JP101" s="32"/>
      <c r="JQ101" s="32"/>
      <c r="JR101" s="32"/>
      <c r="JS101" s="32"/>
      <c r="JT101" s="32"/>
    </row>
    <row r="102" spans="1:280" s="74" customFormat="1" x14ac:dyDescent="0.2">
      <c r="A102" s="164" t="s">
        <v>21</v>
      </c>
      <c r="B102" s="164">
        <v>1674</v>
      </c>
      <c r="C102" s="164">
        <v>1</v>
      </c>
      <c r="D102" s="168">
        <v>44083</v>
      </c>
      <c r="E102" s="162">
        <v>2020</v>
      </c>
      <c r="F102" s="161" t="s">
        <v>246</v>
      </c>
      <c r="G102" s="32"/>
      <c r="H102" s="244">
        <v>10</v>
      </c>
      <c r="I102" s="164" t="s">
        <v>32</v>
      </c>
      <c r="J102" s="244">
        <v>7</v>
      </c>
      <c r="K102" s="32"/>
      <c r="L102" s="164" t="s">
        <v>227</v>
      </c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/>
      <c r="FU102" s="32"/>
      <c r="FV102" s="32"/>
      <c r="FW102" s="32"/>
      <c r="FX102" s="32"/>
      <c r="FY102" s="32"/>
      <c r="FZ102" s="32"/>
      <c r="GA102" s="32"/>
      <c r="GB102" s="32"/>
      <c r="GC102" s="32"/>
      <c r="GD102" s="32"/>
      <c r="GE102" s="32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H102" s="32"/>
      <c r="HI102" s="32"/>
      <c r="HJ102" s="32"/>
      <c r="HK102" s="32"/>
      <c r="HL102" s="32"/>
      <c r="HM102" s="32"/>
      <c r="HN102" s="32"/>
      <c r="HO102" s="32"/>
      <c r="HP102" s="32"/>
      <c r="HQ102" s="32"/>
      <c r="HR102" s="32"/>
      <c r="HS102" s="32"/>
      <c r="HT102" s="32"/>
      <c r="HU102" s="32"/>
      <c r="HV102" s="32"/>
      <c r="HW102" s="32"/>
      <c r="HX102" s="32"/>
      <c r="HY102" s="32"/>
      <c r="HZ102" s="32"/>
      <c r="IA102" s="32"/>
      <c r="IB102" s="32"/>
      <c r="IC102" s="32"/>
      <c r="ID102" s="32"/>
      <c r="IE102" s="32"/>
      <c r="IF102" s="32"/>
      <c r="IG102" s="32"/>
      <c r="IH102" s="32"/>
      <c r="II102" s="32"/>
      <c r="IJ102" s="32"/>
      <c r="IK102" s="32"/>
      <c r="IL102" s="32"/>
      <c r="IM102" s="32"/>
      <c r="IN102" s="32"/>
      <c r="IO102" s="32"/>
      <c r="IP102" s="32"/>
      <c r="IQ102" s="32"/>
      <c r="IR102" s="32"/>
      <c r="IS102" s="32"/>
      <c r="IT102" s="32"/>
      <c r="IU102" s="32"/>
      <c r="IV102" s="32"/>
      <c r="IW102" s="32"/>
      <c r="IX102" s="32"/>
      <c r="IY102" s="32"/>
      <c r="IZ102" s="32"/>
      <c r="JA102" s="32"/>
      <c r="JB102" s="32"/>
      <c r="JC102" s="32"/>
      <c r="JD102" s="32"/>
      <c r="JE102" s="32"/>
      <c r="JF102" s="32"/>
      <c r="JG102" s="32"/>
      <c r="JH102" s="32"/>
      <c r="JI102" s="32"/>
      <c r="JJ102" s="32"/>
      <c r="JK102" s="32"/>
      <c r="JL102" s="32"/>
      <c r="JM102" s="32"/>
      <c r="JN102" s="32"/>
      <c r="JO102" s="32"/>
      <c r="JP102" s="32"/>
      <c r="JQ102" s="32"/>
      <c r="JR102" s="32"/>
      <c r="JS102" s="32"/>
      <c r="JT102" s="32"/>
    </row>
    <row r="103" spans="1:280" x14ac:dyDescent="0.2">
      <c r="A103" s="164" t="s">
        <v>21</v>
      </c>
      <c r="B103" s="164">
        <v>1674</v>
      </c>
      <c r="C103" s="164">
        <v>1</v>
      </c>
      <c r="D103" s="168">
        <v>44099</v>
      </c>
      <c r="E103" s="162">
        <v>2020</v>
      </c>
      <c r="F103" s="161" t="s">
        <v>246</v>
      </c>
      <c r="G103" s="164"/>
      <c r="H103" s="164">
        <v>10</v>
      </c>
      <c r="I103" s="164" t="s">
        <v>32</v>
      </c>
      <c r="J103" s="164">
        <v>6</v>
      </c>
      <c r="K103" s="164"/>
      <c r="L103" s="164" t="s">
        <v>227</v>
      </c>
      <c r="M103" s="164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  <c r="GW103" s="32"/>
      <c r="GX103" s="32"/>
      <c r="GY103" s="32"/>
      <c r="GZ103" s="32"/>
      <c r="HA103" s="32"/>
      <c r="HB103" s="32"/>
      <c r="HC103" s="32"/>
      <c r="HD103" s="32"/>
      <c r="HE103" s="32"/>
      <c r="HF103" s="32"/>
      <c r="HG103" s="32"/>
      <c r="HH103" s="32"/>
      <c r="HI103" s="32"/>
      <c r="HJ103" s="32"/>
      <c r="HK103" s="32"/>
      <c r="HL103" s="32"/>
      <c r="HM103" s="32"/>
      <c r="HN103" s="32"/>
      <c r="HO103" s="32"/>
      <c r="HP103" s="32"/>
      <c r="HQ103" s="32"/>
      <c r="HR103" s="32"/>
      <c r="HS103" s="32"/>
      <c r="HT103" s="32"/>
      <c r="HU103" s="32"/>
      <c r="HV103" s="32"/>
      <c r="HW103" s="32"/>
      <c r="HX103" s="32"/>
      <c r="HY103" s="32"/>
      <c r="HZ103" s="32"/>
      <c r="IA103" s="32"/>
      <c r="IB103" s="32"/>
      <c r="IC103" s="32"/>
      <c r="ID103" s="32"/>
      <c r="IE103" s="32"/>
      <c r="IF103" s="32"/>
      <c r="IG103" s="32"/>
      <c r="IH103" s="32"/>
      <c r="II103" s="32"/>
      <c r="IJ103" s="32"/>
      <c r="IK103" s="32"/>
      <c r="IL103" s="32"/>
      <c r="IM103" s="32"/>
      <c r="IN103" s="32"/>
      <c r="IO103" s="32"/>
      <c r="IP103" s="32"/>
      <c r="IQ103" s="32"/>
      <c r="IR103" s="32"/>
      <c r="IS103" s="32"/>
      <c r="IT103" s="32"/>
      <c r="IU103" s="32"/>
      <c r="IV103" s="32"/>
      <c r="IW103" s="32"/>
      <c r="IX103" s="32"/>
      <c r="IY103" s="32"/>
      <c r="IZ103" s="32"/>
      <c r="JA103" s="32"/>
      <c r="JB103" s="32"/>
      <c r="JC103" s="32"/>
      <c r="JD103" s="32"/>
      <c r="JE103" s="32"/>
      <c r="JF103" s="32"/>
      <c r="JG103" s="32"/>
      <c r="JH103" s="32"/>
      <c r="JI103" s="32"/>
      <c r="JJ103" s="32"/>
      <c r="JK103" s="32"/>
      <c r="JL103" s="32"/>
      <c r="JM103" s="32"/>
      <c r="JN103" s="32"/>
      <c r="JO103" s="32"/>
      <c r="JP103" s="32"/>
      <c r="JQ103" s="32"/>
      <c r="JR103" s="32"/>
      <c r="JS103" s="32"/>
      <c r="JT103" s="32"/>
    </row>
    <row r="104" spans="1:280" x14ac:dyDescent="0.2">
      <c r="A104" s="164" t="s">
        <v>21</v>
      </c>
      <c r="B104" s="164">
        <v>1674</v>
      </c>
      <c r="C104" s="164">
        <v>1</v>
      </c>
      <c r="D104" s="168">
        <v>44111</v>
      </c>
      <c r="E104" s="162">
        <v>2020</v>
      </c>
      <c r="F104" s="161" t="s">
        <v>246</v>
      </c>
      <c r="H104" s="161">
        <v>10</v>
      </c>
      <c r="I104" s="164" t="s">
        <v>32</v>
      </c>
      <c r="J104" s="161">
        <v>10</v>
      </c>
      <c r="L104" s="164" t="s">
        <v>227</v>
      </c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2"/>
      <c r="GG104" s="32"/>
      <c r="GH104" s="32"/>
      <c r="GI104" s="32"/>
      <c r="GJ104" s="32"/>
      <c r="GK104" s="32"/>
      <c r="GL104" s="32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2"/>
      <c r="HB104" s="32"/>
      <c r="HC104" s="32"/>
      <c r="HD104" s="32"/>
      <c r="HE104" s="32"/>
      <c r="HF104" s="32"/>
      <c r="HG104" s="32"/>
      <c r="HH104" s="32"/>
      <c r="HI104" s="32"/>
      <c r="HJ104" s="32"/>
      <c r="HK104" s="32"/>
      <c r="HL104" s="32"/>
      <c r="HM104" s="32"/>
      <c r="HN104" s="32"/>
      <c r="HO104" s="32"/>
      <c r="HP104" s="32"/>
      <c r="HQ104" s="32"/>
      <c r="HR104" s="32"/>
      <c r="HS104" s="32"/>
      <c r="HT104" s="32"/>
      <c r="HU104" s="32"/>
      <c r="HV104" s="32"/>
      <c r="HW104" s="32"/>
      <c r="HX104" s="32"/>
      <c r="HY104" s="32"/>
      <c r="HZ104" s="32"/>
      <c r="IA104" s="32"/>
      <c r="IB104" s="32"/>
      <c r="IC104" s="32"/>
      <c r="ID104" s="32"/>
      <c r="IE104" s="32"/>
      <c r="IF104" s="32"/>
      <c r="IG104" s="32"/>
      <c r="IH104" s="32"/>
      <c r="II104" s="32"/>
      <c r="IJ104" s="32"/>
      <c r="IK104" s="32"/>
      <c r="IL104" s="32"/>
      <c r="IM104" s="32"/>
      <c r="IN104" s="32"/>
      <c r="IO104" s="32"/>
      <c r="IP104" s="32"/>
      <c r="IQ104" s="32"/>
      <c r="IR104" s="32"/>
      <c r="IS104" s="32"/>
      <c r="IT104" s="32"/>
      <c r="IU104" s="32"/>
      <c r="IV104" s="32"/>
      <c r="IW104" s="32"/>
      <c r="IX104" s="32"/>
      <c r="IY104" s="32"/>
      <c r="IZ104" s="32"/>
      <c r="JA104" s="32"/>
      <c r="JB104" s="32"/>
      <c r="JC104" s="32"/>
      <c r="JD104" s="32"/>
      <c r="JE104" s="32"/>
      <c r="JF104" s="32"/>
      <c r="JG104" s="32"/>
      <c r="JH104" s="32"/>
      <c r="JI104" s="32"/>
      <c r="JJ104" s="32"/>
      <c r="JK104" s="32"/>
      <c r="JL104" s="32"/>
      <c r="JM104" s="32"/>
      <c r="JN104" s="32"/>
      <c r="JO104" s="32"/>
      <c r="JP104" s="32"/>
      <c r="JQ104" s="32"/>
      <c r="JR104" s="32"/>
      <c r="JS104" s="32"/>
      <c r="JT104" s="32"/>
    </row>
    <row r="105" spans="1:280" x14ac:dyDescent="0.2">
      <c r="A105" s="164" t="s">
        <v>21</v>
      </c>
      <c r="B105" s="164">
        <v>1674</v>
      </c>
      <c r="C105" s="164">
        <v>1</v>
      </c>
      <c r="D105" s="168">
        <v>44122</v>
      </c>
      <c r="E105" s="162">
        <v>2020</v>
      </c>
      <c r="F105" s="161" t="s">
        <v>246</v>
      </c>
      <c r="H105" s="161">
        <v>10</v>
      </c>
      <c r="I105" s="164" t="s">
        <v>32</v>
      </c>
      <c r="J105" s="161">
        <v>12</v>
      </c>
      <c r="L105" s="164" t="s">
        <v>227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2"/>
      <c r="GG105" s="32"/>
      <c r="GH105" s="32"/>
      <c r="GI105" s="32"/>
      <c r="GJ105" s="32"/>
      <c r="GK105" s="32"/>
      <c r="GL105" s="32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H105" s="32"/>
      <c r="HI105" s="32"/>
      <c r="HJ105" s="32"/>
      <c r="HK105" s="32"/>
      <c r="HL105" s="32"/>
      <c r="HM105" s="32"/>
      <c r="HN105" s="32"/>
      <c r="HO105" s="32"/>
      <c r="HP105" s="32"/>
      <c r="HQ105" s="32"/>
      <c r="HR105" s="32"/>
      <c r="HS105" s="32"/>
      <c r="HT105" s="32"/>
      <c r="HU105" s="32"/>
      <c r="HV105" s="32"/>
      <c r="HW105" s="32"/>
      <c r="HX105" s="32"/>
      <c r="HY105" s="32"/>
      <c r="HZ105" s="32"/>
      <c r="IA105" s="32"/>
      <c r="IB105" s="32"/>
      <c r="IC105" s="32"/>
      <c r="ID105" s="32"/>
      <c r="IE105" s="32"/>
      <c r="IF105" s="32"/>
      <c r="IG105" s="32"/>
      <c r="IH105" s="32"/>
      <c r="II105" s="32"/>
      <c r="IJ105" s="32"/>
      <c r="IK105" s="32"/>
      <c r="IL105" s="32"/>
      <c r="IM105" s="32"/>
      <c r="IN105" s="32"/>
      <c r="IO105" s="32"/>
      <c r="IP105" s="32"/>
      <c r="IQ105" s="32"/>
      <c r="IR105" s="32"/>
      <c r="IS105" s="32"/>
      <c r="IT105" s="32"/>
      <c r="IU105" s="32"/>
      <c r="IV105" s="32"/>
      <c r="IW105" s="32"/>
      <c r="IX105" s="32"/>
      <c r="IY105" s="32"/>
      <c r="IZ105" s="32"/>
      <c r="JA105" s="32"/>
      <c r="JB105" s="32"/>
      <c r="JC105" s="32"/>
      <c r="JD105" s="32"/>
      <c r="JE105" s="32"/>
      <c r="JF105" s="32"/>
      <c r="JG105" s="32"/>
      <c r="JH105" s="32"/>
      <c r="JI105" s="32"/>
      <c r="JJ105" s="32"/>
      <c r="JK105" s="32"/>
      <c r="JL105" s="32"/>
      <c r="JM105" s="32"/>
      <c r="JN105" s="32"/>
      <c r="JO105" s="32"/>
      <c r="JP105" s="32"/>
      <c r="JQ105" s="32"/>
      <c r="JR105" s="32"/>
      <c r="JS105" s="32"/>
      <c r="JT105" s="32"/>
    </row>
    <row r="106" spans="1:280" x14ac:dyDescent="0.2">
      <c r="A106" s="164" t="s">
        <v>21</v>
      </c>
      <c r="B106" s="164">
        <v>1674</v>
      </c>
      <c r="C106" s="164">
        <v>1</v>
      </c>
      <c r="D106" s="168">
        <v>44139</v>
      </c>
      <c r="E106" s="166">
        <v>2020</v>
      </c>
      <c r="F106" s="164" t="s">
        <v>246</v>
      </c>
      <c r="G106" s="164"/>
      <c r="H106" s="164">
        <v>10</v>
      </c>
      <c r="I106" s="164" t="s">
        <v>32</v>
      </c>
      <c r="J106" s="164">
        <v>5</v>
      </c>
      <c r="K106" s="164"/>
      <c r="L106" s="164" t="s">
        <v>227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H106" s="32"/>
      <c r="HI106" s="32"/>
      <c r="HJ106" s="32"/>
      <c r="HK106" s="32"/>
      <c r="HL106" s="32"/>
      <c r="HM106" s="32"/>
      <c r="HN106" s="32"/>
      <c r="HO106" s="32"/>
      <c r="HP106" s="32"/>
      <c r="HQ106" s="32"/>
      <c r="HR106" s="32"/>
      <c r="HS106" s="32"/>
      <c r="HT106" s="32"/>
      <c r="HU106" s="32"/>
      <c r="HV106" s="32"/>
      <c r="HW106" s="32"/>
      <c r="HX106" s="32"/>
      <c r="HY106" s="32"/>
      <c r="HZ106" s="32"/>
      <c r="IA106" s="32"/>
      <c r="IB106" s="32"/>
      <c r="IC106" s="32"/>
      <c r="ID106" s="32"/>
      <c r="IE106" s="32"/>
      <c r="IF106" s="32"/>
      <c r="IG106" s="32"/>
      <c r="IH106" s="32"/>
      <c r="II106" s="32"/>
      <c r="IJ106" s="32"/>
      <c r="IK106" s="32"/>
      <c r="IL106" s="32"/>
      <c r="IM106" s="32"/>
      <c r="IN106" s="32"/>
      <c r="IO106" s="32"/>
      <c r="IP106" s="32"/>
      <c r="IQ106" s="32"/>
      <c r="IR106" s="32"/>
      <c r="IS106" s="32"/>
      <c r="IT106" s="32"/>
      <c r="IU106" s="32"/>
      <c r="IV106" s="32"/>
      <c r="IW106" s="32"/>
      <c r="IX106" s="32"/>
      <c r="IY106" s="32"/>
      <c r="IZ106" s="32"/>
      <c r="JA106" s="32"/>
      <c r="JB106" s="32"/>
      <c r="JC106" s="32"/>
      <c r="JD106" s="32"/>
      <c r="JE106" s="32"/>
      <c r="JF106" s="32"/>
      <c r="JG106" s="32"/>
      <c r="JH106" s="32"/>
      <c r="JI106" s="32"/>
      <c r="JJ106" s="32"/>
      <c r="JK106" s="32"/>
      <c r="JL106" s="32"/>
      <c r="JM106" s="32"/>
      <c r="JN106" s="32"/>
      <c r="JO106" s="32"/>
      <c r="JP106" s="32"/>
      <c r="JQ106" s="32"/>
      <c r="JR106" s="32"/>
      <c r="JS106" s="32"/>
      <c r="JT106" s="32"/>
    </row>
    <row r="107" spans="1:280" x14ac:dyDescent="0.2"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32"/>
      <c r="FR107" s="32"/>
      <c r="FS107" s="32"/>
      <c r="FT107" s="32"/>
      <c r="FU107" s="32"/>
      <c r="FV107" s="32"/>
      <c r="FW107" s="32"/>
      <c r="FX107" s="32"/>
      <c r="FY107" s="32"/>
      <c r="FZ107" s="32"/>
      <c r="GA107" s="32"/>
      <c r="GB107" s="32"/>
      <c r="GC107" s="32"/>
      <c r="GD107" s="32"/>
      <c r="GE107" s="32"/>
      <c r="GF107" s="32"/>
      <c r="GG107" s="32"/>
      <c r="GH107" s="32"/>
      <c r="GI107" s="32"/>
      <c r="GJ107" s="32"/>
      <c r="GK107" s="32"/>
      <c r="GL107" s="32"/>
      <c r="GM107" s="32"/>
      <c r="GN107" s="32"/>
      <c r="GO107" s="32"/>
      <c r="GP107" s="32"/>
      <c r="GQ107" s="32"/>
      <c r="GR107" s="32"/>
      <c r="GS107" s="32"/>
      <c r="GT107" s="32"/>
      <c r="GU107" s="32"/>
      <c r="GV107" s="32"/>
      <c r="GW107" s="32"/>
      <c r="GX107" s="32"/>
      <c r="GY107" s="32"/>
      <c r="GZ107" s="32"/>
      <c r="HA107" s="32"/>
      <c r="HB107" s="32"/>
      <c r="HC107" s="32"/>
      <c r="HD107" s="32"/>
      <c r="HE107" s="32"/>
      <c r="HF107" s="32"/>
      <c r="HG107" s="32"/>
      <c r="HH107" s="32"/>
      <c r="HI107" s="32"/>
      <c r="HJ107" s="32"/>
      <c r="HK107" s="32"/>
      <c r="HL107" s="32"/>
      <c r="HM107" s="32"/>
      <c r="HN107" s="32"/>
      <c r="HO107" s="32"/>
      <c r="HP107" s="32"/>
      <c r="HQ107" s="32"/>
      <c r="HR107" s="32"/>
      <c r="HS107" s="32"/>
      <c r="HT107" s="32"/>
      <c r="HU107" s="32"/>
      <c r="HV107" s="32"/>
      <c r="HW107" s="32"/>
      <c r="HX107" s="32"/>
      <c r="HY107" s="32"/>
      <c r="HZ107" s="32"/>
      <c r="IA107" s="32"/>
      <c r="IB107" s="32"/>
      <c r="IC107" s="32"/>
      <c r="ID107" s="32"/>
      <c r="IE107" s="32"/>
      <c r="IF107" s="32"/>
      <c r="IG107" s="32"/>
      <c r="IH107" s="32"/>
      <c r="II107" s="32"/>
      <c r="IJ107" s="32"/>
      <c r="IK107" s="32"/>
      <c r="IL107" s="32"/>
      <c r="IM107" s="32"/>
      <c r="IN107" s="32"/>
      <c r="IO107" s="32"/>
      <c r="IP107" s="32"/>
      <c r="IQ107" s="32"/>
      <c r="IR107" s="32"/>
      <c r="IS107" s="32"/>
      <c r="IT107" s="32"/>
      <c r="IU107" s="32"/>
      <c r="IV107" s="32"/>
      <c r="IW107" s="32"/>
      <c r="IX107" s="32"/>
      <c r="IY107" s="32"/>
      <c r="IZ107" s="32"/>
      <c r="JA107" s="32"/>
      <c r="JB107" s="32"/>
      <c r="JC107" s="32"/>
      <c r="JD107" s="32"/>
      <c r="JE107" s="32"/>
      <c r="JF107" s="32"/>
      <c r="JG107" s="32"/>
      <c r="JH107" s="32"/>
      <c r="JI107" s="32"/>
      <c r="JJ107" s="32"/>
      <c r="JK107" s="32"/>
      <c r="JL107" s="32"/>
      <c r="JM107" s="32"/>
      <c r="JN107" s="32"/>
      <c r="JO107" s="32"/>
      <c r="JP107" s="32"/>
      <c r="JQ107" s="32"/>
      <c r="JR107" s="32"/>
      <c r="JS107" s="32"/>
      <c r="JT107" s="32"/>
    </row>
    <row r="108" spans="1:280" x14ac:dyDescent="0.2"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32"/>
      <c r="FZ108" s="32"/>
      <c r="GA108" s="32"/>
      <c r="GB108" s="32"/>
      <c r="GC108" s="32"/>
      <c r="GD108" s="32"/>
      <c r="GE108" s="32"/>
      <c r="GF108" s="32"/>
      <c r="GG108" s="32"/>
      <c r="GH108" s="32"/>
      <c r="GI108" s="32"/>
      <c r="GJ108" s="32"/>
      <c r="GK108" s="32"/>
      <c r="GL108" s="32"/>
      <c r="GM108" s="32"/>
      <c r="GN108" s="32"/>
      <c r="GO108" s="32"/>
      <c r="GP108" s="32"/>
      <c r="GQ108" s="32"/>
      <c r="GR108" s="32"/>
      <c r="GS108" s="32"/>
      <c r="GT108" s="32"/>
      <c r="GU108" s="32"/>
      <c r="GV108" s="32"/>
      <c r="GW108" s="32"/>
      <c r="GX108" s="32"/>
      <c r="GY108" s="32"/>
      <c r="GZ108" s="32"/>
      <c r="HA108" s="32"/>
      <c r="HB108" s="32"/>
      <c r="HC108" s="32"/>
      <c r="HD108" s="32"/>
      <c r="HE108" s="32"/>
      <c r="HF108" s="32"/>
      <c r="HG108" s="32"/>
      <c r="HH108" s="32"/>
      <c r="HI108" s="32"/>
      <c r="HJ108" s="32"/>
      <c r="HK108" s="32"/>
      <c r="HL108" s="32"/>
      <c r="HM108" s="32"/>
      <c r="HN108" s="32"/>
      <c r="HO108" s="32"/>
      <c r="HP108" s="32"/>
      <c r="HQ108" s="32"/>
      <c r="HR108" s="32"/>
      <c r="HS108" s="32"/>
      <c r="HT108" s="32"/>
      <c r="HU108" s="32"/>
      <c r="HV108" s="32"/>
      <c r="HW108" s="32"/>
      <c r="HX108" s="32"/>
      <c r="HY108" s="32"/>
      <c r="HZ108" s="32"/>
      <c r="IA108" s="32"/>
      <c r="IB108" s="32"/>
      <c r="IC108" s="32"/>
      <c r="ID108" s="32"/>
      <c r="IE108" s="32"/>
      <c r="IF108" s="32"/>
      <c r="IG108" s="32"/>
      <c r="IH108" s="32"/>
      <c r="II108" s="32"/>
      <c r="IJ108" s="32"/>
      <c r="IK108" s="32"/>
      <c r="IL108" s="32"/>
      <c r="IM108" s="32"/>
      <c r="IN108" s="32"/>
      <c r="IO108" s="32"/>
      <c r="IP108" s="32"/>
      <c r="IQ108" s="32"/>
      <c r="IR108" s="32"/>
      <c r="IS108" s="32"/>
      <c r="IT108" s="32"/>
      <c r="IU108" s="32"/>
      <c r="IV108" s="32"/>
      <c r="IW108" s="32"/>
      <c r="IX108" s="32"/>
      <c r="IY108" s="32"/>
      <c r="IZ108" s="32"/>
      <c r="JA108" s="32"/>
      <c r="JB108" s="32"/>
      <c r="JC108" s="32"/>
      <c r="JD108" s="32"/>
      <c r="JE108" s="32"/>
      <c r="JF108" s="32"/>
      <c r="JG108" s="32"/>
      <c r="JH108" s="32"/>
      <c r="JI108" s="32"/>
      <c r="JJ108" s="32"/>
      <c r="JK108" s="32"/>
      <c r="JL108" s="32"/>
      <c r="JM108" s="32"/>
      <c r="JN108" s="32"/>
      <c r="JO108" s="32"/>
      <c r="JP108" s="32"/>
      <c r="JQ108" s="32"/>
      <c r="JR108" s="32"/>
      <c r="JS108" s="32"/>
      <c r="JT108" s="32"/>
    </row>
    <row r="110" spans="1:280" x14ac:dyDescent="0.2">
      <c r="A110" s="256" t="s">
        <v>302</v>
      </c>
    </row>
    <row r="111" spans="1:280" x14ac:dyDescent="0.2">
      <c r="A111" s="164" t="s">
        <v>21</v>
      </c>
      <c r="B111" s="164">
        <v>1674</v>
      </c>
      <c r="C111" s="164">
        <v>2</v>
      </c>
      <c r="D111" s="165">
        <v>31925</v>
      </c>
      <c r="E111" s="166"/>
      <c r="F111" s="164" t="s">
        <v>22</v>
      </c>
      <c r="G111" s="164">
        <v>2</v>
      </c>
      <c r="H111" s="164">
        <v>10</v>
      </c>
      <c r="I111" s="164" t="s">
        <v>32</v>
      </c>
      <c r="J111" s="164">
        <v>2.1</v>
      </c>
      <c r="K111" s="164"/>
      <c r="L111" s="164"/>
      <c r="M111" s="164"/>
      <c r="N111" s="32"/>
      <c r="O111" s="223"/>
    </row>
    <row r="112" spans="1:280" x14ac:dyDescent="0.2">
      <c r="A112" s="164" t="s">
        <v>21</v>
      </c>
      <c r="B112" s="164">
        <v>1674</v>
      </c>
      <c r="C112" s="164">
        <v>2</v>
      </c>
      <c r="D112" s="165">
        <v>31937</v>
      </c>
      <c r="E112" s="166"/>
      <c r="F112" s="164" t="s">
        <v>22</v>
      </c>
      <c r="G112" s="164">
        <v>2</v>
      </c>
      <c r="H112" s="164">
        <v>8</v>
      </c>
      <c r="I112" s="164" t="s">
        <v>32</v>
      </c>
      <c r="J112" s="164">
        <v>4.3</v>
      </c>
      <c r="K112" s="164"/>
      <c r="L112" s="164"/>
      <c r="M112" s="164"/>
      <c r="N112" s="32"/>
      <c r="O112" s="32"/>
    </row>
    <row r="113" spans="1:15" x14ac:dyDescent="0.2">
      <c r="A113" s="164" t="s">
        <v>21</v>
      </c>
      <c r="B113" s="164">
        <v>1674</v>
      </c>
      <c r="C113" s="164">
        <v>2</v>
      </c>
      <c r="D113" s="165">
        <v>31951</v>
      </c>
      <c r="E113" s="166"/>
      <c r="F113" s="164" t="s">
        <v>22</v>
      </c>
      <c r="G113" s="164">
        <v>2</v>
      </c>
      <c r="H113" s="164">
        <v>10</v>
      </c>
      <c r="I113" s="164" t="s">
        <v>32</v>
      </c>
      <c r="J113" s="164">
        <v>6.7</v>
      </c>
      <c r="K113" s="164"/>
      <c r="L113" s="164"/>
      <c r="M113" s="164"/>
      <c r="N113" s="32"/>
      <c r="O113" s="32"/>
    </row>
    <row r="114" spans="1:15" x14ac:dyDescent="0.2">
      <c r="A114" s="164" t="s">
        <v>21</v>
      </c>
      <c r="B114" s="164">
        <v>1674</v>
      </c>
      <c r="C114" s="164">
        <v>2</v>
      </c>
      <c r="D114" s="165">
        <v>31971</v>
      </c>
      <c r="E114" s="166"/>
      <c r="F114" s="164" t="s">
        <v>22</v>
      </c>
      <c r="G114" s="164">
        <v>2</v>
      </c>
      <c r="H114" s="164">
        <v>6</v>
      </c>
      <c r="I114" s="164" t="s">
        <v>32</v>
      </c>
      <c r="J114" s="164">
        <v>4.9000000000000004</v>
      </c>
      <c r="K114" s="164"/>
      <c r="L114" s="164"/>
      <c r="M114" s="164"/>
      <c r="N114" s="32"/>
      <c r="O114" s="32"/>
    </row>
    <row r="115" spans="1:15" x14ac:dyDescent="0.2">
      <c r="A115" s="164" t="s">
        <v>21</v>
      </c>
      <c r="B115" s="164">
        <v>1674</v>
      </c>
      <c r="C115" s="164">
        <v>2</v>
      </c>
      <c r="D115" s="165">
        <v>31987</v>
      </c>
      <c r="E115" s="166"/>
      <c r="F115" s="164" t="s">
        <v>22</v>
      </c>
      <c r="G115" s="164">
        <v>2</v>
      </c>
      <c r="H115" s="164">
        <v>7</v>
      </c>
      <c r="I115" s="164" t="s">
        <v>32</v>
      </c>
      <c r="J115" s="164">
        <v>12.9</v>
      </c>
      <c r="K115" s="164"/>
      <c r="L115" s="164"/>
      <c r="M115" s="164"/>
      <c r="N115" s="32"/>
      <c r="O115" s="32"/>
    </row>
    <row r="116" spans="1:15" x14ac:dyDescent="0.2">
      <c r="A116" s="164" t="s">
        <v>21</v>
      </c>
      <c r="B116" s="164">
        <v>1674</v>
      </c>
      <c r="C116" s="164">
        <v>2</v>
      </c>
      <c r="D116" s="165">
        <v>32002</v>
      </c>
      <c r="E116" s="166"/>
      <c r="F116" s="164" t="s">
        <v>22</v>
      </c>
      <c r="G116" s="164">
        <v>2</v>
      </c>
      <c r="H116" s="164">
        <v>10</v>
      </c>
      <c r="I116" s="164" t="s">
        <v>32</v>
      </c>
      <c r="J116" s="164">
        <v>13.9</v>
      </c>
      <c r="K116" s="164"/>
      <c r="L116" s="164"/>
      <c r="M116" s="164"/>
      <c r="N116" s="32"/>
      <c r="O116" s="32"/>
    </row>
    <row r="117" spans="1:15" x14ac:dyDescent="0.2">
      <c r="A117" s="164" t="s">
        <v>21</v>
      </c>
      <c r="B117" s="164">
        <v>1674</v>
      </c>
      <c r="C117" s="164">
        <v>2</v>
      </c>
      <c r="D117" s="165">
        <v>32014</v>
      </c>
      <c r="E117" s="166"/>
      <c r="F117" s="164" t="s">
        <v>22</v>
      </c>
      <c r="G117" s="164">
        <v>2</v>
      </c>
      <c r="H117" s="164">
        <v>8</v>
      </c>
      <c r="I117" s="164" t="s">
        <v>32</v>
      </c>
      <c r="J117" s="164">
        <v>20.100000000000001</v>
      </c>
      <c r="K117" s="164"/>
      <c r="L117" s="164"/>
      <c r="M117" s="164"/>
      <c r="N117" s="32"/>
      <c r="O117" s="32">
        <f>COUNTA(D111:D121)</f>
        <v>11</v>
      </c>
    </row>
    <row r="118" spans="1:15" x14ac:dyDescent="0.2">
      <c r="A118" s="164" t="s">
        <v>21</v>
      </c>
      <c r="B118" s="164">
        <v>1674</v>
      </c>
      <c r="C118" s="164">
        <v>2</v>
      </c>
      <c r="D118" s="165">
        <v>32035</v>
      </c>
      <c r="E118" s="166"/>
      <c r="F118" s="164" t="s">
        <v>22</v>
      </c>
      <c r="G118" s="164">
        <v>2</v>
      </c>
      <c r="H118" s="164">
        <v>9</v>
      </c>
      <c r="I118" s="164" t="s">
        <v>32</v>
      </c>
      <c r="J118" s="164">
        <v>14.1</v>
      </c>
      <c r="K118" s="164"/>
      <c r="L118" s="164"/>
      <c r="M118" s="164"/>
      <c r="N118" s="32"/>
      <c r="O118" s="32"/>
    </row>
    <row r="119" spans="1:15" x14ac:dyDescent="0.2">
      <c r="A119" s="164" t="s">
        <v>21</v>
      </c>
      <c r="B119" s="164">
        <v>1674</v>
      </c>
      <c r="C119" s="164">
        <v>2</v>
      </c>
      <c r="D119" s="165">
        <v>32048</v>
      </c>
      <c r="E119" s="166"/>
      <c r="F119" s="164" t="s">
        <v>22</v>
      </c>
      <c r="G119" s="164">
        <v>2</v>
      </c>
      <c r="H119" s="164">
        <v>10</v>
      </c>
      <c r="I119" s="164" t="s">
        <v>32</v>
      </c>
      <c r="J119" s="164">
        <v>10.6</v>
      </c>
      <c r="K119" s="164"/>
      <c r="L119" s="164"/>
      <c r="M119" s="164"/>
      <c r="N119" s="32"/>
      <c r="O119" s="253">
        <f>AVERAGE(J111:J121)</f>
        <v>9.4818181818181806</v>
      </c>
    </row>
    <row r="120" spans="1:15" x14ac:dyDescent="0.2">
      <c r="A120" s="164" t="s">
        <v>21</v>
      </c>
      <c r="B120" s="164">
        <v>1674</v>
      </c>
      <c r="C120" s="164">
        <v>2</v>
      </c>
      <c r="D120" s="165">
        <v>32065</v>
      </c>
      <c r="E120" s="166"/>
      <c r="F120" s="164" t="s">
        <v>22</v>
      </c>
      <c r="G120" s="164">
        <v>2</v>
      </c>
      <c r="H120" s="164">
        <v>10</v>
      </c>
      <c r="I120" s="164" t="s">
        <v>32</v>
      </c>
      <c r="J120" s="164">
        <v>8.6</v>
      </c>
      <c r="K120" s="164"/>
      <c r="L120" s="164"/>
      <c r="M120" s="164"/>
      <c r="N120" s="32"/>
      <c r="O120" s="223"/>
    </row>
    <row r="121" spans="1:15" x14ac:dyDescent="0.2">
      <c r="A121" s="164" t="s">
        <v>21</v>
      </c>
      <c r="B121" s="164">
        <v>1674</v>
      </c>
      <c r="C121" s="164">
        <v>2</v>
      </c>
      <c r="D121" s="165">
        <v>33829</v>
      </c>
      <c r="E121" s="166"/>
      <c r="F121" s="164" t="s">
        <v>22</v>
      </c>
      <c r="G121" s="164">
        <v>2</v>
      </c>
      <c r="H121" s="164">
        <v>10</v>
      </c>
      <c r="I121" s="164" t="s">
        <v>32</v>
      </c>
      <c r="J121" s="164">
        <v>6.1</v>
      </c>
      <c r="K121" s="164"/>
      <c r="L121" s="164"/>
      <c r="M121" s="164"/>
      <c r="N121" s="32"/>
      <c r="O121" s="223"/>
    </row>
    <row r="122" spans="1:15" x14ac:dyDescent="0.2">
      <c r="A122" s="164" t="s">
        <v>21</v>
      </c>
      <c r="B122" s="164">
        <v>1674</v>
      </c>
      <c r="C122" s="164">
        <v>3</v>
      </c>
      <c r="D122" s="168">
        <v>43651</v>
      </c>
      <c r="E122" s="166"/>
      <c r="F122" s="164"/>
      <c r="G122" s="164"/>
      <c r="H122" s="164"/>
      <c r="I122" s="169"/>
      <c r="J122" s="169">
        <v>9</v>
      </c>
      <c r="K122" s="169"/>
      <c r="L122" s="169"/>
      <c r="M122" s="169"/>
      <c r="N122" s="151"/>
      <c r="O122" s="223"/>
    </row>
    <row r="123" spans="1:15" x14ac:dyDescent="0.2">
      <c r="A123" s="164" t="s">
        <v>21</v>
      </c>
      <c r="B123" s="164">
        <v>1674</v>
      </c>
      <c r="C123" s="164">
        <v>3</v>
      </c>
      <c r="D123" s="168">
        <v>43664</v>
      </c>
      <c r="E123" s="166"/>
      <c r="F123" s="164"/>
      <c r="G123" s="164"/>
      <c r="H123" s="164"/>
      <c r="I123" s="169"/>
      <c r="J123" s="169">
        <v>4</v>
      </c>
      <c r="K123" s="169"/>
      <c r="L123" s="169"/>
      <c r="M123" s="169"/>
      <c r="N123" s="151"/>
      <c r="O123" s="254"/>
    </row>
    <row r="124" spans="1:15" x14ac:dyDescent="0.2">
      <c r="A124" s="164" t="s">
        <v>21</v>
      </c>
      <c r="B124" s="164">
        <v>1674</v>
      </c>
      <c r="C124" s="164">
        <v>3</v>
      </c>
      <c r="D124" s="168">
        <v>43678</v>
      </c>
      <c r="E124" s="166"/>
      <c r="F124" s="164"/>
      <c r="G124" s="164"/>
      <c r="H124" s="164"/>
      <c r="I124" s="169" t="s">
        <v>249</v>
      </c>
      <c r="J124" s="169">
        <v>6</v>
      </c>
      <c r="K124" s="169"/>
      <c r="L124" s="169"/>
      <c r="M124" s="169"/>
      <c r="N124" s="151"/>
      <c r="O124" s="254"/>
    </row>
    <row r="125" spans="1:15" x14ac:dyDescent="0.2">
      <c r="A125" s="164" t="s">
        <v>21</v>
      </c>
      <c r="B125" s="164">
        <v>1674</v>
      </c>
      <c r="C125" s="164">
        <v>3</v>
      </c>
      <c r="D125" s="168">
        <v>43691</v>
      </c>
      <c r="E125" s="166"/>
      <c r="F125" s="164"/>
      <c r="G125" s="164"/>
      <c r="H125" s="164"/>
      <c r="I125" s="169"/>
      <c r="J125" s="169">
        <v>9</v>
      </c>
      <c r="K125" s="169"/>
      <c r="L125" s="169"/>
      <c r="M125" s="169"/>
      <c r="N125" s="151"/>
      <c r="O125" s="254"/>
    </row>
    <row r="126" spans="1:15" x14ac:dyDescent="0.2">
      <c r="A126" s="164" t="s">
        <v>21</v>
      </c>
      <c r="B126" s="164">
        <v>1674</v>
      </c>
      <c r="C126" s="164">
        <v>3</v>
      </c>
      <c r="D126" s="168">
        <v>43705</v>
      </c>
      <c r="E126" s="166"/>
      <c r="F126" s="164"/>
      <c r="G126" s="164"/>
      <c r="H126" s="164"/>
      <c r="I126" s="169"/>
      <c r="J126" s="169">
        <v>8</v>
      </c>
      <c r="K126" s="169"/>
      <c r="L126" s="169"/>
      <c r="M126" s="169"/>
      <c r="N126" s="151"/>
      <c r="O126" s="254">
        <f>COUNTA(J122:J132)</f>
        <v>11</v>
      </c>
    </row>
    <row r="127" spans="1:15" x14ac:dyDescent="0.2">
      <c r="A127" s="164" t="s">
        <v>21</v>
      </c>
      <c r="B127" s="164">
        <v>1674</v>
      </c>
      <c r="C127" s="164">
        <v>3</v>
      </c>
      <c r="D127" s="168">
        <v>43721</v>
      </c>
      <c r="E127" s="166"/>
      <c r="F127" s="164"/>
      <c r="G127" s="164"/>
      <c r="H127" s="164"/>
      <c r="I127" s="169"/>
      <c r="J127" s="169">
        <v>14</v>
      </c>
      <c r="K127" s="169"/>
      <c r="L127" s="169"/>
      <c r="M127" s="169"/>
      <c r="N127" s="151"/>
      <c r="O127" s="254"/>
    </row>
    <row r="128" spans="1:15" x14ac:dyDescent="0.2">
      <c r="A128" s="164" t="s">
        <v>21</v>
      </c>
      <c r="B128" s="164">
        <v>1674</v>
      </c>
      <c r="C128" s="164">
        <v>3</v>
      </c>
      <c r="D128" s="168">
        <v>43721</v>
      </c>
      <c r="E128" s="166"/>
      <c r="F128" s="164"/>
      <c r="G128" s="164"/>
      <c r="H128" s="164"/>
      <c r="I128" s="169"/>
      <c r="J128" s="169">
        <v>15</v>
      </c>
      <c r="K128" s="169"/>
      <c r="L128" s="169"/>
      <c r="M128" s="169"/>
      <c r="N128" s="151">
        <f>AVERAGE(J127:J128)</f>
        <v>14.5</v>
      </c>
      <c r="O128" s="254"/>
    </row>
    <row r="129" spans="1:15" x14ac:dyDescent="0.2">
      <c r="A129" s="164" t="s">
        <v>21</v>
      </c>
      <c r="B129" s="164">
        <v>1674</v>
      </c>
      <c r="C129" s="164">
        <v>3</v>
      </c>
      <c r="D129" s="168">
        <v>43733</v>
      </c>
      <c r="E129" s="166"/>
      <c r="F129" s="164"/>
      <c r="G129" s="164"/>
      <c r="H129" s="164"/>
      <c r="I129" s="169"/>
      <c r="J129" s="169">
        <v>17</v>
      </c>
      <c r="K129" s="169"/>
      <c r="L129" s="169"/>
      <c r="M129" s="169"/>
      <c r="N129" s="151"/>
      <c r="O129" s="254"/>
    </row>
    <row r="130" spans="1:15" x14ac:dyDescent="0.2">
      <c r="A130" s="164" t="s">
        <v>21</v>
      </c>
      <c r="B130" s="164">
        <v>1674</v>
      </c>
      <c r="C130" s="164">
        <v>3</v>
      </c>
      <c r="D130" s="168">
        <v>43747</v>
      </c>
      <c r="E130" s="166"/>
      <c r="F130" s="164"/>
      <c r="G130" s="164"/>
      <c r="H130" s="164"/>
      <c r="I130" s="169"/>
      <c r="J130" s="169">
        <v>7</v>
      </c>
      <c r="K130" s="169"/>
      <c r="L130" s="169"/>
      <c r="M130" s="169"/>
      <c r="N130" s="151"/>
      <c r="O130" s="255">
        <f>AVERAGE(J122:J126,J129:J132,N128)</f>
        <v>9.15</v>
      </c>
    </row>
    <row r="131" spans="1:15" x14ac:dyDescent="0.2">
      <c r="A131" s="164" t="s">
        <v>21</v>
      </c>
      <c r="B131" s="164">
        <v>1674</v>
      </c>
      <c r="C131" s="164">
        <v>3</v>
      </c>
      <c r="D131" s="168">
        <v>43759</v>
      </c>
      <c r="E131" s="166"/>
      <c r="F131" s="164"/>
      <c r="G131" s="164"/>
      <c r="H131" s="164"/>
      <c r="I131" s="169"/>
      <c r="J131" s="169">
        <v>8</v>
      </c>
      <c r="K131" s="169"/>
      <c r="L131" s="169"/>
      <c r="M131" s="169"/>
      <c r="N131" s="151"/>
      <c r="O131" s="254"/>
    </row>
    <row r="132" spans="1:15" x14ac:dyDescent="0.2">
      <c r="A132" s="164" t="s">
        <v>21</v>
      </c>
      <c r="B132" s="164">
        <v>1674</v>
      </c>
      <c r="C132" s="164">
        <v>3</v>
      </c>
      <c r="D132" s="168">
        <v>43771</v>
      </c>
      <c r="E132" s="166"/>
      <c r="F132" s="164"/>
      <c r="G132" s="164"/>
      <c r="H132" s="164"/>
      <c r="I132" s="169"/>
      <c r="J132" s="169">
        <v>9</v>
      </c>
      <c r="K132" s="169"/>
      <c r="L132" s="169"/>
      <c r="M132" s="169"/>
      <c r="N132" s="151"/>
      <c r="O132" s="254"/>
    </row>
    <row r="133" spans="1:15" x14ac:dyDescent="0.2">
      <c r="A133" s="164"/>
      <c r="B133" s="164"/>
      <c r="C133" s="164"/>
      <c r="D133" s="164"/>
      <c r="E133" s="166"/>
      <c r="F133" s="164"/>
      <c r="G133" s="164"/>
      <c r="H133" s="164"/>
      <c r="I133" s="164"/>
      <c r="J133" s="164"/>
      <c r="K133" s="164"/>
      <c r="L133" s="164"/>
      <c r="M133" s="164"/>
      <c r="N133" s="32"/>
      <c r="O133" s="32"/>
    </row>
  </sheetData>
  <sortState xmlns:xlrd2="http://schemas.microsoft.com/office/spreadsheetml/2017/richdata2" ref="A3:M103">
    <sortCondition ref="C2"/>
  </sortState>
  <mergeCells count="1">
    <mergeCell ref="O1:R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A9E-D22E-4376-B5F2-8FEF6E7DCDD7}">
  <dimension ref="A1:V47"/>
  <sheetViews>
    <sheetView tabSelected="1" topLeftCell="A25" workbookViewId="0">
      <selection activeCell="M1" sqref="M1"/>
    </sheetView>
  </sheetViews>
  <sheetFormatPr baseColWidth="10" defaultColWidth="8.83203125" defaultRowHeight="15" x14ac:dyDescent="0.2"/>
  <cols>
    <col min="1" max="1" width="8.1640625" bestFit="1" customWidth="1"/>
    <col min="2" max="2" width="6.5" bestFit="1" customWidth="1"/>
    <col min="3" max="3" width="8.1640625" bestFit="1" customWidth="1"/>
    <col min="4" max="4" width="13.6640625" customWidth="1"/>
    <col min="5" max="5" width="7.83203125" bestFit="1" customWidth="1"/>
    <col min="6" max="6" width="8.1640625" bestFit="1" customWidth="1"/>
    <col min="7" max="7" width="6.5" bestFit="1" customWidth="1"/>
    <col min="8" max="9" width="5" bestFit="1" customWidth="1"/>
    <col min="10" max="10" width="11.5" bestFit="1" customWidth="1"/>
    <col min="11" max="11" width="6.33203125" bestFit="1" customWidth="1"/>
    <col min="12" max="12" width="6.83203125" bestFit="1" customWidth="1"/>
    <col min="13" max="13" width="5.5" bestFit="1" customWidth="1"/>
    <col min="14" max="14" width="21" bestFit="1" customWidth="1"/>
    <col min="15" max="15" width="8.5" bestFit="1" customWidth="1"/>
    <col min="16" max="16" width="9.5" bestFit="1" customWidth="1"/>
    <col min="17" max="17" width="10.83203125" bestFit="1" customWidth="1"/>
    <col min="18" max="18" width="9.1640625" bestFit="1" customWidth="1"/>
    <col min="19" max="19" width="5" bestFit="1" customWidth="1"/>
    <col min="21" max="21" width="7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</row>
    <row r="2" spans="1:21" x14ac:dyDescent="0.2">
      <c r="A2" t="s">
        <v>21</v>
      </c>
      <c r="B2">
        <v>1674</v>
      </c>
      <c r="C2">
        <v>1</v>
      </c>
      <c r="D2" s="2">
        <v>29817</v>
      </c>
      <c r="E2" t="s">
        <v>22</v>
      </c>
      <c r="F2">
        <v>2</v>
      </c>
      <c r="G2">
        <v>10</v>
      </c>
      <c r="H2" t="s">
        <v>32</v>
      </c>
      <c r="I2">
        <v>7.1</v>
      </c>
      <c r="J2" t="s">
        <v>32</v>
      </c>
      <c r="K2" t="s">
        <v>208</v>
      </c>
      <c r="L2">
        <v>40</v>
      </c>
      <c r="M2" t="s">
        <v>209</v>
      </c>
      <c r="N2" t="s">
        <v>32</v>
      </c>
      <c r="O2" t="s">
        <v>208</v>
      </c>
      <c r="P2">
        <v>83</v>
      </c>
      <c r="Q2" t="s">
        <v>210</v>
      </c>
      <c r="R2" t="s">
        <v>208</v>
      </c>
      <c r="S2">
        <v>22</v>
      </c>
      <c r="T2" t="s">
        <v>193</v>
      </c>
      <c r="U2" t="s">
        <v>208</v>
      </c>
    </row>
    <row r="3" spans="1:21" x14ac:dyDescent="0.2">
      <c r="A3" t="s">
        <v>21</v>
      </c>
      <c r="B3">
        <v>1674</v>
      </c>
      <c r="C3">
        <v>1</v>
      </c>
      <c r="D3" s="2">
        <v>30405</v>
      </c>
      <c r="E3" t="s">
        <v>22</v>
      </c>
      <c r="F3">
        <v>2</v>
      </c>
      <c r="G3">
        <v>10</v>
      </c>
      <c r="H3" t="s">
        <v>32</v>
      </c>
      <c r="I3">
        <v>6.8</v>
      </c>
      <c r="J3" t="s">
        <v>32</v>
      </c>
      <c r="K3" t="s">
        <v>208</v>
      </c>
      <c r="L3">
        <v>40</v>
      </c>
      <c r="M3" t="s">
        <v>209</v>
      </c>
      <c r="N3" t="s">
        <v>32</v>
      </c>
      <c r="O3" t="s">
        <v>208</v>
      </c>
      <c r="P3">
        <v>80</v>
      </c>
      <c r="Q3" t="s">
        <v>210</v>
      </c>
      <c r="R3" t="s">
        <v>208</v>
      </c>
      <c r="S3">
        <v>21</v>
      </c>
      <c r="T3" t="s">
        <v>193</v>
      </c>
      <c r="U3" t="s">
        <v>208</v>
      </c>
    </row>
    <row r="4" spans="1:21" x14ac:dyDescent="0.2">
      <c r="A4" t="s">
        <v>21</v>
      </c>
      <c r="B4">
        <v>1674</v>
      </c>
      <c r="C4">
        <v>1</v>
      </c>
      <c r="D4" s="2">
        <v>30537</v>
      </c>
      <c r="E4" t="s">
        <v>22</v>
      </c>
      <c r="F4">
        <v>2</v>
      </c>
      <c r="G4">
        <v>0.5</v>
      </c>
      <c r="H4" t="s">
        <v>211</v>
      </c>
      <c r="I4">
        <v>7.2</v>
      </c>
      <c r="J4" t="s">
        <v>210</v>
      </c>
      <c r="K4" t="s">
        <v>208</v>
      </c>
    </row>
    <row r="5" spans="1:21" x14ac:dyDescent="0.2">
      <c r="A5" t="s">
        <v>21</v>
      </c>
      <c r="B5">
        <v>1674</v>
      </c>
      <c r="C5">
        <v>1</v>
      </c>
      <c r="D5" s="2">
        <v>30537</v>
      </c>
      <c r="E5" t="s">
        <v>22</v>
      </c>
      <c r="F5">
        <v>2</v>
      </c>
      <c r="G5">
        <v>11.6</v>
      </c>
      <c r="H5" t="s">
        <v>211</v>
      </c>
      <c r="I5">
        <v>6.77</v>
      </c>
      <c r="J5" t="s">
        <v>210</v>
      </c>
      <c r="K5" t="s">
        <v>208</v>
      </c>
    </row>
    <row r="6" spans="1:21" x14ac:dyDescent="0.2">
      <c r="A6" t="s">
        <v>21</v>
      </c>
      <c r="B6">
        <v>1674</v>
      </c>
      <c r="C6">
        <v>1</v>
      </c>
      <c r="D6" s="2">
        <v>30854</v>
      </c>
      <c r="E6" t="s">
        <v>22</v>
      </c>
      <c r="F6">
        <v>3</v>
      </c>
      <c r="G6">
        <v>1</v>
      </c>
      <c r="H6" t="s">
        <v>211</v>
      </c>
      <c r="I6">
        <v>7.4</v>
      </c>
      <c r="J6" t="s">
        <v>210</v>
      </c>
      <c r="K6" t="s">
        <v>208</v>
      </c>
    </row>
    <row r="7" spans="1:21" x14ac:dyDescent="0.2">
      <c r="A7" t="s">
        <v>21</v>
      </c>
      <c r="B7">
        <v>1674</v>
      </c>
      <c r="C7">
        <v>1</v>
      </c>
      <c r="D7" s="2">
        <v>30854</v>
      </c>
      <c r="E7" t="s">
        <v>22</v>
      </c>
      <c r="F7">
        <v>3</v>
      </c>
      <c r="G7">
        <v>40</v>
      </c>
      <c r="H7" t="s">
        <v>211</v>
      </c>
      <c r="I7">
        <v>7.1</v>
      </c>
      <c r="J7" t="s">
        <v>210</v>
      </c>
      <c r="K7" t="s">
        <v>208</v>
      </c>
    </row>
    <row r="8" spans="1:21" x14ac:dyDescent="0.2">
      <c r="A8" t="s">
        <v>21</v>
      </c>
      <c r="B8">
        <v>1674</v>
      </c>
      <c r="C8">
        <v>1</v>
      </c>
      <c r="D8" s="2">
        <v>31541</v>
      </c>
      <c r="E8" t="s">
        <v>22</v>
      </c>
      <c r="F8">
        <v>2</v>
      </c>
      <c r="G8">
        <v>0.5</v>
      </c>
      <c r="H8" t="s">
        <v>211</v>
      </c>
      <c r="I8">
        <v>6.4</v>
      </c>
      <c r="J8" t="s">
        <v>32</v>
      </c>
      <c r="K8" t="s">
        <v>208</v>
      </c>
    </row>
    <row r="9" spans="1:21" x14ac:dyDescent="0.2">
      <c r="A9" t="s">
        <v>21</v>
      </c>
      <c r="B9">
        <v>1674</v>
      </c>
      <c r="C9">
        <v>1</v>
      </c>
      <c r="D9" s="2">
        <v>31573</v>
      </c>
      <c r="E9" t="s">
        <v>22</v>
      </c>
      <c r="F9">
        <v>2</v>
      </c>
      <c r="G9">
        <v>0.5</v>
      </c>
      <c r="H9" t="s">
        <v>211</v>
      </c>
      <c r="I9">
        <v>7.2</v>
      </c>
      <c r="J9" t="s">
        <v>32</v>
      </c>
      <c r="K9" t="s">
        <v>208</v>
      </c>
    </row>
    <row r="10" spans="1:21" x14ac:dyDescent="0.2">
      <c r="A10" t="s">
        <v>21</v>
      </c>
      <c r="B10">
        <v>1674</v>
      </c>
      <c r="C10">
        <v>1</v>
      </c>
      <c r="D10" s="2">
        <v>31590</v>
      </c>
      <c r="E10" t="s">
        <v>22</v>
      </c>
      <c r="F10">
        <v>2</v>
      </c>
      <c r="G10">
        <v>0.5</v>
      </c>
      <c r="H10" t="s">
        <v>211</v>
      </c>
      <c r="I10">
        <v>7.3</v>
      </c>
      <c r="J10" t="s">
        <v>32</v>
      </c>
      <c r="K10" t="s">
        <v>208</v>
      </c>
    </row>
    <row r="11" spans="1:21" x14ac:dyDescent="0.2">
      <c r="A11" t="s">
        <v>21</v>
      </c>
      <c r="B11">
        <v>1674</v>
      </c>
      <c r="C11">
        <v>1</v>
      </c>
      <c r="D11" s="2">
        <v>31609</v>
      </c>
      <c r="E11" t="s">
        <v>22</v>
      </c>
      <c r="F11">
        <v>2</v>
      </c>
      <c r="G11">
        <v>0.5</v>
      </c>
      <c r="H11" t="s">
        <v>211</v>
      </c>
      <c r="I11">
        <v>7.4</v>
      </c>
      <c r="J11" t="s">
        <v>32</v>
      </c>
      <c r="K11" t="s">
        <v>208</v>
      </c>
    </row>
    <row r="12" spans="1:21" x14ac:dyDescent="0.2">
      <c r="A12" t="s">
        <v>21</v>
      </c>
      <c r="B12">
        <v>1674</v>
      </c>
      <c r="C12">
        <v>1</v>
      </c>
      <c r="D12" s="2">
        <v>31636</v>
      </c>
      <c r="E12" t="s">
        <v>22</v>
      </c>
      <c r="F12">
        <v>2</v>
      </c>
      <c r="G12">
        <v>0.5</v>
      </c>
      <c r="H12" t="s">
        <v>211</v>
      </c>
      <c r="I12">
        <v>7.4</v>
      </c>
      <c r="J12" t="s">
        <v>32</v>
      </c>
      <c r="K12" t="s">
        <v>208</v>
      </c>
    </row>
    <row r="13" spans="1:21" x14ac:dyDescent="0.2">
      <c r="A13" t="s">
        <v>21</v>
      </c>
      <c r="B13">
        <v>1674</v>
      </c>
      <c r="C13">
        <v>1</v>
      </c>
      <c r="D13" s="2">
        <v>31636</v>
      </c>
      <c r="E13" t="s">
        <v>22</v>
      </c>
      <c r="F13">
        <v>2</v>
      </c>
      <c r="G13">
        <v>13</v>
      </c>
      <c r="H13" t="s">
        <v>211</v>
      </c>
      <c r="I13">
        <v>6.8</v>
      </c>
      <c r="J13" t="s">
        <v>32</v>
      </c>
      <c r="K13" t="s">
        <v>208</v>
      </c>
    </row>
    <row r="14" spans="1:21" x14ac:dyDescent="0.2">
      <c r="A14" t="s">
        <v>21</v>
      </c>
      <c r="B14">
        <v>1674</v>
      </c>
      <c r="C14">
        <v>1</v>
      </c>
      <c r="D14" s="2">
        <v>31651</v>
      </c>
      <c r="E14" t="s">
        <v>22</v>
      </c>
      <c r="F14">
        <v>2</v>
      </c>
      <c r="G14">
        <v>0.5</v>
      </c>
      <c r="H14" t="s">
        <v>211</v>
      </c>
      <c r="I14">
        <v>7.2</v>
      </c>
      <c r="J14" t="s">
        <v>32</v>
      </c>
      <c r="K14" t="s">
        <v>208</v>
      </c>
    </row>
    <row r="15" spans="1:21" x14ac:dyDescent="0.2">
      <c r="A15" t="s">
        <v>21</v>
      </c>
      <c r="B15">
        <v>1674</v>
      </c>
      <c r="C15">
        <v>1</v>
      </c>
      <c r="D15" s="2">
        <v>31663</v>
      </c>
      <c r="E15" t="s">
        <v>22</v>
      </c>
      <c r="F15">
        <v>2</v>
      </c>
      <c r="G15">
        <v>0.5</v>
      </c>
      <c r="H15" t="s">
        <v>211</v>
      </c>
      <c r="I15">
        <v>7.5</v>
      </c>
      <c r="J15" t="s">
        <v>32</v>
      </c>
      <c r="K15" t="s">
        <v>208</v>
      </c>
    </row>
    <row r="16" spans="1:21" x14ac:dyDescent="0.2">
      <c r="A16" t="s">
        <v>21</v>
      </c>
      <c r="B16">
        <v>1674</v>
      </c>
      <c r="C16">
        <v>1</v>
      </c>
      <c r="D16" s="2">
        <v>31663</v>
      </c>
      <c r="E16" t="s">
        <v>22</v>
      </c>
      <c r="F16">
        <v>2</v>
      </c>
      <c r="G16">
        <v>11</v>
      </c>
      <c r="H16" t="s">
        <v>211</v>
      </c>
      <c r="I16">
        <v>7.1</v>
      </c>
      <c r="J16" t="s">
        <v>32</v>
      </c>
      <c r="K16" t="s">
        <v>208</v>
      </c>
    </row>
    <row r="17" spans="1:21" x14ac:dyDescent="0.2">
      <c r="A17" t="s">
        <v>21</v>
      </c>
      <c r="B17">
        <v>1674</v>
      </c>
      <c r="C17">
        <v>1</v>
      </c>
      <c r="D17" s="2">
        <v>31663</v>
      </c>
      <c r="E17" t="s">
        <v>22</v>
      </c>
      <c r="F17">
        <v>2</v>
      </c>
      <c r="G17">
        <v>10</v>
      </c>
      <c r="H17" t="s">
        <v>32</v>
      </c>
      <c r="L17">
        <v>40</v>
      </c>
      <c r="M17" t="s">
        <v>209</v>
      </c>
      <c r="N17" t="s">
        <v>32</v>
      </c>
      <c r="O17" t="s">
        <v>208</v>
      </c>
      <c r="P17">
        <v>71</v>
      </c>
      <c r="Q17" t="s">
        <v>210</v>
      </c>
      <c r="R17" t="s">
        <v>208</v>
      </c>
      <c r="S17">
        <v>20</v>
      </c>
      <c r="T17" t="s">
        <v>193</v>
      </c>
      <c r="U17" t="s">
        <v>208</v>
      </c>
    </row>
    <row r="18" spans="1:21" x14ac:dyDescent="0.2">
      <c r="A18" t="s">
        <v>21</v>
      </c>
      <c r="B18">
        <v>1674</v>
      </c>
      <c r="C18">
        <v>2</v>
      </c>
      <c r="D18" s="2">
        <v>31834</v>
      </c>
      <c r="E18" t="s">
        <v>22</v>
      </c>
      <c r="F18">
        <v>2</v>
      </c>
      <c r="G18">
        <v>0.5</v>
      </c>
      <c r="H18" t="s">
        <v>211</v>
      </c>
      <c r="I18">
        <v>7</v>
      </c>
      <c r="J18" t="s">
        <v>32</v>
      </c>
      <c r="K18" t="s">
        <v>208</v>
      </c>
    </row>
    <row r="19" spans="1:21" x14ac:dyDescent="0.2">
      <c r="A19" t="s">
        <v>21</v>
      </c>
      <c r="B19">
        <v>1674</v>
      </c>
      <c r="C19">
        <v>2</v>
      </c>
      <c r="D19" s="2">
        <v>31834</v>
      </c>
      <c r="E19" t="s">
        <v>22</v>
      </c>
      <c r="F19">
        <v>2</v>
      </c>
      <c r="G19">
        <v>8</v>
      </c>
      <c r="H19" t="s">
        <v>211</v>
      </c>
      <c r="I19">
        <v>6.8</v>
      </c>
      <c r="J19" t="s">
        <v>32</v>
      </c>
      <c r="K19" t="s">
        <v>208</v>
      </c>
    </row>
    <row r="20" spans="1:21" x14ac:dyDescent="0.2">
      <c r="A20" t="s">
        <v>21</v>
      </c>
      <c r="B20">
        <v>1674</v>
      </c>
      <c r="C20">
        <v>1</v>
      </c>
      <c r="D20" s="2">
        <v>31906</v>
      </c>
      <c r="E20" t="s">
        <v>22</v>
      </c>
      <c r="F20">
        <v>2</v>
      </c>
      <c r="G20">
        <v>10</v>
      </c>
      <c r="H20" t="s">
        <v>32</v>
      </c>
      <c r="I20">
        <v>7.3</v>
      </c>
      <c r="J20" t="s">
        <v>32</v>
      </c>
      <c r="K20" t="s">
        <v>208</v>
      </c>
    </row>
    <row r="21" spans="1:21" x14ac:dyDescent="0.2">
      <c r="A21" t="s">
        <v>21</v>
      </c>
      <c r="B21">
        <v>1674</v>
      </c>
      <c r="C21">
        <v>2</v>
      </c>
      <c r="D21" s="2">
        <v>31906</v>
      </c>
      <c r="E21" t="s">
        <v>22</v>
      </c>
      <c r="F21">
        <v>2</v>
      </c>
      <c r="G21">
        <v>10</v>
      </c>
      <c r="H21" t="s">
        <v>32</v>
      </c>
      <c r="I21">
        <v>7.3</v>
      </c>
      <c r="J21" t="s">
        <v>32</v>
      </c>
      <c r="K21" t="s">
        <v>208</v>
      </c>
    </row>
    <row r="22" spans="1:21" x14ac:dyDescent="0.2">
      <c r="A22" t="s">
        <v>21</v>
      </c>
      <c r="B22">
        <v>1674</v>
      </c>
      <c r="C22">
        <v>1</v>
      </c>
      <c r="D22" s="2">
        <v>31925</v>
      </c>
      <c r="E22" t="s">
        <v>22</v>
      </c>
      <c r="F22">
        <v>2</v>
      </c>
      <c r="G22">
        <v>10</v>
      </c>
      <c r="H22" t="s">
        <v>32</v>
      </c>
      <c r="I22">
        <v>7.1</v>
      </c>
      <c r="J22" t="s">
        <v>32</v>
      </c>
      <c r="K22" t="s">
        <v>208</v>
      </c>
      <c r="L22">
        <v>35</v>
      </c>
      <c r="M22" t="s">
        <v>209</v>
      </c>
      <c r="N22" t="s">
        <v>32</v>
      </c>
      <c r="O22" t="s">
        <v>208</v>
      </c>
      <c r="P22">
        <v>72</v>
      </c>
      <c r="Q22" t="s">
        <v>210</v>
      </c>
      <c r="R22" t="s">
        <v>208</v>
      </c>
      <c r="S22">
        <v>19</v>
      </c>
      <c r="T22" t="s">
        <v>193</v>
      </c>
      <c r="U22" t="s">
        <v>208</v>
      </c>
    </row>
    <row r="23" spans="1:21" x14ac:dyDescent="0.2">
      <c r="A23" t="s">
        <v>21</v>
      </c>
      <c r="B23">
        <v>1674</v>
      </c>
      <c r="C23">
        <v>1</v>
      </c>
      <c r="D23" s="2">
        <v>31951</v>
      </c>
      <c r="E23" t="s">
        <v>22</v>
      </c>
      <c r="F23">
        <v>2</v>
      </c>
      <c r="G23">
        <v>10</v>
      </c>
      <c r="H23" t="s">
        <v>32</v>
      </c>
      <c r="I23">
        <v>7.2</v>
      </c>
      <c r="J23" t="s">
        <v>32</v>
      </c>
      <c r="K23" t="s">
        <v>208</v>
      </c>
    </row>
    <row r="24" spans="1:21" x14ac:dyDescent="0.2">
      <c r="A24" t="s">
        <v>21</v>
      </c>
      <c r="B24">
        <v>1674</v>
      </c>
      <c r="C24">
        <v>1</v>
      </c>
      <c r="D24" s="2">
        <v>31987</v>
      </c>
      <c r="E24" t="s">
        <v>22</v>
      </c>
      <c r="F24">
        <v>2</v>
      </c>
      <c r="G24">
        <v>7</v>
      </c>
      <c r="H24" t="s">
        <v>32</v>
      </c>
      <c r="I24">
        <v>7.4</v>
      </c>
      <c r="J24" t="s">
        <v>32</v>
      </c>
      <c r="K24" t="s">
        <v>208</v>
      </c>
    </row>
    <row r="25" spans="1:21" x14ac:dyDescent="0.2">
      <c r="A25" t="s">
        <v>21</v>
      </c>
      <c r="B25">
        <v>1674</v>
      </c>
      <c r="C25">
        <v>1</v>
      </c>
      <c r="D25" s="2">
        <v>32014</v>
      </c>
      <c r="E25" t="s">
        <v>22</v>
      </c>
      <c r="F25">
        <v>2</v>
      </c>
      <c r="G25">
        <v>0.5</v>
      </c>
      <c r="H25" t="s">
        <v>211</v>
      </c>
      <c r="I25">
        <v>7.4</v>
      </c>
      <c r="J25" t="s">
        <v>32</v>
      </c>
      <c r="K25" t="s">
        <v>208</v>
      </c>
    </row>
    <row r="26" spans="1:21" x14ac:dyDescent="0.2">
      <c r="A26" t="s">
        <v>21</v>
      </c>
      <c r="B26">
        <v>1674</v>
      </c>
      <c r="C26">
        <v>1</v>
      </c>
      <c r="D26" s="2">
        <v>32014</v>
      </c>
      <c r="E26" t="s">
        <v>22</v>
      </c>
      <c r="F26">
        <v>2</v>
      </c>
      <c r="G26">
        <v>10</v>
      </c>
      <c r="H26" t="s">
        <v>32</v>
      </c>
      <c r="L26">
        <v>30</v>
      </c>
      <c r="M26" t="s">
        <v>209</v>
      </c>
      <c r="N26" t="s">
        <v>32</v>
      </c>
      <c r="O26" t="s">
        <v>208</v>
      </c>
      <c r="P26">
        <v>84</v>
      </c>
      <c r="Q26" t="s">
        <v>210</v>
      </c>
      <c r="R26" t="s">
        <v>208</v>
      </c>
      <c r="S26">
        <v>25</v>
      </c>
      <c r="T26" t="s">
        <v>193</v>
      </c>
      <c r="U26" t="s">
        <v>208</v>
      </c>
    </row>
    <row r="27" spans="1:21" x14ac:dyDescent="0.2">
      <c r="A27" t="s">
        <v>21</v>
      </c>
      <c r="B27">
        <v>1674</v>
      </c>
      <c r="C27">
        <v>1</v>
      </c>
      <c r="D27" s="2">
        <v>32035</v>
      </c>
      <c r="E27" t="s">
        <v>22</v>
      </c>
      <c r="F27">
        <v>2</v>
      </c>
      <c r="G27">
        <v>10</v>
      </c>
      <c r="H27" t="s">
        <v>32</v>
      </c>
      <c r="L27">
        <v>35</v>
      </c>
      <c r="M27" t="s">
        <v>209</v>
      </c>
      <c r="N27" t="s">
        <v>32</v>
      </c>
      <c r="O27" t="s">
        <v>208</v>
      </c>
      <c r="P27">
        <v>87</v>
      </c>
      <c r="Q27" t="s">
        <v>210</v>
      </c>
      <c r="R27" t="s">
        <v>208</v>
      </c>
      <c r="S27">
        <v>24</v>
      </c>
      <c r="T27" t="s">
        <v>193</v>
      </c>
      <c r="U27" t="s">
        <v>208</v>
      </c>
    </row>
    <row r="28" spans="1:21" x14ac:dyDescent="0.2">
      <c r="A28" t="s">
        <v>21</v>
      </c>
      <c r="B28">
        <v>1674</v>
      </c>
      <c r="C28">
        <v>1</v>
      </c>
      <c r="D28" s="2">
        <v>32768</v>
      </c>
      <c r="E28" t="s">
        <v>22</v>
      </c>
      <c r="F28">
        <v>2</v>
      </c>
      <c r="G28">
        <v>7</v>
      </c>
      <c r="H28" t="s">
        <v>32</v>
      </c>
      <c r="P28">
        <v>65</v>
      </c>
      <c r="Q28" t="s">
        <v>217</v>
      </c>
    </row>
    <row r="29" spans="1:21" x14ac:dyDescent="0.2">
      <c r="A29" t="s">
        <v>21</v>
      </c>
      <c r="B29">
        <v>1674</v>
      </c>
      <c r="C29">
        <v>1</v>
      </c>
      <c r="D29" s="2">
        <v>33106</v>
      </c>
      <c r="E29" t="s">
        <v>22</v>
      </c>
      <c r="F29">
        <v>2</v>
      </c>
      <c r="G29">
        <v>10</v>
      </c>
      <c r="H29" t="s">
        <v>32</v>
      </c>
      <c r="I29">
        <v>7.13</v>
      </c>
      <c r="J29" t="s">
        <v>210</v>
      </c>
      <c r="K29" t="s">
        <v>208</v>
      </c>
      <c r="L29">
        <v>40</v>
      </c>
      <c r="M29" t="s">
        <v>209</v>
      </c>
      <c r="N29" t="s">
        <v>26</v>
      </c>
      <c r="O29" t="s">
        <v>208</v>
      </c>
      <c r="P29">
        <v>61</v>
      </c>
      <c r="Q29" t="s">
        <v>210</v>
      </c>
      <c r="R29" t="s">
        <v>208</v>
      </c>
      <c r="S29">
        <v>49.5</v>
      </c>
      <c r="T29" t="s">
        <v>193</v>
      </c>
      <c r="U29" t="s">
        <v>208</v>
      </c>
    </row>
    <row r="30" spans="1:21" x14ac:dyDescent="0.2">
      <c r="A30" t="s">
        <v>21</v>
      </c>
      <c r="B30">
        <v>1674</v>
      </c>
      <c r="C30">
        <v>1</v>
      </c>
      <c r="D30" s="2">
        <v>34511</v>
      </c>
      <c r="E30" t="s">
        <v>22</v>
      </c>
      <c r="F30">
        <v>2</v>
      </c>
      <c r="G30">
        <v>10</v>
      </c>
      <c r="H30" t="s">
        <v>32</v>
      </c>
      <c r="L30">
        <v>35</v>
      </c>
      <c r="M30" t="s">
        <v>209</v>
      </c>
      <c r="N30" t="s">
        <v>212</v>
      </c>
      <c r="O30" t="s">
        <v>208</v>
      </c>
    </row>
    <row r="31" spans="1:21" x14ac:dyDescent="0.2">
      <c r="A31" t="s">
        <v>21</v>
      </c>
      <c r="B31">
        <v>1674</v>
      </c>
      <c r="C31">
        <v>1</v>
      </c>
      <c r="D31" s="2">
        <v>35654</v>
      </c>
      <c r="E31" t="s">
        <v>22</v>
      </c>
      <c r="F31">
        <v>2</v>
      </c>
      <c r="G31">
        <v>9</v>
      </c>
      <c r="H31" t="s">
        <v>32</v>
      </c>
      <c r="I31">
        <v>7.56</v>
      </c>
      <c r="J31" t="s">
        <v>211</v>
      </c>
      <c r="K31" t="s">
        <v>213</v>
      </c>
      <c r="L31">
        <v>30</v>
      </c>
      <c r="M31" t="s">
        <v>209</v>
      </c>
      <c r="N31" t="s">
        <v>212</v>
      </c>
      <c r="O31" t="s">
        <v>208</v>
      </c>
      <c r="P31">
        <v>75</v>
      </c>
      <c r="Q31" t="s">
        <v>214</v>
      </c>
      <c r="R31" t="s">
        <v>208</v>
      </c>
      <c r="S31">
        <v>28</v>
      </c>
      <c r="T31" t="s">
        <v>30</v>
      </c>
      <c r="U31" t="s">
        <v>208</v>
      </c>
    </row>
    <row r="32" spans="1:21" x14ac:dyDescent="0.2">
      <c r="A32" t="s">
        <v>21</v>
      </c>
      <c r="B32">
        <v>1674</v>
      </c>
      <c r="C32">
        <v>1</v>
      </c>
      <c r="D32" s="2">
        <v>36689</v>
      </c>
      <c r="E32" t="s">
        <v>22</v>
      </c>
      <c r="F32">
        <v>2</v>
      </c>
      <c r="G32">
        <v>10</v>
      </c>
      <c r="H32" t="s">
        <v>32</v>
      </c>
      <c r="L32">
        <v>30</v>
      </c>
      <c r="M32" t="s">
        <v>209</v>
      </c>
      <c r="N32" t="s">
        <v>26</v>
      </c>
      <c r="O32" t="s">
        <v>208</v>
      </c>
      <c r="P32">
        <v>71</v>
      </c>
      <c r="Q32" t="s">
        <v>214</v>
      </c>
      <c r="R32" t="s">
        <v>208</v>
      </c>
      <c r="S32">
        <v>25</v>
      </c>
      <c r="T32" t="s">
        <v>30</v>
      </c>
      <c r="U32" t="s">
        <v>208</v>
      </c>
    </row>
    <row r="33" spans="1:22" x14ac:dyDescent="0.2">
      <c r="A33" t="s">
        <v>21</v>
      </c>
      <c r="B33">
        <v>1674</v>
      </c>
      <c r="C33">
        <v>1</v>
      </c>
      <c r="D33" s="2">
        <v>36752</v>
      </c>
      <c r="E33" t="s">
        <v>22</v>
      </c>
      <c r="F33">
        <v>2</v>
      </c>
      <c r="G33">
        <v>10</v>
      </c>
      <c r="H33" t="s">
        <v>32</v>
      </c>
      <c r="L33">
        <v>25</v>
      </c>
      <c r="M33" t="s">
        <v>209</v>
      </c>
      <c r="N33" t="s">
        <v>212</v>
      </c>
      <c r="O33" t="s">
        <v>208</v>
      </c>
      <c r="P33">
        <v>83</v>
      </c>
      <c r="Q33" t="s">
        <v>214</v>
      </c>
      <c r="R33" t="s">
        <v>208</v>
      </c>
      <c r="S33">
        <v>29</v>
      </c>
      <c r="T33" t="s">
        <v>30</v>
      </c>
      <c r="U33" t="s">
        <v>208</v>
      </c>
    </row>
    <row r="34" spans="1:22" x14ac:dyDescent="0.2">
      <c r="A34" t="s">
        <v>21</v>
      </c>
      <c r="B34">
        <v>1674</v>
      </c>
      <c r="C34">
        <v>1</v>
      </c>
      <c r="D34" s="2">
        <v>37857</v>
      </c>
      <c r="E34" t="s">
        <v>22</v>
      </c>
      <c r="F34">
        <v>2</v>
      </c>
      <c r="G34">
        <v>9</v>
      </c>
      <c r="H34" t="s">
        <v>32</v>
      </c>
      <c r="L34">
        <v>45</v>
      </c>
      <c r="M34" t="s">
        <v>209</v>
      </c>
      <c r="N34" t="s">
        <v>26</v>
      </c>
      <c r="P34">
        <v>85</v>
      </c>
      <c r="Q34" t="s">
        <v>214</v>
      </c>
      <c r="S34">
        <v>30.5</v>
      </c>
      <c r="T34" t="s">
        <v>30</v>
      </c>
    </row>
    <row r="35" spans="1:22" x14ac:dyDescent="0.2">
      <c r="A35" t="s">
        <v>21</v>
      </c>
      <c r="B35">
        <v>1674</v>
      </c>
      <c r="C35">
        <v>1</v>
      </c>
      <c r="D35" s="2">
        <v>37857</v>
      </c>
      <c r="E35" t="s">
        <v>22</v>
      </c>
      <c r="F35">
        <v>2</v>
      </c>
      <c r="G35">
        <v>9</v>
      </c>
      <c r="H35" t="s">
        <v>32</v>
      </c>
      <c r="L35">
        <v>35</v>
      </c>
      <c r="M35" t="s">
        <v>209</v>
      </c>
      <c r="N35" t="s">
        <v>212</v>
      </c>
    </row>
    <row r="36" spans="1:22" x14ac:dyDescent="0.2">
      <c r="A36" t="s">
        <v>21</v>
      </c>
      <c r="B36">
        <v>1674</v>
      </c>
      <c r="C36">
        <v>1</v>
      </c>
      <c r="D36" s="2">
        <v>37857</v>
      </c>
      <c r="E36" t="s">
        <v>22</v>
      </c>
      <c r="F36">
        <v>2</v>
      </c>
      <c r="G36">
        <v>9</v>
      </c>
      <c r="H36" t="s">
        <v>32</v>
      </c>
      <c r="L36">
        <v>65</v>
      </c>
      <c r="M36" t="s">
        <v>209</v>
      </c>
      <c r="N36" t="s">
        <v>215</v>
      </c>
    </row>
    <row r="37" spans="1:22" x14ac:dyDescent="0.2">
      <c r="A37" t="s">
        <v>21</v>
      </c>
      <c r="B37">
        <v>1674</v>
      </c>
      <c r="C37">
        <v>1</v>
      </c>
      <c r="D37" s="2">
        <v>37857</v>
      </c>
      <c r="E37" t="s">
        <v>22</v>
      </c>
      <c r="F37">
        <v>2</v>
      </c>
      <c r="G37">
        <v>9</v>
      </c>
      <c r="H37" t="s">
        <v>32</v>
      </c>
      <c r="L37">
        <v>45</v>
      </c>
      <c r="M37" t="s">
        <v>216</v>
      </c>
      <c r="N37" t="s">
        <v>215</v>
      </c>
    </row>
    <row r="38" spans="1:22" x14ac:dyDescent="0.2">
      <c r="A38" t="s">
        <v>21</v>
      </c>
      <c r="B38">
        <v>1674</v>
      </c>
      <c r="C38">
        <v>1</v>
      </c>
      <c r="D38" s="2">
        <v>37857</v>
      </c>
      <c r="E38" t="s">
        <v>22</v>
      </c>
      <c r="F38">
        <v>2</v>
      </c>
      <c r="G38">
        <v>9</v>
      </c>
      <c r="H38" t="s">
        <v>32</v>
      </c>
      <c r="L38">
        <v>48</v>
      </c>
      <c r="M38" t="s">
        <v>216</v>
      </c>
      <c r="N38" t="s">
        <v>215</v>
      </c>
    </row>
    <row r="39" spans="1:22" x14ac:dyDescent="0.2">
      <c r="A39" t="s">
        <v>21</v>
      </c>
      <c r="B39">
        <v>1674</v>
      </c>
      <c r="C39">
        <v>1</v>
      </c>
      <c r="D39" s="2">
        <v>37857</v>
      </c>
      <c r="E39" t="s">
        <v>22</v>
      </c>
      <c r="F39">
        <v>2</v>
      </c>
      <c r="G39">
        <v>9</v>
      </c>
      <c r="H39" t="s">
        <v>32</v>
      </c>
      <c r="L39">
        <v>74</v>
      </c>
      <c r="M39" t="s">
        <v>209</v>
      </c>
      <c r="N39" t="s">
        <v>215</v>
      </c>
    </row>
    <row r="40" spans="1:22" x14ac:dyDescent="0.2">
      <c r="A40" t="s">
        <v>21</v>
      </c>
      <c r="B40">
        <v>1674</v>
      </c>
      <c r="C40">
        <v>1</v>
      </c>
      <c r="D40" s="2">
        <v>38583</v>
      </c>
      <c r="E40" t="s">
        <v>22</v>
      </c>
      <c r="F40">
        <v>2</v>
      </c>
      <c r="G40">
        <v>9</v>
      </c>
      <c r="H40" t="s">
        <v>32</v>
      </c>
      <c r="I40">
        <v>7.69</v>
      </c>
      <c r="J40" t="s">
        <v>211</v>
      </c>
      <c r="K40" t="s">
        <v>213</v>
      </c>
      <c r="L40">
        <v>59</v>
      </c>
      <c r="M40" t="s">
        <v>209</v>
      </c>
      <c r="N40" t="s">
        <v>215</v>
      </c>
      <c r="P40">
        <v>85</v>
      </c>
      <c r="Q40" t="s">
        <v>214</v>
      </c>
      <c r="S40">
        <v>29.2</v>
      </c>
      <c r="T40" t="s">
        <v>211</v>
      </c>
      <c r="U40" t="s">
        <v>213</v>
      </c>
    </row>
    <row r="41" spans="1:22" x14ac:dyDescent="0.2">
      <c r="A41" t="s">
        <v>21</v>
      </c>
      <c r="B41">
        <v>1674</v>
      </c>
      <c r="C41">
        <v>1</v>
      </c>
      <c r="D41" s="2">
        <v>38583</v>
      </c>
      <c r="E41" t="s">
        <v>22</v>
      </c>
      <c r="F41">
        <v>2</v>
      </c>
      <c r="G41">
        <v>9</v>
      </c>
      <c r="H41" t="s">
        <v>32</v>
      </c>
      <c r="L41">
        <v>19</v>
      </c>
      <c r="M41" t="s">
        <v>216</v>
      </c>
      <c r="N41" t="s">
        <v>215</v>
      </c>
    </row>
    <row r="42" spans="1:22" x14ac:dyDescent="0.2">
      <c r="A42" t="s">
        <v>21</v>
      </c>
      <c r="B42">
        <v>1674</v>
      </c>
      <c r="C42">
        <v>1</v>
      </c>
      <c r="D42" s="2">
        <v>42604</v>
      </c>
      <c r="E42" t="s">
        <v>22</v>
      </c>
      <c r="F42">
        <v>2</v>
      </c>
      <c r="G42">
        <v>9</v>
      </c>
      <c r="H42" t="s">
        <v>32</v>
      </c>
      <c r="I42">
        <v>7.72</v>
      </c>
      <c r="J42" t="s">
        <v>210</v>
      </c>
      <c r="K42" t="s">
        <v>208</v>
      </c>
      <c r="L42">
        <v>18</v>
      </c>
      <c r="M42" t="s">
        <v>216</v>
      </c>
      <c r="N42" t="s">
        <v>218</v>
      </c>
      <c r="O42" t="s">
        <v>208</v>
      </c>
      <c r="P42">
        <v>77</v>
      </c>
      <c r="Q42" t="s">
        <v>219</v>
      </c>
      <c r="R42" t="s">
        <v>208</v>
      </c>
      <c r="S42">
        <v>30</v>
      </c>
      <c r="T42" t="s">
        <v>30</v>
      </c>
      <c r="U42" t="s">
        <v>208</v>
      </c>
    </row>
    <row r="43" spans="1:22" x14ac:dyDescent="0.2">
      <c r="A43" t="s">
        <v>21</v>
      </c>
      <c r="B43">
        <v>1674</v>
      </c>
      <c r="C43">
        <v>1</v>
      </c>
      <c r="D43" s="2">
        <v>42604</v>
      </c>
      <c r="E43" t="s">
        <v>22</v>
      </c>
      <c r="F43">
        <v>2</v>
      </c>
      <c r="G43">
        <v>9</v>
      </c>
      <c r="H43" t="s">
        <v>32</v>
      </c>
      <c r="L43">
        <v>32</v>
      </c>
      <c r="M43" t="s">
        <v>209</v>
      </c>
      <c r="N43" t="s">
        <v>218</v>
      </c>
      <c r="O43" t="s">
        <v>208</v>
      </c>
    </row>
    <row r="44" spans="1:22" x14ac:dyDescent="0.2">
      <c r="A44" t="s">
        <v>21</v>
      </c>
      <c r="B44">
        <v>1674</v>
      </c>
      <c r="C44">
        <v>1</v>
      </c>
      <c r="D44" s="2">
        <v>42996</v>
      </c>
      <c r="E44" t="s">
        <v>22</v>
      </c>
      <c r="F44">
        <v>2</v>
      </c>
      <c r="G44">
        <v>6</v>
      </c>
      <c r="H44" t="s">
        <v>32</v>
      </c>
      <c r="I44">
        <v>8</v>
      </c>
      <c r="J44" t="s">
        <v>220</v>
      </c>
      <c r="K44" t="s">
        <v>208</v>
      </c>
      <c r="L44">
        <v>50</v>
      </c>
      <c r="M44" t="s">
        <v>209</v>
      </c>
      <c r="N44" t="s">
        <v>221</v>
      </c>
      <c r="O44" t="s">
        <v>208</v>
      </c>
      <c r="P44">
        <v>79</v>
      </c>
      <c r="Q44" t="s">
        <v>222</v>
      </c>
      <c r="R44" t="s">
        <v>208</v>
      </c>
      <c r="S44">
        <v>29</v>
      </c>
      <c r="T44" t="s">
        <v>30</v>
      </c>
      <c r="U44" t="s">
        <v>208</v>
      </c>
    </row>
    <row r="45" spans="1:22" x14ac:dyDescent="0.2">
      <c r="A45" t="s">
        <v>21</v>
      </c>
      <c r="B45">
        <v>1674</v>
      </c>
      <c r="C45">
        <v>1</v>
      </c>
      <c r="D45" s="2">
        <v>42996</v>
      </c>
      <c r="E45" t="s">
        <v>22</v>
      </c>
      <c r="F45">
        <v>2</v>
      </c>
      <c r="G45">
        <v>6</v>
      </c>
      <c r="H45" t="s">
        <v>32</v>
      </c>
      <c r="L45">
        <v>17</v>
      </c>
      <c r="M45" t="s">
        <v>216</v>
      </c>
      <c r="N45" t="s">
        <v>221</v>
      </c>
      <c r="O45" t="s">
        <v>208</v>
      </c>
    </row>
    <row r="46" spans="1:22" x14ac:dyDescent="0.2">
      <c r="A46" t="s">
        <v>21</v>
      </c>
      <c r="B46">
        <v>1674</v>
      </c>
      <c r="C46">
        <v>1</v>
      </c>
      <c r="D46" s="2">
        <v>43334</v>
      </c>
      <c r="E46" t="s">
        <v>22</v>
      </c>
      <c r="F46">
        <v>2</v>
      </c>
      <c r="G46">
        <v>9</v>
      </c>
      <c r="H46" t="s">
        <v>32</v>
      </c>
      <c r="I46">
        <v>7.36</v>
      </c>
      <c r="J46" t="s">
        <v>210</v>
      </c>
      <c r="K46" t="s">
        <v>208</v>
      </c>
      <c r="L46">
        <v>10</v>
      </c>
      <c r="M46" t="s">
        <v>216</v>
      </c>
      <c r="N46" t="s">
        <v>215</v>
      </c>
      <c r="O46" t="s">
        <v>208</v>
      </c>
      <c r="S46">
        <v>29.5</v>
      </c>
      <c r="T46" t="s">
        <v>30</v>
      </c>
      <c r="U46" t="s">
        <v>208</v>
      </c>
    </row>
    <row r="47" spans="1:22" s="177" customFormat="1" x14ac:dyDescent="0.2">
      <c r="A47" s="212" t="s">
        <v>21</v>
      </c>
      <c r="B47" s="212">
        <v>1674</v>
      </c>
      <c r="C47" s="212">
        <v>1</v>
      </c>
      <c r="D47" s="271">
        <v>43705</v>
      </c>
      <c r="E47" s="212" t="s">
        <v>22</v>
      </c>
      <c r="F47" s="212">
        <v>2</v>
      </c>
      <c r="G47" s="212">
        <v>9</v>
      </c>
      <c r="H47" s="212" t="s">
        <v>32</v>
      </c>
      <c r="I47" s="212">
        <v>7.7</v>
      </c>
      <c r="J47" s="212" t="s">
        <v>210</v>
      </c>
      <c r="K47" s="212" t="s">
        <v>208</v>
      </c>
      <c r="L47" s="212">
        <v>17</v>
      </c>
      <c r="M47" s="212" t="s">
        <v>216</v>
      </c>
      <c r="N47" s="212" t="s">
        <v>215</v>
      </c>
      <c r="O47" s="212" t="s">
        <v>208</v>
      </c>
      <c r="P47" s="212">
        <v>86</v>
      </c>
      <c r="Q47" s="212" t="s">
        <v>214</v>
      </c>
      <c r="R47" s="212" t="s">
        <v>208</v>
      </c>
      <c r="S47" s="212">
        <v>28</v>
      </c>
      <c r="T47" s="212" t="s">
        <v>30</v>
      </c>
      <c r="U47" s="212" t="s">
        <v>208</v>
      </c>
      <c r="V47" s="212"/>
    </row>
  </sheetData>
  <sortState xmlns:xlrd2="http://schemas.microsoft.com/office/spreadsheetml/2017/richdata2" ref="A2:U4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9E88-50A9-461B-B83B-E16D5E0D7E71}">
  <dimension ref="A1:AU413"/>
  <sheetViews>
    <sheetView topLeftCell="A26" zoomScaleNormal="100" workbookViewId="0">
      <selection activeCell="W45" sqref="W45"/>
    </sheetView>
  </sheetViews>
  <sheetFormatPr baseColWidth="10" defaultColWidth="8.83203125" defaultRowHeight="15" x14ac:dyDescent="0.2"/>
  <cols>
    <col min="1" max="1" width="8.1640625" style="177" bestFit="1" customWidth="1"/>
    <col min="2" max="2" width="6.5" style="177" hidden="1" customWidth="1"/>
    <col min="3" max="3" width="6.5" style="177" customWidth="1"/>
    <col min="4" max="4" width="10.6640625" style="177" bestFit="1" customWidth="1"/>
    <col min="5" max="5" width="7" style="177" hidden="1" customWidth="1"/>
    <col min="6" max="6" width="8.1640625" style="177" hidden="1" customWidth="1"/>
    <col min="7" max="7" width="8.5" style="177" hidden="1" customWidth="1"/>
    <col min="8" max="8" width="5.33203125" style="177" hidden="1" customWidth="1"/>
    <col min="9" max="9" width="20" style="177" hidden="1" customWidth="1"/>
    <col min="10" max="10" width="9.6640625" style="177" hidden="1" customWidth="1"/>
    <col min="11" max="12" width="11.33203125" style="177" hidden="1" customWidth="1"/>
    <col min="13" max="13" width="9.33203125" style="177" hidden="1" customWidth="1"/>
    <col min="14" max="14" width="9.1640625" style="177" hidden="1" customWidth="1"/>
    <col min="15" max="15" width="10.5" style="177" hidden="1" customWidth="1"/>
    <col min="16" max="16" width="7.1640625" style="177" bestFit="1" customWidth="1"/>
    <col min="17" max="17" width="3" style="177" hidden="1" customWidth="1"/>
    <col min="18" max="18" width="6.33203125" style="177" hidden="1" customWidth="1"/>
    <col min="19" max="19" width="2.6640625" style="177" customWidth="1"/>
    <col min="20" max="20" width="9" style="177" hidden="1" customWidth="1"/>
    <col min="21" max="21" width="7" style="177" hidden="1" customWidth="1"/>
    <col min="22" max="22" width="15.1640625" style="177" hidden="1" customWidth="1"/>
    <col min="23" max="23" width="8.83203125" style="15"/>
    <col min="24" max="24" width="4" style="177" customWidth="1"/>
    <col min="25" max="25" width="8" style="127" customWidth="1"/>
    <col min="26" max="26" width="9.1640625" style="127" hidden="1" customWidth="1"/>
    <col min="27" max="28" width="5.83203125" style="127" hidden="1" customWidth="1"/>
    <col min="29" max="29" width="9.1640625" style="127" customWidth="1"/>
    <col min="30" max="31" width="5.83203125" style="127" customWidth="1"/>
    <col min="32" max="32" width="9.1640625" style="129" customWidth="1"/>
    <col min="33" max="34" width="5.83203125" style="129" customWidth="1"/>
    <col min="35" max="35" width="8.1640625" style="177" customWidth="1"/>
    <col min="36" max="36" width="4" style="177" customWidth="1"/>
    <col min="37" max="16384" width="8.83203125" style="177"/>
  </cols>
  <sheetData>
    <row r="1" spans="1:35" x14ac:dyDescent="0.2">
      <c r="A1" s="177" t="s">
        <v>0</v>
      </c>
      <c r="B1" s="177" t="s">
        <v>1</v>
      </c>
      <c r="C1" s="177" t="s">
        <v>2</v>
      </c>
      <c r="D1" s="177" t="s">
        <v>3</v>
      </c>
      <c r="E1" s="177" t="s">
        <v>238</v>
      </c>
      <c r="F1" s="177" t="s">
        <v>4</v>
      </c>
      <c r="G1" s="177" t="s">
        <v>5</v>
      </c>
      <c r="H1" s="177" t="s">
        <v>6</v>
      </c>
      <c r="I1" s="177" t="s">
        <v>7</v>
      </c>
      <c r="J1" s="177" t="s">
        <v>8</v>
      </c>
      <c r="K1" s="177" t="s">
        <v>9</v>
      </c>
      <c r="L1" s="177" t="s">
        <v>10</v>
      </c>
      <c r="M1" s="177" t="s">
        <v>11</v>
      </c>
      <c r="N1" s="177" t="s">
        <v>12</v>
      </c>
      <c r="O1" s="177" t="s">
        <v>13</v>
      </c>
      <c r="P1" s="177" t="s">
        <v>14</v>
      </c>
      <c r="Q1" s="177" t="s">
        <v>15</v>
      </c>
      <c r="R1" s="177" t="s">
        <v>16</v>
      </c>
      <c r="S1" s="177" t="s">
        <v>17</v>
      </c>
      <c r="T1" s="177" t="s">
        <v>18</v>
      </c>
      <c r="U1" s="177" t="s">
        <v>19</v>
      </c>
      <c r="V1" s="177" t="s">
        <v>20</v>
      </c>
      <c r="W1" s="15" t="s">
        <v>239</v>
      </c>
      <c r="Y1" s="287" t="s">
        <v>241</v>
      </c>
      <c r="Z1" s="285" t="s">
        <v>240</v>
      </c>
      <c r="AA1" s="285"/>
      <c r="AB1" s="286"/>
      <c r="AC1" s="284" t="s">
        <v>247</v>
      </c>
      <c r="AD1" s="285"/>
      <c r="AE1" s="285"/>
      <c r="AF1" s="284" t="s">
        <v>273</v>
      </c>
      <c r="AG1" s="285"/>
      <c r="AH1" s="285"/>
      <c r="AI1" s="107"/>
    </row>
    <row r="2" spans="1:35" x14ac:dyDescent="0.2">
      <c r="A2" s="12" t="s">
        <v>21</v>
      </c>
      <c r="B2" s="12">
        <v>1674</v>
      </c>
      <c r="C2" s="12">
        <v>2</v>
      </c>
      <c r="D2" s="13">
        <v>31834</v>
      </c>
      <c r="E2" s="14">
        <f t="shared" ref="E2:E15" si="0">YEAR(D2)</f>
        <v>1987</v>
      </c>
      <c r="F2" s="12" t="s">
        <v>22</v>
      </c>
      <c r="G2" s="12">
        <v>2</v>
      </c>
      <c r="H2" s="12" t="s">
        <v>67</v>
      </c>
      <c r="I2" s="12" t="s">
        <v>24</v>
      </c>
      <c r="J2" s="12" t="s">
        <v>66</v>
      </c>
      <c r="K2" s="12"/>
      <c r="L2" s="12"/>
      <c r="M2" s="12">
        <v>8</v>
      </c>
      <c r="N2" s="12">
        <v>1</v>
      </c>
      <c r="O2" s="12" t="s">
        <v>32</v>
      </c>
      <c r="P2" s="12">
        <v>2.9</v>
      </c>
      <c r="Q2" s="12" t="s">
        <v>26</v>
      </c>
      <c r="R2" s="12" t="s">
        <v>27</v>
      </c>
      <c r="S2" s="12" t="s">
        <v>28</v>
      </c>
      <c r="T2" s="12"/>
      <c r="U2" s="12"/>
      <c r="V2" s="12"/>
      <c r="W2" s="18"/>
      <c r="Y2" s="288"/>
      <c r="Z2" s="109" t="s">
        <v>242</v>
      </c>
      <c r="AA2" s="109" t="s">
        <v>243</v>
      </c>
      <c r="AB2" s="109" t="s">
        <v>244</v>
      </c>
      <c r="AC2" s="110" t="s">
        <v>242</v>
      </c>
      <c r="AD2" s="109" t="s">
        <v>243</v>
      </c>
      <c r="AE2" s="109" t="s">
        <v>244</v>
      </c>
      <c r="AF2" s="110" t="s">
        <v>242</v>
      </c>
      <c r="AG2" s="109" t="s">
        <v>243</v>
      </c>
      <c r="AH2" s="109" t="s">
        <v>244</v>
      </c>
      <c r="AI2" s="107"/>
    </row>
    <row r="3" spans="1:35" x14ac:dyDescent="0.2">
      <c r="A3" s="7" t="s">
        <v>21</v>
      </c>
      <c r="B3" s="7">
        <v>1674</v>
      </c>
      <c r="C3" s="7">
        <v>2</v>
      </c>
      <c r="D3" s="8">
        <v>31906</v>
      </c>
      <c r="E3" s="9">
        <f t="shared" si="0"/>
        <v>1987</v>
      </c>
      <c r="F3" s="7" t="s">
        <v>22</v>
      </c>
      <c r="G3" s="7">
        <v>2</v>
      </c>
      <c r="H3" s="7" t="s">
        <v>54</v>
      </c>
      <c r="I3" s="7" t="s">
        <v>24</v>
      </c>
      <c r="J3" s="7" t="s">
        <v>66</v>
      </c>
      <c r="K3" s="7"/>
      <c r="L3" s="7"/>
      <c r="M3" s="7">
        <v>15</v>
      </c>
      <c r="N3" s="7">
        <v>6</v>
      </c>
      <c r="O3" s="7" t="s">
        <v>32</v>
      </c>
      <c r="P3" s="7">
        <v>2.8</v>
      </c>
      <c r="Q3" s="7" t="s">
        <v>26</v>
      </c>
      <c r="R3" s="7" t="s">
        <v>27</v>
      </c>
      <c r="S3" s="7" t="s">
        <v>28</v>
      </c>
      <c r="T3" s="7"/>
      <c r="U3" s="7"/>
      <c r="V3" s="7"/>
      <c r="W3" s="16"/>
      <c r="Y3" s="111">
        <v>1981</v>
      </c>
      <c r="Z3" s="112" t="e">
        <f>AVERAGEIF($E$2:$E$292,"1981",$P$2:$P$292)</f>
        <v>#DIV/0!</v>
      </c>
      <c r="AA3" s="112">
        <f>_xlfn.MINIFS($P$2:$P$292,$E$2:$E$292,"1981")</f>
        <v>0</v>
      </c>
      <c r="AB3" s="112">
        <f>_xlfn.MAXIFS($P$2:$P$292,$E$2:$E$292,"1981")</f>
        <v>0</v>
      </c>
      <c r="AC3" s="113"/>
      <c r="AD3" s="114"/>
      <c r="AE3" s="114"/>
      <c r="AF3" s="115"/>
      <c r="AG3" s="116"/>
      <c r="AH3" s="116"/>
      <c r="AI3" s="27"/>
    </row>
    <row r="4" spans="1:35" x14ac:dyDescent="0.2">
      <c r="A4" s="7" t="s">
        <v>21</v>
      </c>
      <c r="B4" s="7">
        <v>1674</v>
      </c>
      <c r="C4" s="7">
        <v>2</v>
      </c>
      <c r="D4" s="8">
        <v>31925</v>
      </c>
      <c r="E4" s="9">
        <f t="shared" si="0"/>
        <v>1987</v>
      </c>
      <c r="F4" s="7" t="s">
        <v>22</v>
      </c>
      <c r="G4" s="7">
        <v>2</v>
      </c>
      <c r="H4" s="7" t="s">
        <v>69</v>
      </c>
      <c r="I4" s="7" t="s">
        <v>70</v>
      </c>
      <c r="J4" s="7" t="s">
        <v>24</v>
      </c>
      <c r="K4" s="7"/>
      <c r="L4" s="7"/>
      <c r="M4" s="7">
        <v>12</v>
      </c>
      <c r="N4" s="7">
        <v>1</v>
      </c>
      <c r="O4" s="7" t="s">
        <v>32</v>
      </c>
      <c r="P4" s="7">
        <v>4</v>
      </c>
      <c r="Q4" s="7" t="s">
        <v>26</v>
      </c>
      <c r="R4" s="7" t="s">
        <v>27</v>
      </c>
      <c r="S4" s="7" t="s">
        <v>28</v>
      </c>
      <c r="T4" s="7"/>
      <c r="U4" s="7"/>
      <c r="V4" s="7"/>
      <c r="W4" s="16"/>
      <c r="Y4" s="111">
        <v>1982</v>
      </c>
      <c r="Z4" s="195"/>
      <c r="AA4" s="195"/>
      <c r="AB4" s="195"/>
      <c r="AC4" s="113"/>
      <c r="AD4" s="114"/>
      <c r="AE4" s="114"/>
      <c r="AF4" s="115"/>
      <c r="AG4" s="116"/>
      <c r="AH4" s="116"/>
      <c r="AI4" s="31"/>
    </row>
    <row r="5" spans="1:35" x14ac:dyDescent="0.2">
      <c r="A5" s="7" t="s">
        <v>21</v>
      </c>
      <c r="B5" s="7">
        <v>1674</v>
      </c>
      <c r="C5" s="7">
        <v>2</v>
      </c>
      <c r="D5" s="8">
        <v>31937</v>
      </c>
      <c r="E5" s="9">
        <f t="shared" si="0"/>
        <v>1987</v>
      </c>
      <c r="F5" s="7" t="s">
        <v>22</v>
      </c>
      <c r="G5" s="7">
        <v>2</v>
      </c>
      <c r="H5" s="7" t="s">
        <v>72</v>
      </c>
      <c r="I5" s="7" t="s">
        <v>24</v>
      </c>
      <c r="J5" s="7" t="s">
        <v>66</v>
      </c>
      <c r="K5" s="7"/>
      <c r="L5" s="7"/>
      <c r="M5" s="7">
        <v>5</v>
      </c>
      <c r="N5" s="7">
        <v>2</v>
      </c>
      <c r="O5" s="7" t="s">
        <v>25</v>
      </c>
      <c r="P5" s="7">
        <v>3</v>
      </c>
      <c r="Q5" s="7" t="s">
        <v>26</v>
      </c>
      <c r="R5" s="7" t="s">
        <v>27</v>
      </c>
      <c r="S5" s="7" t="s">
        <v>28</v>
      </c>
      <c r="T5" s="7"/>
      <c r="U5" s="7"/>
      <c r="V5" s="7"/>
      <c r="W5" s="16"/>
      <c r="Y5" s="111">
        <v>1983</v>
      </c>
      <c r="Z5" s="112" t="e">
        <f>AVERAGEIF($E$2:$E$292,"1983",$P$2:$P$292)</f>
        <v>#DIV/0!</v>
      </c>
      <c r="AA5" s="112">
        <f>_xlfn.MINIFS($P$2:$P$292,$E$2:$E$292,"1983")</f>
        <v>0</v>
      </c>
      <c r="AB5" s="112">
        <f>_xlfn.MAXIFS($P$2:$P$292,$E$2:$E$292,"1983")</f>
        <v>0</v>
      </c>
      <c r="AC5" s="113"/>
      <c r="AD5" s="114"/>
      <c r="AE5" s="114"/>
      <c r="AF5" s="115"/>
      <c r="AG5" s="116"/>
      <c r="AH5" s="116"/>
      <c r="AI5" s="31"/>
    </row>
    <row r="6" spans="1:35" x14ac:dyDescent="0.2">
      <c r="A6" s="7" t="s">
        <v>21</v>
      </c>
      <c r="B6" s="7">
        <v>1674</v>
      </c>
      <c r="C6" s="7">
        <v>2</v>
      </c>
      <c r="D6" s="8">
        <v>31951</v>
      </c>
      <c r="E6" s="9">
        <f t="shared" si="0"/>
        <v>1987</v>
      </c>
      <c r="F6" s="7" t="s">
        <v>22</v>
      </c>
      <c r="G6" s="7">
        <v>2</v>
      </c>
      <c r="H6" s="7" t="s">
        <v>36</v>
      </c>
      <c r="I6" s="7" t="s">
        <v>24</v>
      </c>
      <c r="J6" s="7" t="s">
        <v>66</v>
      </c>
      <c r="K6" s="7"/>
      <c r="L6" s="7"/>
      <c r="M6" s="7">
        <v>5</v>
      </c>
      <c r="N6" s="7">
        <v>5</v>
      </c>
      <c r="O6" s="7" t="s">
        <v>25</v>
      </c>
      <c r="P6" s="7">
        <v>3.4</v>
      </c>
      <c r="Q6" s="7" t="s">
        <v>26</v>
      </c>
      <c r="R6" s="7" t="s">
        <v>27</v>
      </c>
      <c r="S6" s="7" t="s">
        <v>28</v>
      </c>
      <c r="T6" s="7"/>
      <c r="U6" s="7"/>
      <c r="V6" s="7"/>
      <c r="W6" s="16"/>
      <c r="Y6" s="111">
        <v>1984</v>
      </c>
      <c r="Z6" s="112" t="e">
        <f>AVERAGEIF($E$2:$E$292,"1984",$P$2:$P$292)</f>
        <v>#DIV/0!</v>
      </c>
      <c r="AA6" s="211">
        <f>_xlfn.MINIFS($P$2:$P$292,$E$2:$E$292,"1984")</f>
        <v>0</v>
      </c>
      <c r="AB6" s="112">
        <f>_xlfn.MAXIFS($P$2:$P$292,$E$2:$E$292,"1984")</f>
        <v>0</v>
      </c>
      <c r="AC6" s="113"/>
      <c r="AD6" s="114"/>
      <c r="AE6" s="114"/>
      <c r="AF6" s="115"/>
      <c r="AG6" s="116"/>
      <c r="AH6" s="116"/>
      <c r="AI6" s="31"/>
    </row>
    <row r="7" spans="1:35" x14ac:dyDescent="0.2">
      <c r="A7" s="7" t="s">
        <v>21</v>
      </c>
      <c r="B7" s="7">
        <v>1674</v>
      </c>
      <c r="C7" s="7">
        <v>2</v>
      </c>
      <c r="D7" s="8">
        <v>31971</v>
      </c>
      <c r="E7" s="9">
        <f t="shared" si="0"/>
        <v>1987</v>
      </c>
      <c r="F7" s="7" t="s">
        <v>22</v>
      </c>
      <c r="G7" s="7">
        <v>2</v>
      </c>
      <c r="H7" s="7" t="s">
        <v>74</v>
      </c>
      <c r="I7" s="7" t="s">
        <v>24</v>
      </c>
      <c r="J7" s="7" t="s">
        <v>66</v>
      </c>
      <c r="K7" s="7"/>
      <c r="L7" s="7"/>
      <c r="M7" s="7">
        <v>12</v>
      </c>
      <c r="N7" s="7">
        <v>5</v>
      </c>
      <c r="O7" s="7" t="s">
        <v>30</v>
      </c>
      <c r="P7" s="7">
        <v>3.7</v>
      </c>
      <c r="Q7" s="7" t="s">
        <v>26</v>
      </c>
      <c r="R7" s="7" t="s">
        <v>27</v>
      </c>
      <c r="S7" s="7" t="s">
        <v>28</v>
      </c>
      <c r="T7" s="7"/>
      <c r="U7" s="7"/>
      <c r="V7" s="7"/>
      <c r="W7" s="16"/>
      <c r="Y7" s="111">
        <v>1985</v>
      </c>
      <c r="Z7" s="195"/>
      <c r="AA7" s="195"/>
      <c r="AB7" s="195"/>
      <c r="AC7" s="113"/>
      <c r="AD7" s="114"/>
      <c r="AE7" s="114"/>
      <c r="AF7" s="115"/>
      <c r="AG7" s="116"/>
      <c r="AH7" s="116"/>
      <c r="AI7" s="31"/>
    </row>
    <row r="8" spans="1:35" x14ac:dyDescent="0.2">
      <c r="A8" s="7" t="s">
        <v>21</v>
      </c>
      <c r="B8" s="7">
        <v>1674</v>
      </c>
      <c r="C8" s="7">
        <v>2</v>
      </c>
      <c r="D8" s="8">
        <v>31987</v>
      </c>
      <c r="E8" s="9">
        <f t="shared" si="0"/>
        <v>1987</v>
      </c>
      <c r="F8" s="7" t="s">
        <v>22</v>
      </c>
      <c r="G8" s="7">
        <v>2</v>
      </c>
      <c r="H8" s="7" t="s">
        <v>77</v>
      </c>
      <c r="I8" s="7" t="s">
        <v>24</v>
      </c>
      <c r="J8" s="7" t="s">
        <v>51</v>
      </c>
      <c r="K8" s="7"/>
      <c r="L8" s="7"/>
      <c r="M8" s="7">
        <v>7</v>
      </c>
      <c r="N8" s="7">
        <v>1</v>
      </c>
      <c r="O8" s="7" t="s">
        <v>30</v>
      </c>
      <c r="P8" s="7">
        <v>2.4</v>
      </c>
      <c r="Q8" s="7" t="s">
        <v>26</v>
      </c>
      <c r="R8" s="7" t="s">
        <v>27</v>
      </c>
      <c r="S8" s="7" t="s">
        <v>28</v>
      </c>
      <c r="T8" s="7"/>
      <c r="U8" s="7"/>
      <c r="V8" s="7"/>
      <c r="W8" s="16"/>
      <c r="Y8" s="111">
        <v>1986</v>
      </c>
      <c r="Z8" s="112" t="e">
        <f>AVERAGEIF($E$2:$E$292,"1986",$P$2:$P$292)</f>
        <v>#DIV/0!</v>
      </c>
      <c r="AA8" s="112">
        <f>_xlfn.MINIFS($P$2:$P$292,$E$2:$E$292,"1986")</f>
        <v>0</v>
      </c>
      <c r="AB8" s="112">
        <f>_xlfn.MAXIFS($P$2:$P$292,$E$2:$E$292,"1986")</f>
        <v>0</v>
      </c>
      <c r="AC8" s="113"/>
      <c r="AD8" s="114"/>
      <c r="AE8" s="114"/>
      <c r="AF8" s="115"/>
      <c r="AG8" s="116"/>
      <c r="AH8" s="116"/>
      <c r="AI8" s="31"/>
    </row>
    <row r="9" spans="1:35" x14ac:dyDescent="0.2">
      <c r="A9" s="7" t="s">
        <v>21</v>
      </c>
      <c r="B9" s="7">
        <v>1674</v>
      </c>
      <c r="C9" s="7">
        <v>2</v>
      </c>
      <c r="D9" s="8">
        <v>32001</v>
      </c>
      <c r="E9" s="9">
        <f t="shared" si="0"/>
        <v>1987</v>
      </c>
      <c r="F9" s="7" t="s">
        <v>22</v>
      </c>
      <c r="G9" s="7">
        <v>2</v>
      </c>
      <c r="H9" s="7" t="s">
        <v>37</v>
      </c>
      <c r="I9" s="7" t="s">
        <v>24</v>
      </c>
      <c r="J9" s="7" t="s">
        <v>66</v>
      </c>
      <c r="K9" s="7"/>
      <c r="L9" s="7"/>
      <c r="M9" s="7">
        <v>3</v>
      </c>
      <c r="N9" s="7">
        <v>6</v>
      </c>
      <c r="O9" s="7" t="s">
        <v>32</v>
      </c>
      <c r="P9" s="7">
        <v>2</v>
      </c>
      <c r="Q9" s="7" t="s">
        <v>26</v>
      </c>
      <c r="R9" s="7" t="s">
        <v>27</v>
      </c>
      <c r="S9" s="7" t="s">
        <v>28</v>
      </c>
      <c r="T9" s="7"/>
      <c r="U9" s="7"/>
      <c r="V9" s="7"/>
      <c r="W9" s="16"/>
      <c r="Y9" s="111">
        <v>1987</v>
      </c>
      <c r="Z9" s="112">
        <f>AVERAGEIF($E$2:$E$292,"1987",$P$2:$P$292)</f>
        <v>2.6166666666666663</v>
      </c>
      <c r="AA9" s="112">
        <f>_xlfn.MINIFS($P$2:$P$292,$E$2:$E$292,"1987")</f>
        <v>1.5</v>
      </c>
      <c r="AB9" s="112">
        <f>_xlfn.MAXIFS($P$2:$P$292,$E$2:$E$292,"1987")</f>
        <v>4</v>
      </c>
      <c r="AC9" s="113">
        <f>AVERAGEIF($E$2:$E$28,"1987",$P$2:$P$28)</f>
        <v>2.6166666666666663</v>
      </c>
      <c r="AD9" s="114">
        <f>_xlfn.MINIFS($P$2:$P$28,$E$2:$E$28,"1987")</f>
        <v>1.5</v>
      </c>
      <c r="AE9" s="114">
        <f>_xlfn.MAXIFS($P$2:$P$28,$E$2:$E$28,"1987")</f>
        <v>4</v>
      </c>
      <c r="AF9" s="115"/>
      <c r="AG9" s="116"/>
      <c r="AH9" s="116"/>
      <c r="AI9" s="31"/>
    </row>
    <row r="10" spans="1:35" x14ac:dyDescent="0.2">
      <c r="A10" s="7" t="s">
        <v>21</v>
      </c>
      <c r="B10" s="7">
        <v>1674</v>
      </c>
      <c r="C10" s="7">
        <v>2</v>
      </c>
      <c r="D10" s="8">
        <v>32015</v>
      </c>
      <c r="E10" s="9">
        <f t="shared" si="0"/>
        <v>1987</v>
      </c>
      <c r="F10" s="7" t="s">
        <v>22</v>
      </c>
      <c r="G10" s="7">
        <v>2</v>
      </c>
      <c r="H10" s="7" t="s">
        <v>79</v>
      </c>
      <c r="I10" s="7" t="s">
        <v>24</v>
      </c>
      <c r="J10" s="7" t="s">
        <v>66</v>
      </c>
      <c r="K10" s="7"/>
      <c r="L10" s="7"/>
      <c r="M10" s="7">
        <v>15</v>
      </c>
      <c r="N10" s="7">
        <v>8</v>
      </c>
      <c r="O10" s="7" t="s">
        <v>32</v>
      </c>
      <c r="P10" s="7">
        <v>1.7</v>
      </c>
      <c r="Q10" s="7" t="s">
        <v>26</v>
      </c>
      <c r="R10" s="7" t="s">
        <v>27</v>
      </c>
      <c r="S10" s="7" t="s">
        <v>28</v>
      </c>
      <c r="T10" s="7"/>
      <c r="U10" s="7"/>
      <c r="V10" s="7"/>
      <c r="W10" s="16"/>
      <c r="Y10" s="111">
        <v>1988</v>
      </c>
      <c r="Z10" s="112" t="e">
        <f>AVERAGEIF($E$2:$E$292,"1988",$P$2:$P$292)</f>
        <v>#DIV/0!</v>
      </c>
      <c r="AA10" s="112">
        <f>_xlfn.MINIFS($P$2:$P$292,$E$2:$E$292,"1988")</f>
        <v>0</v>
      </c>
      <c r="AB10" s="210">
        <f>_xlfn.MAXIFS($P$2:$P$292,$E$2:$E$292,"1988")</f>
        <v>0</v>
      </c>
      <c r="AC10" s="113"/>
      <c r="AD10" s="114"/>
      <c r="AE10" s="114"/>
      <c r="AF10" s="115"/>
      <c r="AG10" s="116"/>
      <c r="AH10" s="116"/>
      <c r="AI10" s="31"/>
    </row>
    <row r="11" spans="1:35" x14ac:dyDescent="0.2">
      <c r="A11" s="7" t="s">
        <v>21</v>
      </c>
      <c r="B11" s="7">
        <v>1674</v>
      </c>
      <c r="C11" s="7">
        <v>2</v>
      </c>
      <c r="D11" s="8">
        <v>32035</v>
      </c>
      <c r="E11" s="9">
        <f t="shared" si="0"/>
        <v>1987</v>
      </c>
      <c r="F11" s="7" t="s">
        <v>22</v>
      </c>
      <c r="G11" s="7">
        <v>2</v>
      </c>
      <c r="H11" s="7" t="s">
        <v>82</v>
      </c>
      <c r="I11" s="7" t="s">
        <v>66</v>
      </c>
      <c r="J11" s="7" t="s">
        <v>81</v>
      </c>
      <c r="K11" s="7"/>
      <c r="L11" s="7"/>
      <c r="M11" s="7">
        <v>15</v>
      </c>
      <c r="N11" s="7">
        <v>8</v>
      </c>
      <c r="O11" s="7" t="s">
        <v>30</v>
      </c>
      <c r="P11" s="7">
        <v>1.5</v>
      </c>
      <c r="Q11" s="7" t="s">
        <v>26</v>
      </c>
      <c r="R11" s="7" t="s">
        <v>27</v>
      </c>
      <c r="S11" s="7" t="s">
        <v>28</v>
      </c>
      <c r="T11" s="7"/>
      <c r="U11" s="7"/>
      <c r="V11" s="7"/>
      <c r="W11" s="16"/>
      <c r="Y11" s="111">
        <v>1989</v>
      </c>
      <c r="Z11" s="112" t="e">
        <f>AVERAGEIF($E$2:$E$292,"1989",$P$2:$P$292)</f>
        <v>#DIV/0!</v>
      </c>
      <c r="AA11" s="112">
        <f>_xlfn.MINIFS($P$2:$P$292,$E$2:$E$292,"1989")</f>
        <v>0</v>
      </c>
      <c r="AB11" s="112">
        <f>_xlfn.MAXIFS($P$2:$P$292,$E$2:$E$292,"1989")</f>
        <v>0</v>
      </c>
      <c r="AC11" s="113"/>
      <c r="AD11" s="114"/>
      <c r="AE11" s="114"/>
      <c r="AF11" s="115"/>
      <c r="AG11" s="116"/>
      <c r="AH11" s="116"/>
      <c r="AI11" s="31"/>
    </row>
    <row r="12" spans="1:35" x14ac:dyDescent="0.2">
      <c r="A12" s="7" t="s">
        <v>21</v>
      </c>
      <c r="B12" s="7">
        <v>1674</v>
      </c>
      <c r="C12" s="7">
        <v>2</v>
      </c>
      <c r="D12" s="8">
        <v>32048</v>
      </c>
      <c r="E12" s="9">
        <f t="shared" si="0"/>
        <v>1987</v>
      </c>
      <c r="F12" s="7" t="s">
        <v>22</v>
      </c>
      <c r="G12" s="7">
        <v>2</v>
      </c>
      <c r="H12" s="7" t="s">
        <v>74</v>
      </c>
      <c r="I12" s="7" t="s">
        <v>24</v>
      </c>
      <c r="J12" s="7" t="s">
        <v>81</v>
      </c>
      <c r="K12" s="7"/>
      <c r="L12" s="7"/>
      <c r="M12" s="7">
        <v>10</v>
      </c>
      <c r="N12" s="7">
        <v>6</v>
      </c>
      <c r="O12" s="7" t="s">
        <v>25</v>
      </c>
      <c r="P12" s="7">
        <v>1.9</v>
      </c>
      <c r="Q12" s="7" t="s">
        <v>26</v>
      </c>
      <c r="R12" s="7" t="s">
        <v>27</v>
      </c>
      <c r="S12" s="7" t="s">
        <v>28</v>
      </c>
      <c r="T12" s="7"/>
      <c r="U12" s="7"/>
      <c r="V12" s="7"/>
      <c r="W12" s="16"/>
      <c r="Y12" s="111">
        <v>1990</v>
      </c>
      <c r="Z12" s="112" t="e">
        <f>AVERAGEIF($E$2:$E$292,"1990",$P$2:$P$292)</f>
        <v>#DIV/0!</v>
      </c>
      <c r="AA12" s="112">
        <f>_xlfn.MINIFS($P$2:$P$292,$E$2:$E$292,"1990")</f>
        <v>0</v>
      </c>
      <c r="AB12" s="112">
        <f>_xlfn.MAXIFS($P$2:$P$292,$E$2:$E$292,"1990")</f>
        <v>0</v>
      </c>
      <c r="AC12" s="113"/>
      <c r="AD12" s="114"/>
      <c r="AE12" s="114"/>
      <c r="AF12" s="115"/>
      <c r="AG12" s="116"/>
      <c r="AH12" s="116"/>
      <c r="AI12" s="31"/>
    </row>
    <row r="13" spans="1:35" x14ac:dyDescent="0.2">
      <c r="A13" s="7" t="s">
        <v>21</v>
      </c>
      <c r="B13" s="7">
        <v>1674</v>
      </c>
      <c r="C13" s="7">
        <v>2</v>
      </c>
      <c r="D13" s="8">
        <v>32065</v>
      </c>
      <c r="E13" s="9">
        <f t="shared" si="0"/>
        <v>1987</v>
      </c>
      <c r="F13" s="7" t="s">
        <v>22</v>
      </c>
      <c r="G13" s="7">
        <v>2</v>
      </c>
      <c r="H13" s="7" t="s">
        <v>46</v>
      </c>
      <c r="I13" s="7" t="s">
        <v>70</v>
      </c>
      <c r="J13" s="7" t="s">
        <v>24</v>
      </c>
      <c r="K13" s="7"/>
      <c r="L13" s="7"/>
      <c r="M13" s="7">
        <v>9</v>
      </c>
      <c r="N13" s="7">
        <v>8</v>
      </c>
      <c r="O13" s="7" t="s">
        <v>30</v>
      </c>
      <c r="P13" s="7">
        <v>2.1</v>
      </c>
      <c r="Q13" s="7" t="s">
        <v>26</v>
      </c>
      <c r="R13" s="7" t="s">
        <v>27</v>
      </c>
      <c r="S13" s="7" t="s">
        <v>28</v>
      </c>
      <c r="T13" s="7"/>
      <c r="U13" s="7"/>
      <c r="V13" s="7"/>
      <c r="W13" s="16"/>
      <c r="Y13" s="111">
        <v>1991</v>
      </c>
      <c r="Z13" s="112" t="e">
        <f>AVERAGE(P91:P98,W100,P101:P109)</f>
        <v>#DIV/0!</v>
      </c>
      <c r="AA13" s="112">
        <f>_xlfn.MINIFS($P$2:$P$292,$E$2:$E$292,"1991")</f>
        <v>0</v>
      </c>
      <c r="AB13" s="112">
        <f>_xlfn.MAXIFS($P$2:$P$292,$E$2:$E$292,"1991")</f>
        <v>0</v>
      </c>
      <c r="AC13" s="113"/>
      <c r="AD13" s="114"/>
      <c r="AE13" s="114"/>
      <c r="AF13" s="115"/>
      <c r="AG13" s="116"/>
      <c r="AH13" s="116"/>
      <c r="AI13" s="31"/>
    </row>
    <row r="14" spans="1:35" x14ac:dyDescent="0.2">
      <c r="A14" s="7" t="s">
        <v>21</v>
      </c>
      <c r="B14" s="7">
        <v>1674</v>
      </c>
      <c r="C14" s="7">
        <v>2</v>
      </c>
      <c r="D14" s="8">
        <v>33829</v>
      </c>
      <c r="E14" s="9">
        <f t="shared" si="0"/>
        <v>1992</v>
      </c>
      <c r="F14" s="7" t="s">
        <v>22</v>
      </c>
      <c r="G14" s="7">
        <v>2</v>
      </c>
      <c r="H14" s="7" t="s">
        <v>131</v>
      </c>
      <c r="I14" s="7" t="s">
        <v>129</v>
      </c>
      <c r="J14" s="7" t="s">
        <v>96</v>
      </c>
      <c r="K14" s="7"/>
      <c r="L14" s="7"/>
      <c r="M14" s="7"/>
      <c r="N14" s="7"/>
      <c r="O14" s="7" t="s">
        <v>30</v>
      </c>
      <c r="P14" s="7">
        <v>2.5</v>
      </c>
      <c r="Q14" s="7" t="s">
        <v>26</v>
      </c>
      <c r="R14" s="7" t="s">
        <v>27</v>
      </c>
      <c r="S14" s="7" t="s">
        <v>28</v>
      </c>
      <c r="T14" s="7"/>
      <c r="U14" s="7"/>
      <c r="V14" s="7"/>
      <c r="W14" s="16"/>
      <c r="Y14" s="111">
        <v>1992</v>
      </c>
      <c r="Z14" s="112">
        <f>AVERAGEIF($E$2:$E$292,"1992",$P$2:$P$292)</f>
        <v>2.5</v>
      </c>
      <c r="AA14" s="112">
        <f>_xlfn.MINIFS($P$2:$P$292,$E$2:$E$292,"1992")</f>
        <v>2.5</v>
      </c>
      <c r="AB14" s="112">
        <f>_xlfn.MAXIFS($P$2:$P$292,$E$2:$E$292,"1992")</f>
        <v>2.5</v>
      </c>
      <c r="AC14" s="113">
        <f>AVERAGEIF($E$2:$E$28,"1992",$P$2:$P$28)</f>
        <v>2.5</v>
      </c>
      <c r="AD14" s="114">
        <f>_xlfn.MINIFS($P$2:$P$28,$E$2:$E$28,"1992")</f>
        <v>2.5</v>
      </c>
      <c r="AE14" s="114">
        <f>_xlfn.MAXIFS($P$2:$P$28,$E$2:$E$28,"1992")</f>
        <v>2.5</v>
      </c>
      <c r="AF14" s="115"/>
      <c r="AG14" s="116"/>
      <c r="AH14" s="116"/>
      <c r="AI14" s="31"/>
    </row>
    <row r="15" spans="1:35" x14ac:dyDescent="0.2">
      <c r="A15" s="6" t="s">
        <v>21</v>
      </c>
      <c r="B15" s="6">
        <v>1674</v>
      </c>
      <c r="C15" s="6">
        <v>2</v>
      </c>
      <c r="D15" s="4">
        <v>38913</v>
      </c>
      <c r="E15" s="5">
        <f t="shared" si="0"/>
        <v>2006</v>
      </c>
      <c r="F15" s="6" t="s">
        <v>22</v>
      </c>
      <c r="G15" s="6">
        <v>2</v>
      </c>
      <c r="H15" s="6" t="s">
        <v>113</v>
      </c>
      <c r="I15" s="6" t="s">
        <v>86</v>
      </c>
      <c r="J15" s="6"/>
      <c r="K15" s="6"/>
      <c r="L15" s="6"/>
      <c r="M15" s="6">
        <v>3</v>
      </c>
      <c r="N15" s="6">
        <v>4</v>
      </c>
      <c r="O15" s="6" t="s">
        <v>30</v>
      </c>
      <c r="P15" s="6">
        <v>2.31</v>
      </c>
      <c r="Q15" s="177" t="s">
        <v>26</v>
      </c>
      <c r="R15" s="177" t="s">
        <v>140</v>
      </c>
      <c r="S15" s="177" t="s">
        <v>28</v>
      </c>
      <c r="T15" s="177" t="s">
        <v>150</v>
      </c>
      <c r="Y15" s="111">
        <v>1993</v>
      </c>
      <c r="Z15" s="195"/>
      <c r="AA15" s="195"/>
      <c r="AB15" s="195"/>
      <c r="AC15" s="113"/>
      <c r="AD15" s="114"/>
      <c r="AE15" s="114"/>
      <c r="AF15" s="115"/>
      <c r="AG15" s="116"/>
      <c r="AH15" s="116"/>
      <c r="AI15" s="31"/>
    </row>
    <row r="16" spans="1:35" x14ac:dyDescent="0.2">
      <c r="A16" s="6" t="s">
        <v>21</v>
      </c>
      <c r="B16" s="6">
        <v>1674</v>
      </c>
      <c r="C16" s="6">
        <v>2</v>
      </c>
      <c r="D16" s="4">
        <v>38913</v>
      </c>
      <c r="E16" s="5">
        <f t="shared" ref="E16:E25" si="1">YEAR(D16)</f>
        <v>2006</v>
      </c>
      <c r="F16" s="6" t="s">
        <v>22</v>
      </c>
      <c r="G16" s="6">
        <v>2</v>
      </c>
      <c r="H16" s="6" t="s">
        <v>113</v>
      </c>
      <c r="I16" s="6" t="s">
        <v>86</v>
      </c>
      <c r="J16" s="6"/>
      <c r="K16" s="6"/>
      <c r="L16" s="6"/>
      <c r="M16" s="6">
        <v>3</v>
      </c>
      <c r="N16" s="6">
        <v>4</v>
      </c>
      <c r="O16" s="6" t="s">
        <v>30</v>
      </c>
      <c r="P16" s="6">
        <v>2.29</v>
      </c>
      <c r="Q16" s="177" t="s">
        <v>26</v>
      </c>
      <c r="R16" s="177" t="s">
        <v>140</v>
      </c>
      <c r="S16" s="177" t="s">
        <v>27</v>
      </c>
      <c r="T16" s="177" t="s">
        <v>150</v>
      </c>
      <c r="W16" s="15">
        <f>AVERAGE(P15:P16)</f>
        <v>2.2999999999999998</v>
      </c>
      <c r="Y16" s="111">
        <v>1994</v>
      </c>
      <c r="Z16" s="112" t="e">
        <f>AVERAGEIF($E$2:$E$292,"1994",$P$2:$P$292)</f>
        <v>#DIV/0!</v>
      </c>
      <c r="AA16" s="112">
        <f>_xlfn.MINIFS($P$2:$P$292,$E$2:$E$292,"1994")</f>
        <v>0</v>
      </c>
      <c r="AB16" s="112">
        <f>_xlfn.MAXIFS($P$2:$P$292,$E$2:$E$292,"1994")</f>
        <v>0</v>
      </c>
      <c r="AC16" s="113"/>
      <c r="AD16" s="114"/>
      <c r="AE16" s="114"/>
      <c r="AF16" s="115"/>
      <c r="AG16" s="116"/>
      <c r="AH16" s="116"/>
      <c r="AI16" s="31"/>
    </row>
    <row r="17" spans="1:47" x14ac:dyDescent="0.2">
      <c r="A17" s="6" t="s">
        <v>21</v>
      </c>
      <c r="B17" s="6">
        <v>1674</v>
      </c>
      <c r="C17" s="6">
        <v>2</v>
      </c>
      <c r="D17" s="4">
        <v>43284</v>
      </c>
      <c r="E17" s="5">
        <f t="shared" si="1"/>
        <v>2018</v>
      </c>
      <c r="F17" s="6" t="s">
        <v>22</v>
      </c>
      <c r="G17" s="6">
        <v>3</v>
      </c>
      <c r="H17" s="6" t="s">
        <v>183</v>
      </c>
      <c r="I17" s="6" t="s">
        <v>173</v>
      </c>
      <c r="J17" s="6" t="s">
        <v>174</v>
      </c>
      <c r="K17" s="6"/>
      <c r="L17" s="6"/>
      <c r="M17" s="6">
        <v>4</v>
      </c>
      <c r="N17" s="6">
        <v>7</v>
      </c>
      <c r="O17" s="6" t="s">
        <v>32</v>
      </c>
      <c r="P17" s="6">
        <v>3.05</v>
      </c>
      <c r="Q17" s="177" t="s">
        <v>26</v>
      </c>
      <c r="R17" s="177" t="s">
        <v>140</v>
      </c>
      <c r="S17" s="177" t="s">
        <v>28</v>
      </c>
      <c r="T17" s="177" t="s">
        <v>177</v>
      </c>
      <c r="U17" s="177">
        <v>9</v>
      </c>
      <c r="Y17" s="111">
        <v>1995</v>
      </c>
      <c r="Z17" s="112" t="e">
        <f>AVERAGEIF($E$2:$E$292,"1995",$P$2:$P$292)</f>
        <v>#DIV/0!</v>
      </c>
      <c r="AA17" s="112">
        <f>_xlfn.MINIFS($P$2:$P$292,$E$2:$E$292,"1995")</f>
        <v>0</v>
      </c>
      <c r="AB17" s="112">
        <f>_xlfn.MAXIFS($P$2:$P$292,$E$2:$E$292,"1995")</f>
        <v>0</v>
      </c>
      <c r="AC17" s="113"/>
      <c r="AD17" s="114"/>
      <c r="AE17" s="114"/>
      <c r="AF17" s="115"/>
      <c r="AG17" s="116"/>
      <c r="AH17" s="116"/>
      <c r="AI17" s="31"/>
    </row>
    <row r="18" spans="1:47" x14ac:dyDescent="0.2">
      <c r="A18" s="6" t="s">
        <v>21</v>
      </c>
      <c r="B18" s="6">
        <v>1674</v>
      </c>
      <c r="C18" s="6">
        <v>2</v>
      </c>
      <c r="D18" s="4">
        <v>43284</v>
      </c>
      <c r="E18" s="5">
        <f t="shared" si="1"/>
        <v>2018</v>
      </c>
      <c r="F18" s="6" t="s">
        <v>22</v>
      </c>
      <c r="G18" s="6">
        <v>3</v>
      </c>
      <c r="H18" s="6" t="s">
        <v>183</v>
      </c>
      <c r="I18" s="6" t="s">
        <v>173</v>
      </c>
      <c r="J18" s="6" t="s">
        <v>174</v>
      </c>
      <c r="K18" s="6"/>
      <c r="L18" s="6"/>
      <c r="M18" s="6">
        <v>4</v>
      </c>
      <c r="N18" s="6">
        <v>7</v>
      </c>
      <c r="O18" s="6" t="s">
        <v>32</v>
      </c>
      <c r="P18" s="6">
        <v>3.07</v>
      </c>
      <c r="Q18" s="177" t="s">
        <v>26</v>
      </c>
      <c r="R18" s="177" t="s">
        <v>140</v>
      </c>
      <c r="S18" s="177" t="s">
        <v>27</v>
      </c>
      <c r="T18" s="177" t="s">
        <v>177</v>
      </c>
      <c r="U18" s="177">
        <v>9</v>
      </c>
      <c r="W18" s="15">
        <f>AVERAGE(P17:P18)</f>
        <v>3.0599999999999996</v>
      </c>
      <c r="Y18" s="111">
        <v>1996</v>
      </c>
      <c r="Z18" s="112" t="e">
        <f>AVERAGEIF($E$2:$E$292,"1996",$P$2:$P$292)</f>
        <v>#DIV/0!</v>
      </c>
      <c r="AA18" s="112">
        <f>_xlfn.MINIFS($P$2:$P$292,$E$2:$E$292,"1996")</f>
        <v>0</v>
      </c>
      <c r="AB18" s="112">
        <f>_xlfn.MAXIFS($P$2:$P$292,$E$2:$E$292,"1996")</f>
        <v>0</v>
      </c>
      <c r="AC18" s="113"/>
      <c r="AD18" s="114"/>
      <c r="AE18" s="114"/>
      <c r="AF18" s="115"/>
      <c r="AG18" s="116"/>
      <c r="AH18" s="116"/>
      <c r="AI18" s="31"/>
    </row>
    <row r="19" spans="1:47" x14ac:dyDescent="0.2">
      <c r="A19" s="7" t="s">
        <v>21</v>
      </c>
      <c r="B19" s="7">
        <v>1674</v>
      </c>
      <c r="C19" s="7">
        <v>2</v>
      </c>
      <c r="D19" s="8">
        <v>43297</v>
      </c>
      <c r="E19" s="9">
        <f t="shared" si="1"/>
        <v>2018</v>
      </c>
      <c r="F19" s="7" t="s">
        <v>22</v>
      </c>
      <c r="G19" s="7">
        <v>3</v>
      </c>
      <c r="H19" s="7" t="s">
        <v>184</v>
      </c>
      <c r="I19" s="7" t="s">
        <v>173</v>
      </c>
      <c r="J19" s="7" t="s">
        <v>174</v>
      </c>
      <c r="K19" s="7"/>
      <c r="L19" s="7"/>
      <c r="M19" s="7">
        <v>0</v>
      </c>
      <c r="N19" s="7">
        <v>0</v>
      </c>
      <c r="O19" s="7" t="s">
        <v>30</v>
      </c>
      <c r="P19" s="7">
        <v>4.54</v>
      </c>
      <c r="Q19" s="7" t="s">
        <v>26</v>
      </c>
      <c r="R19" s="7" t="s">
        <v>140</v>
      </c>
      <c r="S19" s="7" t="s">
        <v>28</v>
      </c>
      <c r="T19" s="7" t="s">
        <v>175</v>
      </c>
      <c r="U19" s="7">
        <v>9</v>
      </c>
      <c r="V19" s="7"/>
      <c r="W19" s="16"/>
      <c r="Y19" s="111">
        <v>1997</v>
      </c>
      <c r="Z19" s="112" t="e">
        <f>AVERAGE(P154:P157,W160,P161:P165)</f>
        <v>#DIV/0!</v>
      </c>
      <c r="AA19" s="112">
        <f>_xlfn.MINIFS($P$2:$P$292,$E$2:$E$292,"1997")</f>
        <v>0</v>
      </c>
      <c r="AB19" s="112">
        <f>_xlfn.MAXIFS($P$2:$P$292,$E$2:$E$292,"1997")</f>
        <v>0</v>
      </c>
      <c r="AC19" s="113"/>
      <c r="AD19" s="114"/>
      <c r="AE19" s="114"/>
      <c r="AF19" s="115"/>
      <c r="AG19" s="116"/>
      <c r="AH19" s="116"/>
      <c r="AI19" s="31"/>
    </row>
    <row r="20" spans="1:47" x14ac:dyDescent="0.2">
      <c r="A20" s="7" t="s">
        <v>21</v>
      </c>
      <c r="B20" s="7">
        <v>1674</v>
      </c>
      <c r="C20" s="7">
        <v>2</v>
      </c>
      <c r="D20" s="8">
        <v>43313</v>
      </c>
      <c r="E20" s="9">
        <f t="shared" si="1"/>
        <v>2018</v>
      </c>
      <c r="F20" s="7" t="s">
        <v>22</v>
      </c>
      <c r="G20" s="7">
        <v>3</v>
      </c>
      <c r="H20" s="7" t="s">
        <v>185</v>
      </c>
      <c r="I20" s="7" t="s">
        <v>173</v>
      </c>
      <c r="J20" s="7" t="s">
        <v>174</v>
      </c>
      <c r="K20" s="7"/>
      <c r="L20" s="7"/>
      <c r="M20" s="7">
        <v>2</v>
      </c>
      <c r="N20" s="7">
        <v>5</v>
      </c>
      <c r="O20" s="7" t="s">
        <v>30</v>
      </c>
      <c r="P20" s="7">
        <v>4.74</v>
      </c>
      <c r="Q20" s="7" t="s">
        <v>26</v>
      </c>
      <c r="R20" s="7" t="s">
        <v>140</v>
      </c>
      <c r="S20" s="7" t="s">
        <v>28</v>
      </c>
      <c r="T20" s="7" t="s">
        <v>177</v>
      </c>
      <c r="U20" s="7">
        <v>9</v>
      </c>
      <c r="V20" s="7"/>
      <c r="W20" s="16"/>
      <c r="Y20" s="111">
        <v>1998</v>
      </c>
      <c r="Z20" s="112" t="e">
        <f>AVERAGEIF($E$2:$E$292,"1998",$P$2:$P$292)</f>
        <v>#DIV/0!</v>
      </c>
      <c r="AA20" s="112">
        <f>_xlfn.MINIFS($P$2:$P$292,$E$2:$E$292,"1998")</f>
        <v>0</v>
      </c>
      <c r="AB20" s="112">
        <f>_xlfn.MAXIFS($P$2:$P$292,$E$2:$E$292,"1998")</f>
        <v>0</v>
      </c>
      <c r="AC20" s="113"/>
      <c r="AD20" s="114"/>
      <c r="AE20" s="114"/>
      <c r="AF20" s="115"/>
      <c r="AG20" s="116"/>
      <c r="AH20" s="116"/>
      <c r="AI20" s="31"/>
    </row>
    <row r="21" spans="1:47" x14ac:dyDescent="0.2">
      <c r="A21" s="7" t="s">
        <v>21</v>
      </c>
      <c r="B21" s="7">
        <v>1674</v>
      </c>
      <c r="C21" s="7">
        <v>2</v>
      </c>
      <c r="D21" s="8">
        <v>43325</v>
      </c>
      <c r="E21" s="9">
        <f t="shared" si="1"/>
        <v>2018</v>
      </c>
      <c r="F21" s="7" t="s">
        <v>22</v>
      </c>
      <c r="G21" s="7">
        <v>3</v>
      </c>
      <c r="H21" s="7" t="s">
        <v>186</v>
      </c>
      <c r="I21" s="7" t="s">
        <v>173</v>
      </c>
      <c r="J21" s="7" t="s">
        <v>174</v>
      </c>
      <c r="K21" s="7"/>
      <c r="L21" s="7"/>
      <c r="M21" s="7">
        <v>0</v>
      </c>
      <c r="N21" s="7">
        <v>0</v>
      </c>
      <c r="O21" s="7" t="s">
        <v>30</v>
      </c>
      <c r="P21" s="7">
        <v>3.43</v>
      </c>
      <c r="Q21" s="7" t="s">
        <v>26</v>
      </c>
      <c r="R21" s="7" t="s">
        <v>140</v>
      </c>
      <c r="S21" s="7" t="s">
        <v>28</v>
      </c>
      <c r="T21" s="7" t="s">
        <v>175</v>
      </c>
      <c r="U21" s="7">
        <v>9</v>
      </c>
      <c r="V21" s="7"/>
      <c r="W21" s="16"/>
      <c r="Y21" s="111">
        <v>1999</v>
      </c>
      <c r="Z21" s="112" t="e">
        <f>AVERAGEIF($E$2:$E$292,"1999",$P$2:$P$292)</f>
        <v>#DIV/0!</v>
      </c>
      <c r="AA21" s="112">
        <f>_xlfn.MINIFS($P$2:$P$292,$E$2:$E$292,"1999")</f>
        <v>0</v>
      </c>
      <c r="AB21" s="112">
        <f>_xlfn.MAXIFS($P$2:$P$292,$E$2:$E$292,"1999")</f>
        <v>0</v>
      </c>
      <c r="AC21" s="113"/>
      <c r="AD21" s="114"/>
      <c r="AE21" s="114"/>
      <c r="AF21" s="115"/>
      <c r="AG21" s="116"/>
      <c r="AH21" s="116"/>
      <c r="AI21" s="31"/>
    </row>
    <row r="22" spans="1:47" x14ac:dyDescent="0.2">
      <c r="A22" s="7" t="s">
        <v>21</v>
      </c>
      <c r="B22" s="7">
        <v>1674</v>
      </c>
      <c r="C22" s="7">
        <v>2</v>
      </c>
      <c r="D22" s="8">
        <v>43341</v>
      </c>
      <c r="E22" s="9">
        <f t="shared" si="1"/>
        <v>2018</v>
      </c>
      <c r="F22" s="7" t="s">
        <v>22</v>
      </c>
      <c r="G22" s="7">
        <v>3</v>
      </c>
      <c r="H22" s="7" t="s">
        <v>187</v>
      </c>
      <c r="I22" s="7" t="s">
        <v>173</v>
      </c>
      <c r="J22" s="7" t="s">
        <v>174</v>
      </c>
      <c r="K22" s="7"/>
      <c r="L22" s="7"/>
      <c r="M22" s="7">
        <v>0</v>
      </c>
      <c r="N22" s="7">
        <v>0</v>
      </c>
      <c r="O22" s="7" t="s">
        <v>30</v>
      </c>
      <c r="P22" s="7">
        <v>3.13</v>
      </c>
      <c r="Q22" s="7" t="s">
        <v>26</v>
      </c>
      <c r="R22" s="7" t="s">
        <v>140</v>
      </c>
      <c r="S22" s="7" t="s">
        <v>28</v>
      </c>
      <c r="T22" s="7" t="s">
        <v>175</v>
      </c>
      <c r="U22" s="7">
        <v>9</v>
      </c>
      <c r="V22" s="7"/>
      <c r="W22" s="16"/>
      <c r="Y22" s="111">
        <v>2000</v>
      </c>
      <c r="Z22" s="112" t="e">
        <f>AVERAGEIF($E$2:$E$292,"2000",$P$2:$P$292)</f>
        <v>#DIV/0!</v>
      </c>
      <c r="AA22" s="112">
        <f>_xlfn.MINIFS($P$2:$P$292,$E$2:$E$292,"2000")</f>
        <v>0</v>
      </c>
      <c r="AB22" s="112">
        <f>_xlfn.MAXIFS($P$2:$P$292,$E$2:$E$292,"2000")</f>
        <v>0</v>
      </c>
      <c r="AC22" s="113"/>
      <c r="AD22" s="114"/>
      <c r="AE22" s="114"/>
      <c r="AF22" s="115"/>
      <c r="AG22" s="116"/>
      <c r="AH22" s="116"/>
      <c r="AI22" s="31"/>
    </row>
    <row r="23" spans="1:47" x14ac:dyDescent="0.2">
      <c r="A23" s="6" t="s">
        <v>21</v>
      </c>
      <c r="B23" s="6">
        <v>1674</v>
      </c>
      <c r="C23" s="6">
        <v>2</v>
      </c>
      <c r="D23" s="4">
        <v>43357</v>
      </c>
      <c r="E23" s="5">
        <f t="shared" si="1"/>
        <v>2018</v>
      </c>
      <c r="F23" s="6" t="s">
        <v>22</v>
      </c>
      <c r="G23" s="6">
        <v>3</v>
      </c>
      <c r="H23" s="6" t="s">
        <v>188</v>
      </c>
      <c r="I23" s="6" t="s">
        <v>173</v>
      </c>
      <c r="J23" s="6" t="s">
        <v>174</v>
      </c>
      <c r="K23" s="6"/>
      <c r="L23" s="6"/>
      <c r="M23" s="6">
        <v>2</v>
      </c>
      <c r="N23" s="6">
        <v>4</v>
      </c>
      <c r="O23" s="6" t="s">
        <v>30</v>
      </c>
      <c r="P23" s="6">
        <v>3.03</v>
      </c>
      <c r="Q23" s="177" t="s">
        <v>26</v>
      </c>
      <c r="R23" s="177" t="s">
        <v>140</v>
      </c>
      <c r="S23" s="177" t="s">
        <v>28</v>
      </c>
      <c r="T23" s="177" t="s">
        <v>177</v>
      </c>
      <c r="U23" s="177">
        <v>9</v>
      </c>
      <c r="Y23" s="111">
        <v>2001</v>
      </c>
      <c r="Z23" s="112" t="e">
        <f>AVERAGEIF($E$2:$E$292,"2001",$P$2:$P$292)</f>
        <v>#DIV/0!</v>
      </c>
      <c r="AA23" s="112">
        <f>_xlfn.MINIFS($P$2:$P$292,$E$2:$E$292,"2001")</f>
        <v>0</v>
      </c>
      <c r="AB23" s="112">
        <f>_xlfn.MAXIFS($P$2:$P$292,$E$2:$E$292,"2001")</f>
        <v>0</v>
      </c>
      <c r="AC23" s="113"/>
      <c r="AD23" s="114"/>
      <c r="AE23" s="114"/>
      <c r="AF23" s="115"/>
      <c r="AG23" s="116"/>
      <c r="AH23" s="116"/>
      <c r="AI23" s="31"/>
      <c r="AU23" s="177" t="s">
        <v>249</v>
      </c>
    </row>
    <row r="24" spans="1:47" x14ac:dyDescent="0.2">
      <c r="A24" s="6" t="s">
        <v>21</v>
      </c>
      <c r="B24" s="6">
        <v>1674</v>
      </c>
      <c r="C24" s="6">
        <v>2</v>
      </c>
      <c r="D24" s="4">
        <v>43357</v>
      </c>
      <c r="E24" s="5">
        <f t="shared" si="1"/>
        <v>2018</v>
      </c>
      <c r="F24" s="6" t="s">
        <v>22</v>
      </c>
      <c r="G24" s="6">
        <v>3</v>
      </c>
      <c r="H24" s="6" t="s">
        <v>188</v>
      </c>
      <c r="I24" s="6" t="s">
        <v>173</v>
      </c>
      <c r="J24" s="6" t="s">
        <v>174</v>
      </c>
      <c r="K24" s="6"/>
      <c r="L24" s="6"/>
      <c r="M24" s="6">
        <v>2</v>
      </c>
      <c r="N24" s="6">
        <v>4</v>
      </c>
      <c r="O24" s="6" t="s">
        <v>30</v>
      </c>
      <c r="P24" s="6">
        <v>3.13</v>
      </c>
      <c r="Q24" s="7" t="s">
        <v>26</v>
      </c>
      <c r="R24" s="7" t="s">
        <v>140</v>
      </c>
      <c r="S24" s="7" t="s">
        <v>28</v>
      </c>
      <c r="T24" s="7" t="s">
        <v>175</v>
      </c>
      <c r="U24" s="7">
        <v>9</v>
      </c>
      <c r="V24" s="7"/>
      <c r="W24" s="15">
        <f>AVERAGE(P23:P24)</f>
        <v>3.08</v>
      </c>
      <c r="Y24" s="111">
        <v>2002</v>
      </c>
      <c r="Z24" s="112" t="e">
        <f>AVERAGEIF($E$2:$E$292,"2002",$P$2:$P$292)</f>
        <v>#DIV/0!</v>
      </c>
      <c r="AA24" s="112">
        <f>_xlfn.MINIFS($P$2:$P$292,$E$2:$E$292,"2002")</f>
        <v>0</v>
      </c>
      <c r="AB24" s="112">
        <f>_xlfn.MAXIFS($P$2:$P$292,$E$2:$E$292,"2002")</f>
        <v>0</v>
      </c>
      <c r="AC24" s="113"/>
      <c r="AD24" s="114"/>
      <c r="AE24" s="114"/>
      <c r="AF24" s="115"/>
      <c r="AG24" s="116"/>
      <c r="AH24" s="116"/>
      <c r="AI24" s="31"/>
    </row>
    <row r="25" spans="1:47" x14ac:dyDescent="0.2">
      <c r="A25" s="7" t="s">
        <v>21</v>
      </c>
      <c r="B25" s="7">
        <v>1674</v>
      </c>
      <c r="C25" s="7">
        <v>2</v>
      </c>
      <c r="D25" s="8">
        <v>43381</v>
      </c>
      <c r="E25" s="9">
        <f t="shared" si="1"/>
        <v>2018</v>
      </c>
      <c r="F25" s="7" t="s">
        <v>22</v>
      </c>
      <c r="G25" s="7">
        <v>3</v>
      </c>
      <c r="H25" s="7" t="s">
        <v>124</v>
      </c>
      <c r="I25" s="7" t="s">
        <v>173</v>
      </c>
      <c r="J25" s="7" t="s">
        <v>174</v>
      </c>
      <c r="K25" s="7"/>
      <c r="L25" s="7"/>
      <c r="M25" s="7">
        <v>0</v>
      </c>
      <c r="N25" s="7">
        <v>0</v>
      </c>
      <c r="O25" s="7" t="s">
        <v>30</v>
      </c>
      <c r="P25" s="7">
        <v>2.73</v>
      </c>
      <c r="Q25" s="7" t="s">
        <v>26</v>
      </c>
      <c r="R25" s="7" t="s">
        <v>140</v>
      </c>
      <c r="S25" s="7" t="s">
        <v>28</v>
      </c>
      <c r="T25" s="7" t="s">
        <v>175</v>
      </c>
      <c r="U25" s="7">
        <v>9</v>
      </c>
      <c r="V25" s="7"/>
      <c r="W25" s="16"/>
      <c r="Y25" s="111">
        <v>2003</v>
      </c>
      <c r="Z25" s="112" t="e">
        <f>AVERAGEIF($E$2:$E$292,"2003",$P$2:$P$292)</f>
        <v>#DIV/0!</v>
      </c>
      <c r="AA25" s="112">
        <f>_xlfn.MINIFS($P$2:$P$292,$E$2:$E$292,"2003")</f>
        <v>0</v>
      </c>
      <c r="AB25" s="112">
        <f>_xlfn.MAXIFS($P$2:$P$292,$E$2:$E$292,"2003")</f>
        <v>0</v>
      </c>
      <c r="AC25" s="113"/>
      <c r="AD25" s="114"/>
      <c r="AE25" s="114"/>
      <c r="AF25" s="115"/>
      <c r="AG25" s="116"/>
      <c r="AH25" s="116"/>
      <c r="AI25" s="31"/>
    </row>
    <row r="26" spans="1:47" x14ac:dyDescent="0.2">
      <c r="C26" s="7">
        <v>2</v>
      </c>
      <c r="D26" s="25">
        <v>43598</v>
      </c>
      <c r="E26" s="9">
        <f>YEAR(D26)</f>
        <v>2019</v>
      </c>
      <c r="F26" s="7" t="s">
        <v>246</v>
      </c>
      <c r="P26" s="177">
        <v>2.56</v>
      </c>
      <c r="Y26" s="111">
        <v>2004</v>
      </c>
      <c r="Z26" s="112" t="e">
        <f>AVERAGE(P230,W232,P233,W235,P236:P241)</f>
        <v>#DIV/0!</v>
      </c>
      <c r="AA26" s="112">
        <f>_xlfn.MINIFS($P$2:$P$292,$E$2:$E$292,"2004")</f>
        <v>0</v>
      </c>
      <c r="AB26" s="112">
        <f>_xlfn.MAXIFS($P$2:$P$292,$E$2:$E$292,"2004")</f>
        <v>0</v>
      </c>
      <c r="AC26" s="113"/>
      <c r="AD26" s="114"/>
      <c r="AE26" s="114"/>
      <c r="AF26" s="115"/>
      <c r="AG26" s="116"/>
      <c r="AH26" s="116"/>
      <c r="AI26" s="31"/>
    </row>
    <row r="27" spans="1:47" x14ac:dyDescent="0.2">
      <c r="C27" s="7">
        <v>2</v>
      </c>
      <c r="D27" s="25">
        <v>43610</v>
      </c>
      <c r="E27" s="9">
        <f>YEAR(D27)</f>
        <v>2019</v>
      </c>
      <c r="F27" s="7" t="s">
        <v>246</v>
      </c>
      <c r="P27" s="177">
        <v>3.45</v>
      </c>
      <c r="Y27" s="111">
        <v>2005</v>
      </c>
      <c r="Z27" s="112" t="e">
        <f>AVERAGE(P242:P246,W248,P249:P250)</f>
        <v>#DIV/0!</v>
      </c>
      <c r="AA27" s="112">
        <f>_xlfn.MINIFS($P$2:$P$292,$E$2:$E$292,"2005")</f>
        <v>0</v>
      </c>
      <c r="AB27" s="112">
        <f>_xlfn.MAXIFS($P$2:$P$292,$E$2:$E$292,"2005")</f>
        <v>0</v>
      </c>
      <c r="AC27" s="113"/>
      <c r="AD27" s="114"/>
      <c r="AE27" s="114"/>
      <c r="AF27" s="115"/>
      <c r="AG27" s="116"/>
      <c r="AH27" s="116"/>
      <c r="AI27" s="31"/>
    </row>
    <row r="28" spans="1:47" x14ac:dyDescent="0.2">
      <c r="A28" s="74"/>
      <c r="B28" s="74"/>
      <c r="C28" s="10">
        <v>2</v>
      </c>
      <c r="D28" s="103">
        <v>43622</v>
      </c>
      <c r="E28" s="11">
        <f>YEAR(D28)</f>
        <v>2019</v>
      </c>
      <c r="F28" s="10" t="s">
        <v>246</v>
      </c>
      <c r="G28" s="74"/>
      <c r="H28" s="74"/>
      <c r="I28" s="74"/>
      <c r="J28" s="74"/>
      <c r="K28" s="74"/>
      <c r="L28" s="74"/>
      <c r="M28" s="74"/>
      <c r="N28" s="74"/>
      <c r="O28" s="74"/>
      <c r="P28" s="74">
        <v>3.65</v>
      </c>
      <c r="Q28" s="74"/>
      <c r="R28" s="74"/>
      <c r="S28" s="74"/>
      <c r="T28" s="74"/>
      <c r="U28" s="74"/>
      <c r="V28" s="74"/>
      <c r="W28" s="104"/>
      <c r="Y28" s="111">
        <v>2006</v>
      </c>
      <c r="Z28" s="112">
        <f>AVERAGEIF($E$2:$E$292,"2006",$P$2:$P$292)</f>
        <v>2.2999999999999998</v>
      </c>
      <c r="AA28" s="112">
        <f>_xlfn.MINIFS($P$2:$P$292,$E$2:$E$292,"2006")</f>
        <v>2.29</v>
      </c>
      <c r="AB28" s="112">
        <f>_xlfn.MAXIFS($P$2:$P$292,$E$2:$E$292,"2006")</f>
        <v>2.31</v>
      </c>
      <c r="AC28" s="113">
        <f>AVERAGE(W16)</f>
        <v>2.2999999999999998</v>
      </c>
      <c r="AD28" s="114">
        <f>_xlfn.MINIFS($P$2:$P$28,$E$2:$E$28,"2006")</f>
        <v>2.29</v>
      </c>
      <c r="AE28" s="114">
        <f>_xlfn.MAXIFS($P$2:$P$28,$E$2:$E$28,"2006")</f>
        <v>2.31</v>
      </c>
      <c r="AF28" s="115"/>
      <c r="AG28" s="116"/>
      <c r="AH28" s="116"/>
      <c r="AI28" s="31"/>
    </row>
    <row r="29" spans="1:47" x14ac:dyDescent="0.2">
      <c r="C29" s="21">
        <v>3</v>
      </c>
      <c r="D29" s="2">
        <v>43637</v>
      </c>
      <c r="P29" s="20">
        <v>4.25</v>
      </c>
      <c r="Y29" s="111">
        <v>2007</v>
      </c>
      <c r="Z29" s="112" t="e">
        <f>AVERAGEIF($E$2:$E$292,"2007",$P$2:$P$292)</f>
        <v>#DIV/0!</v>
      </c>
      <c r="AA29" s="112">
        <f>_xlfn.MINIFS($P$2:$P$292,$E$2:$E$292,"2007")</f>
        <v>0</v>
      </c>
      <c r="AB29" s="112">
        <f>_xlfn.MAXIFS($P$2:$P$292,$E$2:$E$292,"2007")</f>
        <v>0</v>
      </c>
      <c r="AC29" s="113"/>
      <c r="AD29" s="114"/>
      <c r="AE29" s="114"/>
      <c r="AF29" s="115"/>
      <c r="AG29" s="116"/>
      <c r="AH29" s="116"/>
      <c r="AI29" s="31"/>
    </row>
    <row r="30" spans="1:47" s="7" customFormat="1" x14ac:dyDescent="0.2">
      <c r="A30" s="177"/>
      <c r="B30" s="177"/>
      <c r="C30" s="21">
        <v>3</v>
      </c>
      <c r="D30" s="25">
        <v>43651</v>
      </c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20">
        <v>3.46</v>
      </c>
      <c r="Q30" s="177"/>
      <c r="R30" s="177"/>
      <c r="S30" s="177"/>
      <c r="T30" s="177"/>
      <c r="U30" s="177"/>
      <c r="V30" s="177"/>
      <c r="W30" s="15"/>
      <c r="Y30" s="111">
        <v>2008</v>
      </c>
      <c r="Z30" s="112" t="e">
        <f>AVERAGEIF($E$2:$E$292,"2008",$P$2:$P$292)</f>
        <v>#DIV/0!</v>
      </c>
      <c r="AA30" s="112">
        <f>_xlfn.MINIFS($P$2:$P$292,$E$2:$E$292,"2008")</f>
        <v>0</v>
      </c>
      <c r="AB30" s="112">
        <f>_xlfn.MAXIFS($P$2:$P$292,$E$2:$E$292,"2008")</f>
        <v>0</v>
      </c>
      <c r="AC30" s="113"/>
      <c r="AD30" s="114"/>
      <c r="AE30" s="114"/>
      <c r="AF30" s="115"/>
      <c r="AG30" s="116"/>
      <c r="AH30" s="116"/>
      <c r="AI30" s="31"/>
    </row>
    <row r="31" spans="1:47" s="7" customFormat="1" x14ac:dyDescent="0.2">
      <c r="A31" s="177"/>
      <c r="B31" s="177"/>
      <c r="C31" s="21">
        <v>3</v>
      </c>
      <c r="D31" s="2">
        <v>43664</v>
      </c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20">
        <v>3.83</v>
      </c>
      <c r="Q31" s="177"/>
      <c r="R31" s="177"/>
      <c r="S31" s="177"/>
      <c r="T31" s="177"/>
      <c r="U31" s="177"/>
      <c r="V31" s="177"/>
      <c r="W31" s="15"/>
      <c r="Y31" s="111">
        <v>2009</v>
      </c>
      <c r="Z31" s="112" t="e">
        <f>AVERAGE(P272,W274,P275:P279)</f>
        <v>#DIV/0!</v>
      </c>
      <c r="AA31" s="112">
        <f>_xlfn.MINIFS($P$2:$P$292,$E$2:$E$292,"2009")</f>
        <v>0</v>
      </c>
      <c r="AB31" s="112">
        <f>_xlfn.MAXIFS($P$2:$P$292,$E$2:$E$292,"2009")</f>
        <v>0</v>
      </c>
      <c r="AC31" s="113"/>
      <c r="AD31" s="114"/>
      <c r="AE31" s="114"/>
      <c r="AF31" s="115"/>
      <c r="AG31" s="116"/>
      <c r="AH31" s="116"/>
      <c r="AI31" s="31"/>
    </row>
    <row r="32" spans="1:47" s="7" customFormat="1" x14ac:dyDescent="0.2">
      <c r="A32" s="177"/>
      <c r="B32" s="177"/>
      <c r="C32" s="21">
        <v>3</v>
      </c>
      <c r="D32" s="2">
        <v>43678</v>
      </c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20">
        <v>4.28</v>
      </c>
      <c r="Q32" s="177"/>
      <c r="R32" s="177"/>
      <c r="S32" s="177"/>
      <c r="T32" s="177"/>
      <c r="U32" s="177"/>
      <c r="V32" s="177"/>
      <c r="W32" s="15"/>
      <c r="Y32" s="111">
        <v>2010</v>
      </c>
      <c r="Z32" s="195"/>
      <c r="AA32" s="195"/>
      <c r="AB32" s="195"/>
      <c r="AC32" s="113"/>
      <c r="AD32" s="114"/>
      <c r="AE32" s="114"/>
      <c r="AF32" s="115"/>
      <c r="AG32" s="116"/>
      <c r="AH32" s="116"/>
      <c r="AI32" s="31"/>
    </row>
    <row r="33" spans="1:35" s="7" customFormat="1" x14ac:dyDescent="0.2">
      <c r="A33" s="177"/>
      <c r="B33" s="177"/>
      <c r="C33" s="21">
        <v>3</v>
      </c>
      <c r="D33" s="2">
        <v>43691</v>
      </c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06">
        <v>2.3199999999999998</v>
      </c>
      <c r="R33" s="177"/>
      <c r="S33" s="177"/>
      <c r="T33" s="177"/>
      <c r="U33" s="177"/>
      <c r="V33" s="177"/>
      <c r="W33" s="15"/>
      <c r="Y33" s="111">
        <v>2011</v>
      </c>
      <c r="Z33" s="195"/>
      <c r="AA33" s="195"/>
      <c r="AB33" s="195"/>
      <c r="AC33" s="113"/>
      <c r="AD33" s="114"/>
      <c r="AE33" s="114"/>
      <c r="AF33" s="115"/>
      <c r="AG33" s="116"/>
      <c r="AH33" s="116"/>
      <c r="AI33" s="31"/>
    </row>
    <row r="34" spans="1:35" s="7" customFormat="1" x14ac:dyDescent="0.2">
      <c r="A34" s="177"/>
      <c r="B34" s="177"/>
      <c r="C34" s="21">
        <v>3</v>
      </c>
      <c r="D34" s="25">
        <v>43705</v>
      </c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06">
        <v>3.28</v>
      </c>
      <c r="R34" s="177"/>
      <c r="S34" s="177"/>
      <c r="T34" s="177"/>
      <c r="U34" s="177"/>
      <c r="V34" s="177"/>
      <c r="W34" s="15"/>
      <c r="Y34" s="111">
        <v>2012</v>
      </c>
      <c r="Z34" s="195"/>
      <c r="AA34" s="195"/>
      <c r="AB34" s="195"/>
      <c r="AC34" s="113"/>
      <c r="AD34" s="114"/>
      <c r="AE34" s="114"/>
      <c r="AF34" s="115"/>
      <c r="AG34" s="116"/>
      <c r="AH34" s="116"/>
      <c r="AI34" s="31"/>
    </row>
    <row r="35" spans="1:35" s="7" customFormat="1" x14ac:dyDescent="0.2">
      <c r="A35" s="177"/>
      <c r="B35" s="177"/>
      <c r="C35" s="21">
        <v>3</v>
      </c>
      <c r="D35" s="2">
        <v>43721</v>
      </c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06">
        <v>1.88</v>
      </c>
      <c r="R35" s="177"/>
      <c r="S35" s="177"/>
      <c r="T35" s="177"/>
      <c r="U35" s="177"/>
      <c r="V35" s="177"/>
      <c r="W35" s="15"/>
      <c r="Y35" s="111">
        <v>2013</v>
      </c>
      <c r="Z35" s="195"/>
      <c r="AA35" s="195"/>
      <c r="AB35" s="195"/>
      <c r="AC35" s="113"/>
      <c r="AD35" s="114"/>
      <c r="AE35" s="114"/>
      <c r="AF35" s="115"/>
      <c r="AG35" s="116"/>
      <c r="AH35" s="116"/>
      <c r="AI35" s="31"/>
    </row>
    <row r="36" spans="1:35" s="7" customFormat="1" x14ac:dyDescent="0.2">
      <c r="A36" s="177"/>
      <c r="B36" s="177"/>
      <c r="C36" s="21">
        <v>3</v>
      </c>
      <c r="D36" s="2">
        <v>43727</v>
      </c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06">
        <v>1.79</v>
      </c>
      <c r="R36" s="177"/>
      <c r="S36" s="177"/>
      <c r="T36" s="177"/>
      <c r="U36" s="177"/>
      <c r="V36" s="177"/>
      <c r="W36" s="15"/>
      <c r="Y36" s="111">
        <v>2014</v>
      </c>
      <c r="Z36" s="195"/>
      <c r="AA36" s="195"/>
      <c r="AB36" s="195"/>
      <c r="AC36" s="113"/>
      <c r="AD36" s="114"/>
      <c r="AE36" s="114"/>
      <c r="AF36" s="115"/>
      <c r="AG36" s="116"/>
      <c r="AH36" s="116"/>
      <c r="AI36" s="31"/>
    </row>
    <row r="37" spans="1:35" s="7" customFormat="1" x14ac:dyDescent="0.2">
      <c r="A37" s="177"/>
      <c r="B37" s="177"/>
      <c r="C37" s="21">
        <v>3</v>
      </c>
      <c r="D37" s="2">
        <v>43733</v>
      </c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06">
        <v>1.84</v>
      </c>
      <c r="R37" s="177"/>
      <c r="S37" s="177"/>
      <c r="T37" s="177"/>
      <c r="U37" s="177"/>
      <c r="V37" s="177"/>
      <c r="W37" s="15"/>
      <c r="Y37" s="111">
        <v>2015</v>
      </c>
      <c r="Z37" s="195"/>
      <c r="AA37" s="195"/>
      <c r="AB37" s="195"/>
      <c r="AC37" s="113"/>
      <c r="AD37" s="114"/>
      <c r="AE37" s="114"/>
      <c r="AF37" s="115"/>
      <c r="AG37" s="116"/>
      <c r="AH37" s="116"/>
      <c r="AI37" s="31"/>
    </row>
    <row r="38" spans="1:35" s="7" customFormat="1" x14ac:dyDescent="0.2">
      <c r="A38" s="177"/>
      <c r="B38" s="177"/>
      <c r="C38" s="21">
        <v>3</v>
      </c>
      <c r="D38" s="2">
        <v>43747</v>
      </c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06">
        <v>2.62</v>
      </c>
      <c r="R38" s="177"/>
      <c r="S38" s="177"/>
      <c r="T38" s="177"/>
      <c r="U38" s="177"/>
      <c r="V38" s="177"/>
      <c r="W38" s="15"/>
      <c r="Y38" s="111">
        <v>2016</v>
      </c>
      <c r="Z38" s="112" t="e">
        <f>AVERAGE(W281)</f>
        <v>#DIV/0!</v>
      </c>
      <c r="AA38" s="112">
        <f>_xlfn.MINIFS($P$2:$P$292,$E$2:$E$292,"2016")</f>
        <v>0</v>
      </c>
      <c r="AB38" s="112">
        <f>_xlfn.MAXIFS($P$2:$P$292,$E$2:$E$292,"2016")</f>
        <v>0</v>
      </c>
      <c r="AC38" s="113"/>
      <c r="AD38" s="114"/>
      <c r="AE38" s="114"/>
      <c r="AF38" s="115"/>
      <c r="AG38" s="116"/>
      <c r="AH38" s="116"/>
      <c r="AI38" s="31"/>
    </row>
    <row r="39" spans="1:35" s="7" customFormat="1" x14ac:dyDescent="0.2">
      <c r="A39" s="177"/>
      <c r="B39" s="177"/>
      <c r="C39" s="21">
        <v>3</v>
      </c>
      <c r="D39" s="2">
        <v>43759</v>
      </c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20">
        <v>3.2</v>
      </c>
      <c r="Q39" s="177"/>
      <c r="R39" s="177"/>
      <c r="S39" s="177"/>
      <c r="T39" s="177"/>
      <c r="U39" s="177"/>
      <c r="V39" s="177"/>
      <c r="W39" s="15"/>
      <c r="Y39" s="111">
        <v>2017</v>
      </c>
      <c r="Z39" s="112" t="e">
        <f>AVERAGEIF($E$2:$E$292,"2017",$P$2:$P$292)</f>
        <v>#DIV/0!</v>
      </c>
      <c r="AA39" s="112">
        <f>_xlfn.MINIFS($P$2:$P$292,$E$2:$E$292,"2017")</f>
        <v>0</v>
      </c>
      <c r="AB39" s="112">
        <f>_xlfn.MAXIFS($P$2:$P$292,$E$2:$E$292,"2017")</f>
        <v>0</v>
      </c>
      <c r="AC39" s="113"/>
      <c r="AD39" s="114"/>
      <c r="AE39" s="114"/>
      <c r="AF39" s="115"/>
      <c r="AG39" s="116"/>
      <c r="AH39" s="116"/>
      <c r="AI39" s="31"/>
    </row>
    <row r="40" spans="1:35" s="7" customFormat="1" x14ac:dyDescent="0.2">
      <c r="A40" s="177"/>
      <c r="B40" s="177"/>
      <c r="C40" s="21">
        <v>3</v>
      </c>
      <c r="D40" s="105">
        <v>43771</v>
      </c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20">
        <v>2.0699999999999998</v>
      </c>
      <c r="Q40" s="177"/>
      <c r="R40" s="177"/>
      <c r="S40" s="177"/>
      <c r="T40" s="177"/>
      <c r="U40" s="177"/>
      <c r="V40" s="177"/>
      <c r="W40" s="15"/>
      <c r="Y40" s="111">
        <v>2018</v>
      </c>
      <c r="Z40" s="112" t="e">
        <f>AVERAGE(P289,W291,P292)</f>
        <v>#DIV/0!</v>
      </c>
      <c r="AA40" s="112">
        <f>_xlfn.MINIFS($P$2:$P$292,$E$2:$E$292,"2018")</f>
        <v>2.73</v>
      </c>
      <c r="AB40" s="112">
        <f>_xlfn.MAXIFS($P$2:$P$292,$E$2:$E$292,"2018")</f>
        <v>4.74</v>
      </c>
      <c r="AC40" s="113">
        <f>AVERAGE(P19:P22,W24,P25)</f>
        <v>3.6083333333333338</v>
      </c>
      <c r="AD40" s="114">
        <f>_xlfn.MINIFS($P$2:$P$28,$E$2:$E$28,"2018")</f>
        <v>2.73</v>
      </c>
      <c r="AE40" s="114">
        <f>_xlfn.MAXIFS($P$2:$P$28,$E$2:$E$28,"2018")</f>
        <v>4.74</v>
      </c>
      <c r="AF40" s="115"/>
      <c r="AG40" s="116"/>
      <c r="AH40" s="116"/>
      <c r="AI40" s="31"/>
    </row>
    <row r="41" spans="1:35" s="7" customFormat="1" x14ac:dyDescent="0.2">
      <c r="A41" s="21"/>
      <c r="B41" s="21"/>
      <c r="C41" s="21"/>
      <c r="D41" s="22"/>
      <c r="E41" s="2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4"/>
      <c r="Y41" s="117">
        <v>2019</v>
      </c>
      <c r="Z41" s="112">
        <f>AVERAGEIF($E$2:$E$307,"2019",$P$2:$P$307)</f>
        <v>3.22</v>
      </c>
      <c r="AA41" s="112">
        <f>_xlfn.MINIFS($P$2:$P$307,$E$2:$E$307,"2019")</f>
        <v>2.56</v>
      </c>
      <c r="AB41" s="112">
        <f>_xlfn.MAXIFS($P$2:$P$307,$E$2:$E$307,"2019")</f>
        <v>3.65</v>
      </c>
      <c r="AC41" s="113">
        <f>AVERAGEIF($E$2:$E$28,"2019",$P$2:$P$28)</f>
        <v>3.22</v>
      </c>
      <c r="AD41" s="114">
        <f>_xlfn.MINIFS($P$2:$P$28,$E$2:$E$28,"2019")</f>
        <v>2.56</v>
      </c>
      <c r="AE41" s="118">
        <f>_xlfn.MAXIFS($P$2:$P$28,$E$2:$E$28,"2019")</f>
        <v>3.65</v>
      </c>
      <c r="AF41" s="119">
        <f>AVERAGE($P$29:$P$40)</f>
        <v>2.9016666666666668</v>
      </c>
      <c r="AG41" s="119">
        <f>MIN($P$29:$P$40)</f>
        <v>1.79</v>
      </c>
      <c r="AH41" s="119">
        <f>MAX($P$29:$P$40)</f>
        <v>4.28</v>
      </c>
      <c r="AI41" s="31"/>
    </row>
    <row r="42" spans="1:35" s="7" customFormat="1" x14ac:dyDescent="0.2">
      <c r="A42" s="21"/>
      <c r="B42" s="21"/>
      <c r="C42" s="21"/>
      <c r="D42" s="22"/>
      <c r="E42" s="23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4"/>
      <c r="Y42" s="120" t="s">
        <v>245</v>
      </c>
      <c r="Z42" s="121" t="e">
        <f>AVERAGE(Z3:Z41)</f>
        <v>#DIV/0!</v>
      </c>
      <c r="AA42" s="121">
        <f>MIN(AA3:AA41)</f>
        <v>0</v>
      </c>
      <c r="AB42" s="121">
        <f>MAX(AB3:AB41)</f>
        <v>4.74</v>
      </c>
      <c r="AC42" s="122">
        <f>MAX(AC3:AC41)</f>
        <v>3.6083333333333338</v>
      </c>
      <c r="AD42" s="121">
        <f>MIN(AD3:AD41)</f>
        <v>1.5</v>
      </c>
      <c r="AE42" s="121">
        <f>MAX(AE3:AE41)</f>
        <v>4.74</v>
      </c>
      <c r="AF42" s="122">
        <f>MAX(AF3:AF41)</f>
        <v>2.9016666666666668</v>
      </c>
      <c r="AG42" s="121">
        <f>MIN(AG3:AG41)</f>
        <v>1.79</v>
      </c>
      <c r="AH42" s="121">
        <f>MAX(AH3:AH41)</f>
        <v>4.28</v>
      </c>
      <c r="AI42" s="108"/>
    </row>
    <row r="43" spans="1:35" x14ac:dyDescent="0.2">
      <c r="A43" s="21"/>
      <c r="B43" s="21"/>
      <c r="C43" s="21"/>
      <c r="D43" s="22"/>
      <c r="E43" s="2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4"/>
      <c r="Y43" s="123" t="s">
        <v>248</v>
      </c>
      <c r="Z43" s="124" t="s">
        <v>242</v>
      </c>
      <c r="AA43" s="124" t="s">
        <v>250</v>
      </c>
      <c r="AB43" s="124" t="s">
        <v>244</v>
      </c>
      <c r="AC43" s="125" t="s">
        <v>242</v>
      </c>
      <c r="AD43" s="124" t="s">
        <v>243</v>
      </c>
      <c r="AE43" s="124" t="s">
        <v>244</v>
      </c>
      <c r="AF43" s="125" t="s">
        <v>242</v>
      </c>
      <c r="AG43" s="126" t="s">
        <v>243</v>
      </c>
      <c r="AH43" s="126" t="s">
        <v>244</v>
      </c>
      <c r="AI43" s="80"/>
    </row>
    <row r="44" spans="1:35" x14ac:dyDescent="0.2">
      <c r="A44" s="21"/>
      <c r="B44" s="21"/>
      <c r="C44" s="21"/>
      <c r="D44" s="22"/>
      <c r="E44" s="2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4"/>
      <c r="AA44" s="112"/>
      <c r="AB44" s="112"/>
      <c r="AD44" s="112"/>
      <c r="AE44" s="112"/>
      <c r="AF44" s="128"/>
      <c r="AG44" s="128"/>
      <c r="AH44" s="128"/>
      <c r="AI44" s="20"/>
    </row>
    <row r="45" spans="1:35" x14ac:dyDescent="0.2">
      <c r="A45" s="21"/>
      <c r="B45" s="21"/>
      <c r="C45" s="21"/>
      <c r="D45" s="22"/>
      <c r="E45" s="2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4"/>
    </row>
    <row r="46" spans="1:35" x14ac:dyDescent="0.2">
      <c r="A46" s="21"/>
      <c r="B46" s="21"/>
      <c r="C46" s="21"/>
      <c r="D46" s="22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4"/>
    </row>
    <row r="47" spans="1:35" x14ac:dyDescent="0.2">
      <c r="A47" s="21"/>
      <c r="B47" s="21"/>
      <c r="C47" s="21"/>
      <c r="D47" s="22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4"/>
    </row>
    <row r="48" spans="1:35" x14ac:dyDescent="0.2">
      <c r="A48" s="21"/>
      <c r="B48" s="21"/>
      <c r="C48" s="21"/>
      <c r="D48" s="22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4"/>
    </row>
    <row r="49" spans="1:23" x14ac:dyDescent="0.2">
      <c r="A49" s="21"/>
      <c r="B49" s="21"/>
      <c r="C49" s="21"/>
      <c r="D49" s="22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4"/>
    </row>
    <row r="50" spans="1:23" x14ac:dyDescent="0.2">
      <c r="A50" s="21"/>
      <c r="B50" s="21"/>
      <c r="C50" s="21"/>
      <c r="D50" s="22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4"/>
    </row>
    <row r="51" spans="1:23" x14ac:dyDescent="0.2">
      <c r="A51" s="21"/>
      <c r="B51" s="21"/>
      <c r="C51" s="21"/>
      <c r="D51" s="22"/>
      <c r="E51" s="2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4"/>
    </row>
    <row r="52" spans="1:23" x14ac:dyDescent="0.2">
      <c r="A52" s="21"/>
      <c r="B52" s="21"/>
      <c r="C52" s="21"/>
      <c r="D52" s="22"/>
      <c r="E52" s="2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4"/>
    </row>
    <row r="53" spans="1:23" x14ac:dyDescent="0.2">
      <c r="A53" s="21"/>
      <c r="B53" s="21"/>
      <c r="C53" s="21"/>
      <c r="D53" s="22"/>
      <c r="E53" s="2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4"/>
    </row>
    <row r="54" spans="1:23" x14ac:dyDescent="0.2">
      <c r="A54" s="21"/>
      <c r="B54" s="21"/>
      <c r="C54" s="21"/>
      <c r="D54" s="22"/>
      <c r="E54" s="2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4"/>
    </row>
    <row r="55" spans="1:23" x14ac:dyDescent="0.2">
      <c r="A55" s="21"/>
      <c r="B55" s="21"/>
      <c r="C55" s="21"/>
      <c r="D55" s="22"/>
      <c r="E55" s="2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4"/>
    </row>
    <row r="56" spans="1:23" x14ac:dyDescent="0.2">
      <c r="A56" s="21"/>
      <c r="B56" s="21"/>
      <c r="C56" s="21"/>
      <c r="D56" s="22"/>
      <c r="E56" s="2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4"/>
    </row>
    <row r="57" spans="1:23" x14ac:dyDescent="0.2">
      <c r="A57" s="21"/>
      <c r="B57" s="21"/>
      <c r="C57" s="21"/>
      <c r="D57" s="22"/>
      <c r="E57" s="2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4"/>
    </row>
    <row r="58" spans="1:23" x14ac:dyDescent="0.2">
      <c r="A58" s="21"/>
      <c r="B58" s="21"/>
      <c r="C58" s="21"/>
      <c r="D58" s="22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4"/>
    </row>
    <row r="59" spans="1:23" x14ac:dyDescent="0.2">
      <c r="A59" s="21"/>
      <c r="B59" s="21"/>
      <c r="C59" s="21"/>
      <c r="D59" s="22"/>
      <c r="E59" s="2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4"/>
    </row>
    <row r="60" spans="1:23" x14ac:dyDescent="0.2">
      <c r="A60" s="21"/>
      <c r="B60" s="21"/>
      <c r="C60" s="21"/>
      <c r="D60" s="22"/>
      <c r="E60" s="2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4"/>
    </row>
    <row r="61" spans="1:23" x14ac:dyDescent="0.2">
      <c r="A61" s="21"/>
      <c r="B61" s="21"/>
      <c r="C61" s="21"/>
      <c r="D61" s="22"/>
      <c r="E61" s="2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4"/>
    </row>
    <row r="62" spans="1:23" x14ac:dyDescent="0.2">
      <c r="A62" s="21"/>
      <c r="B62" s="21"/>
      <c r="C62" s="21"/>
      <c r="D62" s="22"/>
      <c r="E62" s="2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4"/>
    </row>
    <row r="63" spans="1:23" x14ac:dyDescent="0.2">
      <c r="A63" s="21"/>
      <c r="B63" s="21"/>
      <c r="C63" s="21"/>
      <c r="D63" s="22"/>
      <c r="E63" s="2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4"/>
    </row>
    <row r="64" spans="1:23" x14ac:dyDescent="0.2">
      <c r="A64" s="21"/>
      <c r="B64" s="21"/>
      <c r="C64" s="21"/>
      <c r="D64" s="22"/>
      <c r="E64" s="2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4"/>
    </row>
    <row r="65" spans="1:23" x14ac:dyDescent="0.2">
      <c r="A65" s="21"/>
      <c r="B65" s="21"/>
      <c r="C65" s="21"/>
      <c r="D65" s="22"/>
      <c r="E65" s="2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4"/>
    </row>
    <row r="66" spans="1:23" x14ac:dyDescent="0.2">
      <c r="A66" s="21"/>
      <c r="B66" s="21"/>
      <c r="C66" s="21"/>
      <c r="D66" s="22"/>
      <c r="E66" s="2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4"/>
    </row>
    <row r="67" spans="1:23" x14ac:dyDescent="0.2">
      <c r="A67" s="21"/>
      <c r="B67" s="21"/>
      <c r="C67" s="21"/>
      <c r="D67" s="22"/>
      <c r="E67" s="2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4"/>
    </row>
    <row r="68" spans="1:23" x14ac:dyDescent="0.2">
      <c r="A68" s="21"/>
      <c r="B68" s="21"/>
      <c r="C68" s="21"/>
      <c r="D68" s="22"/>
      <c r="E68" s="2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4"/>
    </row>
    <row r="69" spans="1:23" x14ac:dyDescent="0.2">
      <c r="A69" s="21"/>
      <c r="B69" s="21"/>
      <c r="C69" s="21"/>
      <c r="D69" s="22"/>
      <c r="E69" s="2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4"/>
    </row>
    <row r="70" spans="1:23" x14ac:dyDescent="0.2">
      <c r="A70" s="21"/>
      <c r="B70" s="21"/>
      <c r="C70" s="21"/>
      <c r="D70" s="22"/>
      <c r="E70" s="2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4"/>
    </row>
    <row r="71" spans="1:23" x14ac:dyDescent="0.2">
      <c r="A71" s="21"/>
      <c r="B71" s="21"/>
      <c r="C71" s="21"/>
      <c r="D71" s="22"/>
      <c r="E71" s="2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4"/>
    </row>
    <row r="72" spans="1:23" x14ac:dyDescent="0.2">
      <c r="A72" s="21"/>
      <c r="B72" s="21"/>
      <c r="C72" s="21"/>
      <c r="D72" s="22"/>
      <c r="E72" s="2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4"/>
    </row>
    <row r="73" spans="1:23" x14ac:dyDescent="0.2">
      <c r="A73" s="21"/>
      <c r="B73" s="21"/>
      <c r="C73" s="21"/>
      <c r="D73" s="22"/>
      <c r="E73" s="2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4"/>
    </row>
    <row r="74" spans="1:23" x14ac:dyDescent="0.2">
      <c r="A74" s="21"/>
      <c r="B74" s="21"/>
      <c r="C74" s="21"/>
      <c r="D74" s="22"/>
      <c r="E74" s="2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4"/>
    </row>
    <row r="75" spans="1:23" x14ac:dyDescent="0.2">
      <c r="A75" s="21"/>
      <c r="B75" s="21"/>
      <c r="C75" s="21"/>
      <c r="D75" s="22"/>
      <c r="E75" s="2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4"/>
    </row>
    <row r="76" spans="1:23" x14ac:dyDescent="0.2">
      <c r="A76" s="21"/>
      <c r="B76" s="21"/>
      <c r="C76" s="21"/>
      <c r="D76" s="22"/>
      <c r="E76" s="2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4"/>
    </row>
    <row r="77" spans="1:23" x14ac:dyDescent="0.2">
      <c r="A77" s="21"/>
      <c r="B77" s="21"/>
      <c r="C77" s="21"/>
      <c r="D77" s="22"/>
      <c r="E77" s="2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4"/>
    </row>
    <row r="78" spans="1:23" x14ac:dyDescent="0.2">
      <c r="A78" s="21"/>
      <c r="B78" s="21"/>
      <c r="C78" s="21"/>
      <c r="D78" s="22"/>
      <c r="E78" s="2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4"/>
    </row>
    <row r="79" spans="1:23" x14ac:dyDescent="0.2">
      <c r="A79" s="21"/>
      <c r="B79" s="21"/>
      <c r="C79" s="21"/>
      <c r="D79" s="22"/>
      <c r="E79" s="2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4"/>
    </row>
    <row r="80" spans="1:23" x14ac:dyDescent="0.2">
      <c r="A80" s="21"/>
      <c r="B80" s="21"/>
      <c r="C80" s="21"/>
      <c r="D80" s="22"/>
      <c r="E80" s="2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4"/>
    </row>
    <row r="81" spans="1:23" x14ac:dyDescent="0.2">
      <c r="A81" s="21"/>
      <c r="B81" s="21"/>
      <c r="C81" s="21"/>
      <c r="D81" s="22"/>
      <c r="E81" s="2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4"/>
    </row>
    <row r="82" spans="1:23" x14ac:dyDescent="0.2">
      <c r="A82" s="21"/>
      <c r="B82" s="21"/>
      <c r="C82" s="21"/>
      <c r="D82" s="22"/>
      <c r="E82" s="2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4"/>
    </row>
    <row r="83" spans="1:23" x14ac:dyDescent="0.2">
      <c r="A83" s="21"/>
      <c r="B83" s="21"/>
      <c r="C83" s="21"/>
      <c r="D83" s="22"/>
      <c r="E83" s="2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4"/>
    </row>
    <row r="84" spans="1:23" x14ac:dyDescent="0.2">
      <c r="A84" s="21"/>
      <c r="B84" s="21"/>
      <c r="C84" s="21"/>
      <c r="D84" s="22"/>
      <c r="E84" s="2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4"/>
    </row>
    <row r="85" spans="1:23" x14ac:dyDescent="0.2">
      <c r="A85" s="21"/>
      <c r="B85" s="21"/>
      <c r="C85" s="21"/>
      <c r="D85" s="22"/>
      <c r="E85" s="2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4"/>
    </row>
    <row r="86" spans="1:23" x14ac:dyDescent="0.2">
      <c r="A86" s="21"/>
      <c r="B86" s="21"/>
      <c r="C86" s="21"/>
      <c r="D86" s="22"/>
      <c r="E86" s="2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4"/>
    </row>
    <row r="87" spans="1:23" x14ac:dyDescent="0.2">
      <c r="A87" s="21"/>
      <c r="B87" s="21"/>
      <c r="C87" s="21"/>
      <c r="D87" s="22"/>
      <c r="E87" s="2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4"/>
    </row>
    <row r="88" spans="1:23" x14ac:dyDescent="0.2">
      <c r="A88" s="21"/>
      <c r="B88" s="21"/>
      <c r="C88" s="21"/>
      <c r="D88" s="22"/>
      <c r="E88" s="2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4"/>
    </row>
    <row r="89" spans="1:23" x14ac:dyDescent="0.2">
      <c r="A89" s="21"/>
      <c r="B89" s="21"/>
      <c r="C89" s="21"/>
      <c r="D89" s="22"/>
      <c r="E89" s="2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4"/>
    </row>
    <row r="90" spans="1:23" x14ac:dyDescent="0.2">
      <c r="A90" s="21"/>
      <c r="B90" s="21"/>
      <c r="C90" s="21"/>
      <c r="D90" s="22"/>
      <c r="E90" s="2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4"/>
    </row>
    <row r="91" spans="1:23" x14ac:dyDescent="0.2">
      <c r="A91" s="21"/>
      <c r="B91" s="21"/>
      <c r="C91" s="21"/>
      <c r="D91" s="22"/>
      <c r="E91" s="2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4"/>
    </row>
    <row r="92" spans="1:23" x14ac:dyDescent="0.2">
      <c r="A92" s="21"/>
      <c r="B92" s="21"/>
      <c r="C92" s="21"/>
      <c r="D92" s="22"/>
      <c r="E92" s="23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4"/>
    </row>
    <row r="93" spans="1:23" x14ac:dyDescent="0.2">
      <c r="A93" s="21"/>
      <c r="B93" s="21"/>
      <c r="C93" s="21"/>
      <c r="D93" s="22"/>
      <c r="E93" s="23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4"/>
    </row>
    <row r="94" spans="1:23" x14ac:dyDescent="0.2">
      <c r="A94" s="21"/>
      <c r="B94" s="21"/>
      <c r="C94" s="21"/>
      <c r="D94" s="22"/>
      <c r="E94" s="23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4"/>
    </row>
    <row r="95" spans="1:23" x14ac:dyDescent="0.2">
      <c r="A95" s="21"/>
      <c r="B95" s="21"/>
      <c r="C95" s="21"/>
      <c r="D95" s="22"/>
      <c r="E95" s="23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4"/>
    </row>
    <row r="96" spans="1:23" x14ac:dyDescent="0.2">
      <c r="A96" s="21"/>
      <c r="B96" s="21"/>
      <c r="C96" s="21"/>
      <c r="D96" s="22"/>
      <c r="E96" s="23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4"/>
    </row>
    <row r="97" spans="1:23" x14ac:dyDescent="0.2">
      <c r="A97" s="21"/>
      <c r="B97" s="21"/>
      <c r="C97" s="21"/>
      <c r="D97" s="22"/>
      <c r="E97" s="23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4"/>
    </row>
    <row r="98" spans="1:23" x14ac:dyDescent="0.2">
      <c r="A98" s="21"/>
      <c r="B98" s="21"/>
      <c r="C98" s="21"/>
      <c r="D98" s="22"/>
      <c r="E98" s="23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4"/>
    </row>
    <row r="99" spans="1:23" x14ac:dyDescent="0.2">
      <c r="A99" s="21"/>
      <c r="B99" s="21"/>
      <c r="C99" s="21"/>
      <c r="D99" s="22"/>
      <c r="E99" s="23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4"/>
    </row>
    <row r="100" spans="1:23" x14ac:dyDescent="0.2">
      <c r="A100" s="21"/>
      <c r="B100" s="21"/>
      <c r="C100" s="21"/>
      <c r="D100" s="22"/>
      <c r="E100" s="23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4"/>
    </row>
    <row r="101" spans="1:23" x14ac:dyDescent="0.2">
      <c r="A101" s="21"/>
      <c r="B101" s="21"/>
      <c r="C101" s="21"/>
      <c r="D101" s="22"/>
      <c r="E101" s="2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4"/>
    </row>
    <row r="102" spans="1:23" x14ac:dyDescent="0.2">
      <c r="A102" s="21"/>
      <c r="B102" s="21"/>
      <c r="C102" s="21"/>
      <c r="D102" s="22"/>
      <c r="E102" s="23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4"/>
    </row>
    <row r="103" spans="1:23" x14ac:dyDescent="0.2">
      <c r="A103" s="21"/>
      <c r="B103" s="21"/>
      <c r="C103" s="21"/>
      <c r="D103" s="22"/>
      <c r="E103" s="23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4"/>
    </row>
    <row r="104" spans="1:23" x14ac:dyDescent="0.2">
      <c r="A104" s="21"/>
      <c r="B104" s="21"/>
      <c r="C104" s="21"/>
      <c r="D104" s="22"/>
      <c r="E104" s="2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4"/>
    </row>
    <row r="105" spans="1:23" x14ac:dyDescent="0.2">
      <c r="A105" s="21"/>
      <c r="B105" s="21"/>
      <c r="C105" s="21"/>
      <c r="D105" s="22"/>
      <c r="E105" s="2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4"/>
    </row>
    <row r="106" spans="1:23" x14ac:dyDescent="0.2">
      <c r="A106" s="21"/>
      <c r="B106" s="21"/>
      <c r="C106" s="21"/>
      <c r="D106" s="22"/>
      <c r="E106" s="2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4"/>
    </row>
    <row r="107" spans="1:23" x14ac:dyDescent="0.2">
      <c r="A107" s="21"/>
      <c r="B107" s="21"/>
      <c r="C107" s="21"/>
      <c r="D107" s="22"/>
      <c r="E107" s="2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4"/>
    </row>
    <row r="108" spans="1:23" x14ac:dyDescent="0.2">
      <c r="A108" s="21"/>
      <c r="B108" s="21"/>
      <c r="C108" s="21"/>
      <c r="D108" s="22"/>
      <c r="E108" s="23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4"/>
    </row>
    <row r="109" spans="1:23" x14ac:dyDescent="0.2">
      <c r="A109" s="21"/>
      <c r="B109" s="21"/>
      <c r="C109" s="21"/>
      <c r="D109" s="22"/>
      <c r="E109" s="23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4"/>
    </row>
    <row r="110" spans="1:23" x14ac:dyDescent="0.2">
      <c r="A110" s="21"/>
      <c r="B110" s="21"/>
      <c r="C110" s="21"/>
      <c r="D110" s="22"/>
      <c r="E110" s="23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4"/>
    </row>
    <row r="111" spans="1:23" x14ac:dyDescent="0.2">
      <c r="A111" s="21"/>
      <c r="B111" s="21"/>
      <c r="C111" s="21"/>
      <c r="D111" s="22"/>
      <c r="E111" s="23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4"/>
    </row>
    <row r="112" spans="1:23" x14ac:dyDescent="0.2">
      <c r="A112" s="21"/>
      <c r="B112" s="21"/>
      <c r="C112" s="21"/>
      <c r="D112" s="22"/>
      <c r="E112" s="2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4"/>
    </row>
    <row r="113" spans="1:34" x14ac:dyDescent="0.2">
      <c r="A113" s="21"/>
      <c r="B113" s="21"/>
      <c r="C113" s="21"/>
      <c r="D113" s="22"/>
      <c r="E113" s="2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4"/>
    </row>
    <row r="114" spans="1:34" x14ac:dyDescent="0.2">
      <c r="A114" s="21"/>
      <c r="B114" s="21"/>
      <c r="C114" s="21"/>
      <c r="D114" s="22"/>
      <c r="E114" s="23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4"/>
    </row>
    <row r="115" spans="1:34" x14ac:dyDescent="0.2">
      <c r="A115" s="21"/>
      <c r="B115" s="21"/>
      <c r="C115" s="21"/>
      <c r="D115" s="22"/>
      <c r="E115" s="2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4"/>
    </row>
    <row r="116" spans="1:34" x14ac:dyDescent="0.2">
      <c r="A116" s="21"/>
      <c r="B116" s="21"/>
      <c r="C116" s="21"/>
      <c r="D116" s="22"/>
      <c r="E116" s="2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4"/>
    </row>
    <row r="117" spans="1:34" x14ac:dyDescent="0.2">
      <c r="A117" s="21"/>
      <c r="B117" s="21"/>
      <c r="C117" s="21"/>
      <c r="D117" s="22"/>
      <c r="E117" s="2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4"/>
    </row>
    <row r="118" spans="1:34" x14ac:dyDescent="0.2">
      <c r="A118" s="21"/>
      <c r="B118" s="21"/>
      <c r="C118" s="21"/>
      <c r="D118" s="22"/>
      <c r="E118" s="2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4"/>
    </row>
    <row r="119" spans="1:34" x14ac:dyDescent="0.2">
      <c r="A119" s="21"/>
      <c r="B119" s="21"/>
      <c r="C119" s="21"/>
      <c r="D119" s="22"/>
      <c r="E119" s="2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4"/>
    </row>
    <row r="120" spans="1:34" x14ac:dyDescent="0.2">
      <c r="A120" s="21"/>
      <c r="B120" s="21"/>
      <c r="C120" s="21"/>
      <c r="D120" s="22"/>
      <c r="E120" s="2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4"/>
    </row>
    <row r="121" spans="1:34" x14ac:dyDescent="0.2">
      <c r="A121" s="21"/>
      <c r="B121" s="21"/>
      <c r="C121" s="21"/>
      <c r="D121" s="22"/>
      <c r="E121" s="2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4"/>
    </row>
    <row r="122" spans="1:34" s="7" customFormat="1" x14ac:dyDescent="0.2">
      <c r="A122" s="21"/>
      <c r="B122" s="21"/>
      <c r="C122" s="21"/>
      <c r="D122" s="22"/>
      <c r="E122" s="2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4"/>
      <c r="Y122" s="127"/>
      <c r="Z122" s="127"/>
      <c r="AA122" s="127"/>
      <c r="AB122" s="127"/>
      <c r="AC122" s="130"/>
      <c r="AD122" s="130"/>
      <c r="AE122" s="130"/>
      <c r="AF122" s="131"/>
      <c r="AG122" s="131"/>
      <c r="AH122" s="131"/>
    </row>
    <row r="123" spans="1:34" s="7" customFormat="1" x14ac:dyDescent="0.2">
      <c r="A123" s="21"/>
      <c r="B123" s="21"/>
      <c r="C123" s="21"/>
      <c r="D123" s="22"/>
      <c r="E123" s="2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4"/>
      <c r="Y123" s="127"/>
      <c r="Z123" s="127"/>
      <c r="AA123" s="127"/>
      <c r="AB123" s="127"/>
      <c r="AC123" s="130"/>
      <c r="AD123" s="130"/>
      <c r="AE123" s="130"/>
      <c r="AF123" s="131"/>
      <c r="AG123" s="131"/>
      <c r="AH123" s="131"/>
    </row>
    <row r="124" spans="1:34" s="7" customFormat="1" x14ac:dyDescent="0.2">
      <c r="A124" s="21"/>
      <c r="B124" s="21"/>
      <c r="C124" s="21"/>
      <c r="D124" s="22"/>
      <c r="E124" s="2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4"/>
      <c r="Y124" s="127"/>
      <c r="Z124" s="127"/>
      <c r="AA124" s="127"/>
      <c r="AB124" s="127"/>
      <c r="AC124" s="130"/>
      <c r="AD124" s="130"/>
      <c r="AE124" s="130"/>
      <c r="AF124" s="131"/>
      <c r="AG124" s="131"/>
      <c r="AH124" s="131"/>
    </row>
    <row r="125" spans="1:34" x14ac:dyDescent="0.2">
      <c r="A125" s="21"/>
      <c r="B125" s="21"/>
      <c r="C125" s="21"/>
      <c r="D125" s="22"/>
      <c r="E125" s="2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4"/>
    </row>
    <row r="126" spans="1:34" x14ac:dyDescent="0.2">
      <c r="A126" s="21"/>
      <c r="B126" s="21"/>
      <c r="C126" s="21"/>
      <c r="D126" s="22"/>
      <c r="E126" s="2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4"/>
    </row>
    <row r="127" spans="1:34" x14ac:dyDescent="0.2">
      <c r="A127" s="21"/>
      <c r="B127" s="21"/>
      <c r="C127" s="21"/>
      <c r="D127" s="22"/>
      <c r="E127" s="2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4"/>
    </row>
    <row r="128" spans="1:34" x14ac:dyDescent="0.2">
      <c r="A128" s="21"/>
      <c r="B128" s="21"/>
      <c r="C128" s="21"/>
      <c r="D128" s="22"/>
      <c r="E128" s="2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4"/>
    </row>
    <row r="129" spans="1:23" x14ac:dyDescent="0.2">
      <c r="A129" s="21"/>
      <c r="B129" s="21"/>
      <c r="C129" s="21"/>
      <c r="D129" s="22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4"/>
    </row>
    <row r="130" spans="1:23" x14ac:dyDescent="0.2">
      <c r="A130" s="21"/>
      <c r="B130" s="21"/>
      <c r="C130" s="21"/>
      <c r="D130" s="22"/>
      <c r="E130" s="2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4"/>
    </row>
    <row r="131" spans="1:23" x14ac:dyDescent="0.2">
      <c r="A131" s="21"/>
      <c r="B131" s="21"/>
      <c r="C131" s="21"/>
      <c r="D131" s="22"/>
      <c r="E131" s="2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4"/>
    </row>
    <row r="132" spans="1:23" x14ac:dyDescent="0.2">
      <c r="A132" s="21"/>
      <c r="B132" s="21"/>
      <c r="C132" s="21"/>
      <c r="D132" s="22"/>
      <c r="E132" s="2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4"/>
    </row>
    <row r="133" spans="1:23" x14ac:dyDescent="0.2">
      <c r="A133" s="21"/>
      <c r="B133" s="21"/>
      <c r="C133" s="21"/>
      <c r="D133" s="22"/>
      <c r="E133" s="2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4"/>
    </row>
    <row r="134" spans="1:23" x14ac:dyDescent="0.2">
      <c r="A134" s="21"/>
      <c r="B134" s="21"/>
      <c r="C134" s="21"/>
      <c r="D134" s="22"/>
      <c r="E134" s="2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4"/>
    </row>
    <row r="135" spans="1:23" x14ac:dyDescent="0.2">
      <c r="A135" s="21"/>
      <c r="B135" s="21"/>
      <c r="C135" s="21"/>
      <c r="D135" s="22"/>
      <c r="E135" s="2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4"/>
    </row>
    <row r="136" spans="1:23" x14ac:dyDescent="0.2">
      <c r="A136" s="21"/>
      <c r="B136" s="21"/>
      <c r="C136" s="21"/>
      <c r="D136" s="22"/>
      <c r="E136" s="2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4"/>
    </row>
    <row r="137" spans="1:23" x14ac:dyDescent="0.2">
      <c r="A137" s="21"/>
      <c r="B137" s="21"/>
      <c r="C137" s="21"/>
      <c r="D137" s="22"/>
      <c r="E137" s="2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4"/>
    </row>
    <row r="138" spans="1:23" x14ac:dyDescent="0.2">
      <c r="A138" s="21"/>
      <c r="B138" s="21"/>
      <c r="C138" s="21"/>
      <c r="D138" s="22"/>
      <c r="E138" s="2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4"/>
    </row>
    <row r="139" spans="1:23" x14ac:dyDescent="0.2">
      <c r="A139" s="21"/>
      <c r="B139" s="21"/>
      <c r="C139" s="21"/>
      <c r="D139" s="22"/>
      <c r="E139" s="2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4"/>
    </row>
    <row r="140" spans="1:23" x14ac:dyDescent="0.2">
      <c r="A140" s="21"/>
      <c r="B140" s="21"/>
      <c r="C140" s="21"/>
      <c r="D140" s="22"/>
      <c r="E140" s="2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4"/>
    </row>
    <row r="141" spans="1:23" x14ac:dyDescent="0.2">
      <c r="A141" s="21"/>
      <c r="B141" s="21"/>
      <c r="C141" s="21"/>
      <c r="D141" s="22"/>
      <c r="E141" s="23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4"/>
    </row>
    <row r="142" spans="1:23" x14ac:dyDescent="0.2">
      <c r="A142" s="21"/>
      <c r="B142" s="21"/>
      <c r="C142" s="21"/>
      <c r="D142" s="22"/>
      <c r="E142" s="23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4"/>
    </row>
    <row r="143" spans="1:23" x14ac:dyDescent="0.2">
      <c r="A143" s="21"/>
      <c r="B143" s="21"/>
      <c r="C143" s="21"/>
      <c r="D143" s="22"/>
      <c r="E143" s="23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4"/>
    </row>
    <row r="144" spans="1:23" x14ac:dyDescent="0.2">
      <c r="A144" s="21"/>
      <c r="B144" s="21"/>
      <c r="C144" s="21"/>
      <c r="D144" s="22"/>
      <c r="E144" s="2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4"/>
    </row>
    <row r="145" spans="1:23" x14ac:dyDescent="0.2">
      <c r="A145" s="21"/>
      <c r="B145" s="21"/>
      <c r="C145" s="21"/>
      <c r="D145" s="22"/>
      <c r="E145" s="2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4"/>
    </row>
    <row r="146" spans="1:23" x14ac:dyDescent="0.2">
      <c r="A146" s="21"/>
      <c r="B146" s="21"/>
      <c r="C146" s="21"/>
      <c r="D146" s="22"/>
      <c r="E146" s="2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4"/>
    </row>
    <row r="147" spans="1:23" x14ac:dyDescent="0.2">
      <c r="A147" s="21"/>
      <c r="B147" s="21"/>
      <c r="C147" s="21"/>
      <c r="D147" s="22"/>
      <c r="E147" s="2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4"/>
    </row>
    <row r="148" spans="1:23" x14ac:dyDescent="0.2">
      <c r="A148" s="21"/>
      <c r="B148" s="21"/>
      <c r="C148" s="21"/>
      <c r="D148" s="22"/>
      <c r="E148" s="2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4"/>
    </row>
    <row r="149" spans="1:23" x14ac:dyDescent="0.2">
      <c r="A149" s="21"/>
      <c r="B149" s="21"/>
      <c r="C149" s="21"/>
      <c r="D149" s="22"/>
      <c r="E149" s="2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4"/>
    </row>
    <row r="150" spans="1:23" x14ac:dyDescent="0.2">
      <c r="A150" s="21"/>
      <c r="B150" s="21"/>
      <c r="C150" s="21"/>
      <c r="D150" s="22"/>
      <c r="E150" s="2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4"/>
    </row>
    <row r="151" spans="1:23" x14ac:dyDescent="0.2">
      <c r="A151" s="21"/>
      <c r="B151" s="21"/>
      <c r="C151" s="21"/>
      <c r="D151" s="22"/>
      <c r="E151" s="2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4"/>
    </row>
    <row r="152" spans="1:23" x14ac:dyDescent="0.2">
      <c r="A152" s="21"/>
      <c r="B152" s="21"/>
      <c r="C152" s="21"/>
      <c r="D152" s="22"/>
      <c r="E152" s="2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4"/>
    </row>
    <row r="153" spans="1:23" x14ac:dyDescent="0.2">
      <c r="A153" s="21"/>
      <c r="B153" s="21"/>
      <c r="C153" s="21"/>
      <c r="D153" s="22"/>
      <c r="E153" s="2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4"/>
    </row>
    <row r="154" spans="1:23" x14ac:dyDescent="0.2">
      <c r="A154" s="21"/>
      <c r="B154" s="21"/>
      <c r="C154" s="21"/>
      <c r="D154" s="22"/>
      <c r="E154" s="2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4"/>
    </row>
    <row r="155" spans="1:23" x14ac:dyDescent="0.2">
      <c r="A155" s="21"/>
      <c r="B155" s="21"/>
      <c r="C155" s="21"/>
      <c r="D155" s="22"/>
      <c r="E155" s="2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4"/>
    </row>
    <row r="156" spans="1:23" x14ac:dyDescent="0.2">
      <c r="A156" s="21"/>
      <c r="B156" s="21"/>
      <c r="C156" s="21"/>
      <c r="D156" s="22"/>
      <c r="E156" s="2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4"/>
    </row>
    <row r="157" spans="1:23" x14ac:dyDescent="0.2">
      <c r="A157" s="21"/>
      <c r="B157" s="21"/>
      <c r="C157" s="21"/>
      <c r="D157" s="22"/>
      <c r="E157" s="2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4"/>
    </row>
    <row r="158" spans="1:23" x14ac:dyDescent="0.2">
      <c r="A158" s="21"/>
      <c r="B158" s="21"/>
      <c r="C158" s="21"/>
      <c r="D158" s="22"/>
      <c r="E158" s="2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4"/>
    </row>
    <row r="159" spans="1:23" x14ac:dyDescent="0.2">
      <c r="A159" s="21"/>
      <c r="B159" s="21"/>
      <c r="C159" s="21"/>
      <c r="D159" s="22"/>
      <c r="E159" s="2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4"/>
    </row>
    <row r="160" spans="1:23" x14ac:dyDescent="0.2">
      <c r="A160" s="21"/>
      <c r="B160" s="21"/>
      <c r="C160" s="21"/>
      <c r="D160" s="22"/>
      <c r="E160" s="2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4"/>
    </row>
    <row r="161" spans="1:23" x14ac:dyDescent="0.2">
      <c r="A161" s="21"/>
      <c r="B161" s="21"/>
      <c r="C161" s="21"/>
      <c r="D161" s="22"/>
      <c r="E161" s="2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4"/>
    </row>
    <row r="162" spans="1:23" x14ac:dyDescent="0.2">
      <c r="A162" s="21"/>
      <c r="B162" s="21"/>
      <c r="C162" s="21"/>
      <c r="D162" s="22"/>
      <c r="E162" s="2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4"/>
    </row>
    <row r="163" spans="1:23" x14ac:dyDescent="0.2">
      <c r="A163" s="21"/>
      <c r="B163" s="21"/>
      <c r="C163" s="21"/>
      <c r="D163" s="22"/>
      <c r="E163" s="2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4"/>
    </row>
    <row r="164" spans="1:23" x14ac:dyDescent="0.2">
      <c r="A164" s="21"/>
      <c r="B164" s="21"/>
      <c r="C164" s="21"/>
      <c r="D164" s="22"/>
      <c r="E164" s="2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4"/>
    </row>
    <row r="165" spans="1:23" x14ac:dyDescent="0.2">
      <c r="A165" s="21"/>
      <c r="B165" s="21"/>
      <c r="C165" s="21"/>
      <c r="D165" s="22"/>
      <c r="E165" s="2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4"/>
    </row>
    <row r="166" spans="1:23" x14ac:dyDescent="0.2">
      <c r="A166" s="21"/>
      <c r="B166" s="21"/>
      <c r="C166" s="21"/>
      <c r="D166" s="22"/>
      <c r="E166" s="2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4"/>
    </row>
    <row r="167" spans="1:23" x14ac:dyDescent="0.2">
      <c r="A167" s="21"/>
      <c r="B167" s="21"/>
      <c r="C167" s="21"/>
      <c r="D167" s="22"/>
      <c r="E167" s="23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4"/>
    </row>
    <row r="168" spans="1:23" x14ac:dyDescent="0.2">
      <c r="A168" s="21"/>
      <c r="B168" s="21"/>
      <c r="C168" s="21"/>
      <c r="D168" s="22"/>
      <c r="E168" s="23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4"/>
    </row>
    <row r="169" spans="1:23" x14ac:dyDescent="0.2">
      <c r="A169" s="21"/>
      <c r="B169" s="21"/>
      <c r="C169" s="21"/>
      <c r="D169" s="22"/>
      <c r="E169" s="23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4"/>
    </row>
    <row r="170" spans="1:23" x14ac:dyDescent="0.2">
      <c r="A170" s="21"/>
      <c r="B170" s="21"/>
      <c r="C170" s="21"/>
      <c r="D170" s="22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4"/>
    </row>
    <row r="171" spans="1:23" x14ac:dyDescent="0.2">
      <c r="A171" s="21"/>
      <c r="B171" s="21"/>
      <c r="C171" s="21"/>
      <c r="D171" s="22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4"/>
    </row>
    <row r="172" spans="1:23" x14ac:dyDescent="0.2">
      <c r="A172" s="21"/>
      <c r="B172" s="21"/>
      <c r="C172" s="21"/>
      <c r="D172" s="22"/>
      <c r="E172" s="2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4"/>
    </row>
    <row r="173" spans="1:23" x14ac:dyDescent="0.2">
      <c r="A173" s="21"/>
      <c r="B173" s="21"/>
      <c r="C173" s="21"/>
      <c r="D173" s="22"/>
      <c r="E173" s="2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4"/>
    </row>
    <row r="174" spans="1:23" x14ac:dyDescent="0.2">
      <c r="A174" s="21"/>
      <c r="B174" s="21"/>
      <c r="C174" s="21"/>
      <c r="D174" s="22"/>
      <c r="E174" s="2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4"/>
    </row>
    <row r="175" spans="1:23" x14ac:dyDescent="0.2">
      <c r="A175" s="21"/>
      <c r="B175" s="21"/>
      <c r="C175" s="21"/>
      <c r="D175" s="22"/>
      <c r="E175" s="2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4"/>
    </row>
    <row r="176" spans="1:23" x14ac:dyDescent="0.2">
      <c r="A176" s="21"/>
      <c r="B176" s="21"/>
      <c r="C176" s="21"/>
      <c r="D176" s="22"/>
      <c r="E176" s="2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4"/>
    </row>
    <row r="177" spans="1:23" x14ac:dyDescent="0.2">
      <c r="A177" s="21"/>
      <c r="B177" s="21"/>
      <c r="C177" s="21"/>
      <c r="D177" s="22"/>
      <c r="E177" s="2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4"/>
    </row>
    <row r="178" spans="1:23" x14ac:dyDescent="0.2">
      <c r="A178" s="21"/>
      <c r="B178" s="21"/>
      <c r="C178" s="21"/>
      <c r="D178" s="22"/>
      <c r="E178" s="2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4"/>
    </row>
    <row r="179" spans="1:23" x14ac:dyDescent="0.2">
      <c r="A179" s="21"/>
      <c r="B179" s="21"/>
      <c r="C179" s="21"/>
      <c r="D179" s="22"/>
      <c r="E179" s="2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4"/>
    </row>
    <row r="180" spans="1:23" x14ac:dyDescent="0.2">
      <c r="A180" s="21"/>
      <c r="B180" s="21"/>
      <c r="C180" s="21"/>
      <c r="D180" s="22"/>
      <c r="E180" s="2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4"/>
    </row>
    <row r="181" spans="1:23" x14ac:dyDescent="0.2">
      <c r="A181" s="21"/>
      <c r="B181" s="21"/>
      <c r="C181" s="21"/>
      <c r="D181" s="22"/>
      <c r="E181" s="2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4"/>
    </row>
    <row r="182" spans="1:23" x14ac:dyDescent="0.2">
      <c r="A182" s="21"/>
      <c r="B182" s="21"/>
      <c r="C182" s="21"/>
      <c r="D182" s="22"/>
      <c r="E182" s="2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4"/>
    </row>
    <row r="183" spans="1:23" x14ac:dyDescent="0.2">
      <c r="A183" s="21"/>
      <c r="B183" s="21"/>
      <c r="C183" s="21"/>
      <c r="D183" s="22"/>
      <c r="E183" s="2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4"/>
    </row>
    <row r="184" spans="1:23" x14ac:dyDescent="0.2">
      <c r="A184" s="21"/>
      <c r="B184" s="21"/>
      <c r="C184" s="21"/>
      <c r="D184" s="22"/>
      <c r="E184" s="2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4"/>
    </row>
    <row r="185" spans="1:23" x14ac:dyDescent="0.2">
      <c r="A185" s="21"/>
      <c r="B185" s="21"/>
      <c r="C185" s="21"/>
      <c r="D185" s="22"/>
      <c r="E185" s="2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4"/>
    </row>
    <row r="186" spans="1:23" x14ac:dyDescent="0.2">
      <c r="A186" s="21"/>
      <c r="B186" s="21"/>
      <c r="C186" s="21"/>
      <c r="D186" s="22"/>
      <c r="E186" s="2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4"/>
    </row>
    <row r="187" spans="1:23" x14ac:dyDescent="0.2">
      <c r="A187" s="21"/>
      <c r="B187" s="21"/>
      <c r="C187" s="21"/>
      <c r="D187" s="22"/>
      <c r="E187" s="2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4"/>
    </row>
    <row r="188" spans="1:23" x14ac:dyDescent="0.2">
      <c r="A188" s="21"/>
      <c r="B188" s="21"/>
      <c r="C188" s="21"/>
      <c r="D188" s="22"/>
      <c r="E188" s="2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4"/>
    </row>
    <row r="189" spans="1:23" x14ac:dyDescent="0.2">
      <c r="A189" s="21"/>
      <c r="B189" s="21"/>
      <c r="C189" s="21"/>
      <c r="D189" s="22"/>
      <c r="E189" s="2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4"/>
    </row>
    <row r="190" spans="1:23" x14ac:dyDescent="0.2">
      <c r="A190" s="21"/>
      <c r="B190" s="21"/>
      <c r="C190" s="21"/>
      <c r="D190" s="22"/>
      <c r="E190" s="2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4"/>
    </row>
    <row r="191" spans="1:23" x14ac:dyDescent="0.2">
      <c r="A191" s="21"/>
      <c r="B191" s="21"/>
      <c r="C191" s="21"/>
      <c r="D191" s="22"/>
      <c r="E191" s="2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4"/>
    </row>
    <row r="192" spans="1:23" x14ac:dyDescent="0.2">
      <c r="A192" s="21"/>
      <c r="B192" s="21"/>
      <c r="C192" s="21"/>
      <c r="D192" s="22"/>
      <c r="E192" s="2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4"/>
    </row>
    <row r="193" spans="1:23" x14ac:dyDescent="0.2">
      <c r="A193" s="21"/>
      <c r="B193" s="21"/>
      <c r="C193" s="21"/>
      <c r="D193" s="22"/>
      <c r="E193" s="23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4"/>
    </row>
    <row r="194" spans="1:23" x14ac:dyDescent="0.2">
      <c r="A194" s="21"/>
      <c r="B194" s="21"/>
      <c r="C194" s="21"/>
      <c r="D194" s="22"/>
      <c r="E194" s="23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4"/>
    </row>
    <row r="195" spans="1:23" x14ac:dyDescent="0.2">
      <c r="A195" s="21"/>
      <c r="B195" s="21"/>
      <c r="C195" s="21"/>
      <c r="D195" s="22"/>
      <c r="E195" s="23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4"/>
    </row>
    <row r="196" spans="1:23" x14ac:dyDescent="0.2">
      <c r="A196" s="21"/>
      <c r="B196" s="21"/>
      <c r="C196" s="21"/>
      <c r="D196" s="22"/>
      <c r="E196" s="23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4"/>
    </row>
    <row r="197" spans="1:23" x14ac:dyDescent="0.2">
      <c r="A197" s="21"/>
      <c r="B197" s="21"/>
      <c r="C197" s="21"/>
      <c r="D197" s="22"/>
      <c r="E197" s="2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4"/>
    </row>
    <row r="198" spans="1:23" x14ac:dyDescent="0.2">
      <c r="A198" s="21"/>
      <c r="B198" s="21"/>
      <c r="C198" s="21"/>
      <c r="D198" s="22"/>
      <c r="E198" s="23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4"/>
    </row>
    <row r="199" spans="1:23" x14ac:dyDescent="0.2">
      <c r="A199" s="21"/>
      <c r="B199" s="21"/>
      <c r="C199" s="21"/>
      <c r="D199" s="22"/>
      <c r="E199" s="23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4"/>
    </row>
    <row r="200" spans="1:23" x14ac:dyDescent="0.2">
      <c r="A200" s="21"/>
      <c r="B200" s="21"/>
      <c r="C200" s="21"/>
      <c r="D200" s="22"/>
      <c r="E200" s="2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4"/>
    </row>
    <row r="201" spans="1:23" x14ac:dyDescent="0.2">
      <c r="A201" s="21"/>
      <c r="B201" s="21"/>
      <c r="C201" s="21"/>
      <c r="D201" s="22"/>
      <c r="E201" s="2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4"/>
    </row>
    <row r="202" spans="1:23" x14ac:dyDescent="0.2">
      <c r="A202" s="21"/>
      <c r="B202" s="21"/>
      <c r="C202" s="21"/>
      <c r="D202" s="22"/>
      <c r="E202" s="2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4"/>
    </row>
    <row r="203" spans="1:23" x14ac:dyDescent="0.2">
      <c r="A203" s="21"/>
      <c r="B203" s="21"/>
      <c r="C203" s="21"/>
      <c r="D203" s="22"/>
      <c r="E203" s="2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4"/>
    </row>
    <row r="204" spans="1:23" x14ac:dyDescent="0.2">
      <c r="A204" s="21"/>
      <c r="B204" s="21"/>
      <c r="C204" s="21"/>
      <c r="D204" s="22"/>
      <c r="E204" s="2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4"/>
    </row>
    <row r="205" spans="1:23" x14ac:dyDescent="0.2">
      <c r="A205" s="21"/>
      <c r="B205" s="21"/>
      <c r="C205" s="21"/>
      <c r="D205" s="22"/>
      <c r="E205" s="2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4"/>
    </row>
    <row r="206" spans="1:23" x14ac:dyDescent="0.2">
      <c r="A206" s="21"/>
      <c r="B206" s="21"/>
      <c r="C206" s="21"/>
      <c r="D206" s="22"/>
      <c r="E206" s="2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4"/>
    </row>
    <row r="207" spans="1:23" x14ac:dyDescent="0.2">
      <c r="A207" s="21"/>
      <c r="B207" s="21"/>
      <c r="C207" s="21"/>
      <c r="D207" s="22"/>
      <c r="E207" s="2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4"/>
    </row>
    <row r="208" spans="1:23" x14ac:dyDescent="0.2">
      <c r="A208" s="21"/>
      <c r="B208" s="21"/>
      <c r="C208" s="21"/>
      <c r="D208" s="22"/>
      <c r="E208" s="2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4"/>
    </row>
    <row r="209" spans="1:23" x14ac:dyDescent="0.2">
      <c r="A209" s="21"/>
      <c r="B209" s="21"/>
      <c r="C209" s="21"/>
      <c r="D209" s="22"/>
      <c r="E209" s="2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4"/>
    </row>
    <row r="210" spans="1:23" x14ac:dyDescent="0.2">
      <c r="A210" s="21"/>
      <c r="B210" s="21"/>
      <c r="C210" s="21"/>
      <c r="D210" s="22"/>
      <c r="E210" s="2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4"/>
    </row>
    <row r="211" spans="1:23" x14ac:dyDescent="0.2">
      <c r="A211" s="21"/>
      <c r="B211" s="21"/>
      <c r="C211" s="21"/>
      <c r="D211" s="22"/>
      <c r="E211" s="2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4"/>
    </row>
    <row r="212" spans="1:23" x14ac:dyDescent="0.2">
      <c r="A212" s="21"/>
      <c r="B212" s="21"/>
      <c r="C212" s="21"/>
      <c r="D212" s="22"/>
      <c r="E212" s="2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4"/>
    </row>
    <row r="213" spans="1:23" x14ac:dyDescent="0.2">
      <c r="A213" s="21"/>
      <c r="B213" s="21"/>
      <c r="C213" s="21"/>
      <c r="D213" s="22"/>
      <c r="E213" s="2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4"/>
    </row>
    <row r="214" spans="1:23" x14ac:dyDescent="0.2">
      <c r="A214" s="21"/>
      <c r="B214" s="21"/>
      <c r="C214" s="21"/>
      <c r="D214" s="22"/>
      <c r="E214" s="2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4"/>
    </row>
    <row r="215" spans="1:23" x14ac:dyDescent="0.2">
      <c r="A215" s="21"/>
      <c r="B215" s="21"/>
      <c r="C215" s="21"/>
      <c r="D215" s="22"/>
      <c r="E215" s="2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4"/>
    </row>
    <row r="216" spans="1:23" x14ac:dyDescent="0.2">
      <c r="A216" s="21"/>
      <c r="B216" s="21"/>
      <c r="C216" s="21"/>
      <c r="D216" s="22"/>
      <c r="E216" s="2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4"/>
    </row>
    <row r="217" spans="1:23" x14ac:dyDescent="0.2">
      <c r="A217" s="21"/>
      <c r="B217" s="21"/>
      <c r="C217" s="21"/>
      <c r="D217" s="22"/>
      <c r="E217" s="2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4"/>
    </row>
    <row r="218" spans="1:23" x14ac:dyDescent="0.2">
      <c r="A218" s="21"/>
      <c r="B218" s="21"/>
      <c r="C218" s="21"/>
      <c r="D218" s="22"/>
      <c r="E218" s="2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4"/>
    </row>
    <row r="219" spans="1:23" x14ac:dyDescent="0.2">
      <c r="A219" s="21"/>
      <c r="B219" s="21"/>
      <c r="C219" s="21"/>
      <c r="D219" s="22"/>
      <c r="E219" s="2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4"/>
    </row>
    <row r="220" spans="1:23" x14ac:dyDescent="0.2">
      <c r="A220" s="21"/>
      <c r="B220" s="21"/>
      <c r="C220" s="21"/>
      <c r="D220" s="22"/>
      <c r="E220" s="2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4"/>
    </row>
    <row r="221" spans="1:23" x14ac:dyDescent="0.2">
      <c r="A221" s="21"/>
      <c r="B221" s="21"/>
      <c r="C221" s="21"/>
      <c r="D221" s="22"/>
      <c r="E221" s="2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4"/>
    </row>
    <row r="222" spans="1:23" x14ac:dyDescent="0.2">
      <c r="A222" s="21"/>
      <c r="B222" s="21"/>
      <c r="C222" s="21"/>
      <c r="D222" s="22"/>
      <c r="E222" s="2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4"/>
    </row>
    <row r="223" spans="1:23" x14ac:dyDescent="0.2">
      <c r="A223" s="21"/>
      <c r="B223" s="21"/>
      <c r="C223" s="21"/>
      <c r="D223" s="22"/>
      <c r="E223" s="23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4"/>
    </row>
    <row r="224" spans="1:23" x14ac:dyDescent="0.2">
      <c r="A224" s="21"/>
      <c r="B224" s="21"/>
      <c r="C224" s="21"/>
      <c r="D224" s="22"/>
      <c r="E224" s="23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4"/>
    </row>
    <row r="225" spans="1:23" x14ac:dyDescent="0.2">
      <c r="A225" s="21"/>
      <c r="B225" s="21"/>
      <c r="C225" s="21"/>
      <c r="D225" s="22"/>
      <c r="E225" s="23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4"/>
    </row>
    <row r="226" spans="1:23" x14ac:dyDescent="0.2">
      <c r="A226" s="21"/>
      <c r="B226" s="21"/>
      <c r="C226" s="21"/>
      <c r="D226" s="22"/>
      <c r="E226" s="23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4"/>
    </row>
    <row r="227" spans="1:23" x14ac:dyDescent="0.2">
      <c r="A227" s="21"/>
      <c r="B227" s="21"/>
      <c r="C227" s="21"/>
      <c r="D227" s="22"/>
      <c r="E227" s="2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4"/>
    </row>
    <row r="228" spans="1:23" x14ac:dyDescent="0.2">
      <c r="A228" s="21"/>
      <c r="B228" s="21"/>
      <c r="C228" s="21"/>
      <c r="D228" s="22"/>
      <c r="E228" s="2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4"/>
    </row>
    <row r="229" spans="1:23" x14ac:dyDescent="0.2">
      <c r="A229" s="21"/>
      <c r="B229" s="21"/>
      <c r="C229" s="21"/>
      <c r="D229" s="22"/>
      <c r="E229" s="2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4"/>
    </row>
    <row r="230" spans="1:23" x14ac:dyDescent="0.2">
      <c r="A230" s="21"/>
      <c r="B230" s="21"/>
      <c r="C230" s="21"/>
      <c r="D230" s="22"/>
      <c r="E230" s="2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4"/>
    </row>
    <row r="231" spans="1:23" x14ac:dyDescent="0.2">
      <c r="A231" s="21"/>
      <c r="B231" s="21"/>
      <c r="C231" s="21"/>
      <c r="D231" s="22"/>
      <c r="E231" s="2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4"/>
    </row>
    <row r="232" spans="1:23" x14ac:dyDescent="0.2">
      <c r="A232" s="21"/>
      <c r="B232" s="21"/>
      <c r="C232" s="21"/>
      <c r="D232" s="22"/>
      <c r="E232" s="2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4"/>
    </row>
    <row r="233" spans="1:23" x14ac:dyDescent="0.2">
      <c r="A233" s="21"/>
      <c r="B233" s="21"/>
      <c r="C233" s="21"/>
      <c r="D233" s="22"/>
      <c r="E233" s="2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4"/>
    </row>
    <row r="234" spans="1:23" x14ac:dyDescent="0.2">
      <c r="A234" s="21"/>
      <c r="B234" s="21"/>
      <c r="C234" s="21"/>
      <c r="D234" s="22"/>
      <c r="E234" s="2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4"/>
    </row>
    <row r="235" spans="1:23" x14ac:dyDescent="0.2">
      <c r="A235" s="21"/>
      <c r="B235" s="21"/>
      <c r="C235" s="21"/>
      <c r="D235" s="22"/>
      <c r="E235" s="2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4"/>
    </row>
    <row r="236" spans="1:23" x14ac:dyDescent="0.2">
      <c r="A236" s="21"/>
      <c r="B236" s="21"/>
      <c r="C236" s="21"/>
      <c r="D236" s="22"/>
      <c r="E236" s="2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4"/>
    </row>
    <row r="237" spans="1:23" x14ac:dyDescent="0.2">
      <c r="A237" s="21"/>
      <c r="B237" s="21"/>
      <c r="C237" s="21"/>
      <c r="D237" s="22"/>
      <c r="E237" s="2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4"/>
    </row>
    <row r="238" spans="1:23" x14ac:dyDescent="0.2">
      <c r="A238" s="21"/>
      <c r="B238" s="21"/>
      <c r="C238" s="21"/>
      <c r="D238" s="22"/>
      <c r="E238" s="2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4"/>
    </row>
    <row r="239" spans="1:23" x14ac:dyDescent="0.2">
      <c r="A239" s="21"/>
      <c r="B239" s="21"/>
      <c r="C239" s="21"/>
      <c r="D239" s="22"/>
      <c r="E239" s="2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4"/>
    </row>
    <row r="240" spans="1:23" x14ac:dyDescent="0.2">
      <c r="A240" s="21"/>
      <c r="B240" s="21"/>
      <c r="C240" s="21"/>
      <c r="D240" s="22"/>
      <c r="E240" s="2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4"/>
    </row>
    <row r="241" spans="1:23" x14ac:dyDescent="0.2">
      <c r="A241" s="21"/>
      <c r="B241" s="21"/>
      <c r="C241" s="21"/>
      <c r="D241" s="22"/>
      <c r="E241" s="2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4"/>
    </row>
    <row r="242" spans="1:23" x14ac:dyDescent="0.2">
      <c r="A242" s="21"/>
      <c r="B242" s="21"/>
      <c r="C242" s="21"/>
      <c r="D242" s="22"/>
      <c r="E242" s="2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4"/>
    </row>
    <row r="243" spans="1:23" x14ac:dyDescent="0.2">
      <c r="A243" s="21"/>
      <c r="B243" s="21"/>
      <c r="C243" s="21"/>
      <c r="D243" s="22"/>
      <c r="E243" s="2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4"/>
    </row>
    <row r="244" spans="1:23" x14ac:dyDescent="0.2">
      <c r="A244" s="21"/>
      <c r="B244" s="21"/>
      <c r="C244" s="21"/>
      <c r="D244" s="22"/>
      <c r="E244" s="2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4"/>
    </row>
    <row r="245" spans="1:23" x14ac:dyDescent="0.2">
      <c r="A245" s="21"/>
      <c r="B245" s="21"/>
      <c r="C245" s="21"/>
      <c r="D245" s="22"/>
      <c r="E245" s="2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4"/>
    </row>
    <row r="246" spans="1:23" x14ac:dyDescent="0.2">
      <c r="A246" s="21"/>
      <c r="B246" s="21"/>
      <c r="C246" s="21"/>
      <c r="D246" s="22"/>
      <c r="E246" s="2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4"/>
    </row>
    <row r="247" spans="1:23" x14ac:dyDescent="0.2">
      <c r="A247" s="21"/>
      <c r="B247" s="21"/>
      <c r="C247" s="21"/>
      <c r="D247" s="22"/>
      <c r="E247" s="2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4"/>
    </row>
    <row r="248" spans="1:23" x14ac:dyDescent="0.2">
      <c r="A248" s="21"/>
      <c r="B248" s="21"/>
      <c r="C248" s="21"/>
      <c r="D248" s="22"/>
      <c r="E248" s="2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4"/>
    </row>
    <row r="249" spans="1:23" x14ac:dyDescent="0.2">
      <c r="A249" s="21"/>
      <c r="B249" s="21"/>
      <c r="C249" s="21"/>
      <c r="D249" s="22"/>
      <c r="E249" s="23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4"/>
    </row>
    <row r="250" spans="1:23" x14ac:dyDescent="0.2">
      <c r="A250" s="21"/>
      <c r="B250" s="21"/>
      <c r="C250" s="21"/>
      <c r="D250" s="22"/>
      <c r="E250" s="2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4"/>
    </row>
    <row r="251" spans="1:23" x14ac:dyDescent="0.2">
      <c r="A251" s="21"/>
      <c r="B251" s="21"/>
      <c r="C251" s="21"/>
      <c r="D251" s="22"/>
      <c r="E251" s="23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4"/>
    </row>
    <row r="252" spans="1:23" x14ac:dyDescent="0.2">
      <c r="A252" s="21"/>
      <c r="B252" s="21"/>
      <c r="C252" s="21"/>
      <c r="D252" s="22"/>
      <c r="E252" s="2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4"/>
    </row>
    <row r="253" spans="1:23" x14ac:dyDescent="0.2">
      <c r="A253" s="21"/>
      <c r="B253" s="21"/>
      <c r="C253" s="21"/>
      <c r="D253" s="22"/>
      <c r="E253" s="2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4"/>
    </row>
    <row r="254" spans="1:23" x14ac:dyDescent="0.2">
      <c r="A254" s="21"/>
      <c r="B254" s="21"/>
      <c r="C254" s="21"/>
      <c r="D254" s="22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4"/>
    </row>
    <row r="255" spans="1:23" x14ac:dyDescent="0.2">
      <c r="A255" s="21"/>
      <c r="B255" s="21"/>
      <c r="C255" s="21"/>
      <c r="D255" s="22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4"/>
    </row>
    <row r="256" spans="1:23" x14ac:dyDescent="0.2">
      <c r="A256" s="21"/>
      <c r="B256" s="21"/>
      <c r="C256" s="21"/>
      <c r="D256" s="22"/>
      <c r="E256" s="2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4"/>
    </row>
    <row r="257" spans="1:23" x14ac:dyDescent="0.2">
      <c r="A257" s="21"/>
      <c r="B257" s="21"/>
      <c r="C257" s="21"/>
      <c r="D257" s="22"/>
      <c r="E257" s="2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4"/>
    </row>
    <row r="258" spans="1:23" x14ac:dyDescent="0.2">
      <c r="A258" s="21"/>
      <c r="B258" s="21"/>
      <c r="C258" s="21"/>
      <c r="D258" s="22"/>
      <c r="E258" s="2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4"/>
    </row>
    <row r="259" spans="1:23" x14ac:dyDescent="0.2">
      <c r="A259" s="21"/>
      <c r="B259" s="21"/>
      <c r="C259" s="21"/>
      <c r="D259" s="22"/>
      <c r="E259" s="2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4"/>
    </row>
    <row r="260" spans="1:23" x14ac:dyDescent="0.2">
      <c r="A260" s="21"/>
      <c r="B260" s="21"/>
      <c r="C260" s="21"/>
      <c r="D260" s="22"/>
      <c r="E260" s="2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4"/>
    </row>
    <row r="261" spans="1:23" x14ac:dyDescent="0.2">
      <c r="A261" s="21"/>
      <c r="B261" s="21"/>
      <c r="C261" s="21"/>
      <c r="D261" s="22"/>
      <c r="E261" s="2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4"/>
    </row>
    <row r="262" spans="1:23" x14ac:dyDescent="0.2">
      <c r="A262" s="21"/>
      <c r="B262" s="21"/>
      <c r="C262" s="21"/>
      <c r="D262" s="22"/>
      <c r="E262" s="2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4"/>
    </row>
    <row r="263" spans="1:23" x14ac:dyDescent="0.2">
      <c r="A263" s="21"/>
      <c r="B263" s="21"/>
      <c r="C263" s="21"/>
      <c r="D263" s="22"/>
      <c r="E263" s="2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4"/>
    </row>
    <row r="264" spans="1:23" x14ac:dyDescent="0.2">
      <c r="A264" s="21"/>
      <c r="B264" s="21"/>
      <c r="C264" s="21"/>
      <c r="D264" s="22"/>
      <c r="E264" s="2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4"/>
    </row>
    <row r="265" spans="1:23" x14ac:dyDescent="0.2">
      <c r="A265" s="21"/>
      <c r="B265" s="21"/>
      <c r="C265" s="21"/>
      <c r="D265" s="22"/>
      <c r="E265" s="2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4"/>
    </row>
    <row r="266" spans="1:23" x14ac:dyDescent="0.2">
      <c r="A266" s="21"/>
      <c r="B266" s="21"/>
      <c r="C266" s="21"/>
      <c r="D266" s="22"/>
      <c r="E266" s="23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4"/>
    </row>
    <row r="267" spans="1:23" x14ac:dyDescent="0.2">
      <c r="A267" s="21"/>
      <c r="B267" s="21"/>
      <c r="C267" s="21"/>
      <c r="D267" s="22"/>
      <c r="E267" s="23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4"/>
    </row>
    <row r="268" spans="1:23" x14ac:dyDescent="0.2">
      <c r="A268" s="21"/>
      <c r="B268" s="21"/>
      <c r="C268" s="21"/>
      <c r="D268" s="22"/>
      <c r="E268" s="23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4"/>
    </row>
    <row r="269" spans="1:23" x14ac:dyDescent="0.2">
      <c r="A269" s="21"/>
      <c r="B269" s="21"/>
      <c r="C269" s="21"/>
      <c r="D269" s="22"/>
      <c r="E269" s="23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4"/>
    </row>
    <row r="270" spans="1:23" x14ac:dyDescent="0.2">
      <c r="A270" s="21"/>
      <c r="B270" s="21"/>
      <c r="C270" s="21"/>
      <c r="D270" s="22"/>
      <c r="E270" s="23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4"/>
    </row>
    <row r="271" spans="1:23" x14ac:dyDescent="0.2">
      <c r="A271" s="21"/>
      <c r="B271" s="21"/>
      <c r="C271" s="21"/>
      <c r="D271" s="22"/>
      <c r="E271" s="23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4"/>
    </row>
    <row r="272" spans="1:23" x14ac:dyDescent="0.2">
      <c r="A272" s="21"/>
      <c r="B272" s="21"/>
      <c r="C272" s="21"/>
      <c r="D272" s="22"/>
      <c r="E272" s="23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4"/>
    </row>
    <row r="273" spans="1:34" x14ac:dyDescent="0.2">
      <c r="A273" s="21"/>
      <c r="B273" s="21"/>
      <c r="C273" s="21"/>
      <c r="D273" s="22"/>
      <c r="E273" s="23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4"/>
    </row>
    <row r="274" spans="1:34" x14ac:dyDescent="0.2">
      <c r="A274" s="21"/>
      <c r="B274" s="21"/>
      <c r="C274" s="21"/>
      <c r="D274" s="22"/>
      <c r="E274" s="23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4"/>
    </row>
    <row r="275" spans="1:34" x14ac:dyDescent="0.2">
      <c r="A275" s="21"/>
      <c r="B275" s="21"/>
      <c r="C275" s="21"/>
      <c r="D275" s="22"/>
      <c r="E275" s="23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4"/>
    </row>
    <row r="276" spans="1:34" x14ac:dyDescent="0.2">
      <c r="A276" s="21"/>
      <c r="B276" s="21"/>
      <c r="C276" s="21"/>
      <c r="D276" s="22"/>
      <c r="E276" s="23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4"/>
    </row>
    <row r="277" spans="1:34" x14ac:dyDescent="0.2">
      <c r="A277" s="21"/>
      <c r="B277" s="21"/>
      <c r="C277" s="21"/>
      <c r="D277" s="22"/>
      <c r="E277" s="23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4"/>
    </row>
    <row r="278" spans="1:34" x14ac:dyDescent="0.2">
      <c r="A278" s="21"/>
      <c r="B278" s="21"/>
      <c r="C278" s="21"/>
      <c r="D278" s="22"/>
      <c r="E278" s="23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4"/>
    </row>
    <row r="279" spans="1:34" x14ac:dyDescent="0.2">
      <c r="A279" s="21"/>
      <c r="B279" s="21"/>
      <c r="C279" s="21"/>
      <c r="D279" s="22"/>
      <c r="E279" s="23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4"/>
    </row>
    <row r="280" spans="1:34" x14ac:dyDescent="0.2">
      <c r="A280" s="21"/>
      <c r="B280" s="21"/>
      <c r="C280" s="21"/>
      <c r="D280" s="22"/>
      <c r="E280" s="23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4"/>
    </row>
    <row r="281" spans="1:34" x14ac:dyDescent="0.2">
      <c r="A281" s="21"/>
      <c r="B281" s="21"/>
      <c r="C281" s="21"/>
      <c r="D281" s="22"/>
      <c r="E281" s="23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4"/>
    </row>
    <row r="282" spans="1:34" x14ac:dyDescent="0.2">
      <c r="A282" s="21"/>
      <c r="B282" s="21"/>
      <c r="C282" s="21"/>
      <c r="D282" s="22"/>
      <c r="E282" s="23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4"/>
    </row>
    <row r="283" spans="1:34" x14ac:dyDescent="0.2">
      <c r="A283" s="21"/>
      <c r="B283" s="21"/>
      <c r="C283" s="21"/>
      <c r="D283" s="22"/>
      <c r="E283" s="23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4"/>
    </row>
    <row r="284" spans="1:34" x14ac:dyDescent="0.2">
      <c r="A284" s="21"/>
      <c r="B284" s="21"/>
      <c r="C284" s="21"/>
      <c r="D284" s="22"/>
      <c r="E284" s="23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4"/>
    </row>
    <row r="285" spans="1:34" s="7" customFormat="1" x14ac:dyDescent="0.2">
      <c r="A285" s="21"/>
      <c r="B285" s="21"/>
      <c r="C285" s="21"/>
      <c r="D285" s="22"/>
      <c r="E285" s="23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4"/>
      <c r="Y285" s="127"/>
      <c r="Z285" s="127"/>
      <c r="AA285" s="127"/>
      <c r="AB285" s="127"/>
      <c r="AC285" s="130"/>
      <c r="AD285" s="130"/>
      <c r="AE285" s="130"/>
      <c r="AF285" s="131"/>
      <c r="AG285" s="131"/>
      <c r="AH285" s="131"/>
    </row>
    <row r="286" spans="1:34" s="7" customFormat="1" x14ac:dyDescent="0.2">
      <c r="A286" s="21"/>
      <c r="B286" s="21"/>
      <c r="C286" s="21"/>
      <c r="D286" s="22"/>
      <c r="E286" s="23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4"/>
      <c r="Y286" s="127"/>
      <c r="Z286" s="127"/>
      <c r="AA286" s="127"/>
      <c r="AB286" s="127"/>
      <c r="AC286" s="130"/>
      <c r="AD286" s="130"/>
      <c r="AE286" s="130"/>
      <c r="AF286" s="131"/>
      <c r="AG286" s="131"/>
      <c r="AH286" s="131"/>
    </row>
    <row r="287" spans="1:34" s="7" customFormat="1" x14ac:dyDescent="0.2">
      <c r="A287" s="21"/>
      <c r="B287" s="21"/>
      <c r="C287" s="21"/>
      <c r="D287" s="22"/>
      <c r="E287" s="2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4"/>
      <c r="Y287" s="127"/>
      <c r="Z287" s="127"/>
      <c r="AA287" s="127"/>
      <c r="AB287" s="127"/>
      <c r="AC287" s="130"/>
      <c r="AD287" s="130"/>
      <c r="AE287" s="130"/>
      <c r="AF287" s="131"/>
      <c r="AG287" s="131"/>
      <c r="AH287" s="131"/>
    </row>
    <row r="288" spans="1:34" s="7" customFormat="1" x14ac:dyDescent="0.2">
      <c r="A288" s="21"/>
      <c r="B288" s="21"/>
      <c r="C288" s="21"/>
      <c r="D288" s="22"/>
      <c r="E288" s="23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4"/>
      <c r="Y288" s="127"/>
      <c r="Z288" s="127"/>
      <c r="AA288" s="127"/>
      <c r="AB288" s="127"/>
      <c r="AC288" s="130"/>
      <c r="AD288" s="130"/>
      <c r="AE288" s="130"/>
      <c r="AF288" s="131"/>
      <c r="AG288" s="131"/>
      <c r="AH288" s="131"/>
    </row>
    <row r="289" spans="1:34" s="7" customFormat="1" x14ac:dyDescent="0.2">
      <c r="A289" s="21"/>
      <c r="B289" s="21"/>
      <c r="C289" s="21"/>
      <c r="D289" s="22"/>
      <c r="E289" s="23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4"/>
      <c r="Y289" s="127"/>
      <c r="Z289" s="127"/>
      <c r="AA289" s="127"/>
      <c r="AB289" s="127"/>
      <c r="AC289" s="130"/>
      <c r="AD289" s="130"/>
      <c r="AE289" s="130"/>
      <c r="AF289" s="131"/>
      <c r="AG289" s="131"/>
      <c r="AH289" s="131"/>
    </row>
    <row r="290" spans="1:34" x14ac:dyDescent="0.2">
      <c r="A290" s="21"/>
      <c r="B290" s="21"/>
      <c r="C290" s="21"/>
      <c r="D290" s="22"/>
      <c r="E290" s="23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4"/>
    </row>
    <row r="291" spans="1:34" x14ac:dyDescent="0.2">
      <c r="A291" s="21"/>
      <c r="B291" s="21"/>
      <c r="C291" s="21"/>
      <c r="D291" s="22"/>
      <c r="E291" s="2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4"/>
    </row>
    <row r="292" spans="1:34" s="7" customFormat="1" x14ac:dyDescent="0.2">
      <c r="A292" s="21"/>
      <c r="B292" s="21"/>
      <c r="C292" s="21"/>
      <c r="D292" s="22"/>
      <c r="E292" s="23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4"/>
      <c r="X292" s="21"/>
      <c r="Y292" s="127"/>
      <c r="Z292" s="127"/>
      <c r="AA292" s="127"/>
      <c r="AB292" s="127"/>
      <c r="AC292" s="130"/>
      <c r="AD292" s="130"/>
      <c r="AE292" s="130"/>
      <c r="AF292" s="131"/>
      <c r="AG292" s="131"/>
      <c r="AH292" s="131"/>
    </row>
    <row r="293" spans="1:34" s="21" customFormat="1" x14ac:dyDescent="0.2">
      <c r="D293" s="26"/>
      <c r="E293" s="23"/>
      <c r="P293" s="27"/>
      <c r="W293" s="24"/>
      <c r="Y293" s="132"/>
      <c r="Z293" s="132"/>
      <c r="AA293" s="132"/>
      <c r="AB293" s="132"/>
      <c r="AC293" s="132"/>
      <c r="AD293" s="132"/>
      <c r="AE293" s="132"/>
      <c r="AF293" s="133"/>
      <c r="AG293" s="133"/>
      <c r="AH293" s="133"/>
    </row>
    <row r="294" spans="1:34" s="21" customFormat="1" x14ac:dyDescent="0.2">
      <c r="D294" s="26"/>
      <c r="E294" s="23"/>
      <c r="P294" s="27"/>
      <c r="W294" s="24"/>
      <c r="Y294" s="132"/>
      <c r="Z294" s="132"/>
      <c r="AA294" s="132"/>
      <c r="AB294" s="132"/>
      <c r="AC294" s="132"/>
      <c r="AD294" s="132"/>
      <c r="AE294" s="132"/>
      <c r="AF294" s="133"/>
      <c r="AG294" s="133"/>
      <c r="AH294" s="133"/>
    </row>
    <row r="295" spans="1:34" s="21" customFormat="1" x14ac:dyDescent="0.2">
      <c r="D295" s="26"/>
      <c r="E295" s="23"/>
      <c r="P295" s="27"/>
      <c r="W295" s="24"/>
      <c r="Y295" s="132"/>
      <c r="Z295" s="132"/>
      <c r="AA295" s="132"/>
      <c r="AB295" s="132"/>
      <c r="AC295" s="132"/>
      <c r="AD295" s="132"/>
      <c r="AE295" s="132"/>
      <c r="AF295" s="133"/>
      <c r="AG295" s="133"/>
      <c r="AH295" s="133"/>
    </row>
    <row r="296" spans="1:34" s="21" customFormat="1" x14ac:dyDescent="0.2">
      <c r="D296" s="28"/>
      <c r="E296" s="23"/>
      <c r="P296" s="27"/>
      <c r="W296" s="24"/>
      <c r="Y296" s="132"/>
      <c r="Z296" s="132"/>
      <c r="AA296" s="132"/>
      <c r="AB296" s="132"/>
      <c r="AC296" s="132"/>
      <c r="AD296" s="132"/>
      <c r="AE296" s="132"/>
      <c r="AF296" s="133"/>
      <c r="AG296" s="133"/>
      <c r="AH296" s="133"/>
    </row>
    <row r="297" spans="1:34" s="21" customFormat="1" x14ac:dyDescent="0.2">
      <c r="D297" s="28"/>
      <c r="E297" s="23"/>
      <c r="P297" s="27"/>
      <c r="W297" s="24"/>
      <c r="Y297" s="132"/>
      <c r="Z297" s="132"/>
      <c r="AA297" s="132"/>
      <c r="AB297" s="132"/>
      <c r="AC297" s="132"/>
      <c r="AD297" s="132"/>
      <c r="AE297" s="132"/>
      <c r="AF297" s="133"/>
      <c r="AG297" s="133"/>
      <c r="AH297" s="133"/>
    </row>
    <row r="298" spans="1:34" s="21" customFormat="1" x14ac:dyDescent="0.2">
      <c r="D298" s="28"/>
      <c r="E298" s="23"/>
      <c r="P298" s="29"/>
      <c r="W298" s="24"/>
      <c r="Y298" s="132"/>
      <c r="Z298" s="132"/>
      <c r="AA298" s="132"/>
      <c r="AB298" s="132"/>
      <c r="AC298" s="132"/>
      <c r="AD298" s="132"/>
      <c r="AE298" s="132"/>
      <c r="AF298" s="133"/>
      <c r="AG298" s="133"/>
      <c r="AH298" s="133"/>
    </row>
    <row r="299" spans="1:34" s="21" customFormat="1" x14ac:dyDescent="0.2">
      <c r="D299" s="28"/>
      <c r="E299" s="23"/>
      <c r="P299" s="27"/>
      <c r="W299" s="24"/>
      <c r="Y299" s="132"/>
      <c r="Z299" s="132"/>
      <c r="AA299" s="132"/>
      <c r="AB299" s="132"/>
      <c r="AC299" s="132"/>
      <c r="AD299" s="132"/>
      <c r="AE299" s="132"/>
      <c r="AF299" s="133"/>
      <c r="AG299" s="133"/>
      <c r="AH299" s="133"/>
    </row>
    <row r="300" spans="1:34" s="21" customFormat="1" x14ac:dyDescent="0.2">
      <c r="D300" s="28"/>
      <c r="E300" s="23"/>
      <c r="P300" s="27"/>
      <c r="W300" s="24"/>
      <c r="Y300" s="132"/>
      <c r="Z300" s="132"/>
      <c r="AA300" s="132"/>
      <c r="AB300" s="132"/>
      <c r="AC300" s="132"/>
      <c r="AD300" s="132"/>
      <c r="AE300" s="132"/>
      <c r="AF300" s="133"/>
      <c r="AG300" s="133"/>
      <c r="AH300" s="133"/>
    </row>
    <row r="301" spans="1:34" s="21" customFormat="1" x14ac:dyDescent="0.2">
      <c r="D301" s="26"/>
      <c r="E301" s="23"/>
      <c r="P301" s="27"/>
      <c r="W301" s="24"/>
      <c r="Y301" s="132"/>
      <c r="Z301" s="132"/>
      <c r="AA301" s="132"/>
      <c r="AB301" s="132"/>
      <c r="AC301" s="132"/>
      <c r="AD301" s="132"/>
      <c r="AE301" s="132"/>
      <c r="AF301" s="133"/>
      <c r="AG301" s="133"/>
      <c r="AH301" s="133"/>
    </row>
    <row r="302" spans="1:34" s="21" customFormat="1" x14ac:dyDescent="0.2">
      <c r="D302" s="28"/>
      <c r="E302" s="23"/>
      <c r="P302" s="27"/>
      <c r="W302" s="24"/>
      <c r="Y302" s="132"/>
      <c r="Z302" s="132"/>
      <c r="AA302" s="132"/>
      <c r="AB302" s="132"/>
      <c r="AC302" s="132"/>
      <c r="AD302" s="132"/>
      <c r="AE302" s="132"/>
      <c r="AF302" s="133"/>
      <c r="AG302" s="133"/>
      <c r="AH302" s="133"/>
    </row>
    <row r="303" spans="1:34" s="21" customFormat="1" x14ac:dyDescent="0.2">
      <c r="D303" s="28"/>
      <c r="E303" s="23"/>
      <c r="P303" s="27"/>
      <c r="W303" s="24"/>
      <c r="Y303" s="132"/>
      <c r="Z303" s="132"/>
      <c r="AA303" s="132"/>
      <c r="AB303" s="132"/>
      <c r="AC303" s="132"/>
      <c r="AD303" s="132"/>
      <c r="AE303" s="132"/>
      <c r="AF303" s="133"/>
      <c r="AG303" s="133"/>
      <c r="AH303" s="133"/>
    </row>
    <row r="304" spans="1:34" s="21" customFormat="1" x14ac:dyDescent="0.2">
      <c r="D304" s="28"/>
      <c r="E304" s="23"/>
      <c r="P304" s="27"/>
      <c r="W304" s="24"/>
      <c r="Y304" s="132"/>
      <c r="Z304" s="132"/>
      <c r="AA304" s="132"/>
      <c r="AB304" s="132"/>
      <c r="AC304" s="132"/>
      <c r="AD304" s="132"/>
      <c r="AE304" s="132"/>
      <c r="AF304" s="133"/>
      <c r="AG304" s="133"/>
      <c r="AH304" s="133"/>
    </row>
    <row r="305" spans="1:34" s="21" customFormat="1" x14ac:dyDescent="0.2">
      <c r="D305" s="28"/>
      <c r="E305" s="23"/>
      <c r="P305" s="27"/>
      <c r="W305" s="24"/>
      <c r="Y305" s="132"/>
      <c r="Z305" s="132"/>
      <c r="AA305" s="132"/>
      <c r="AB305" s="132"/>
      <c r="AC305" s="132"/>
      <c r="AD305" s="132"/>
      <c r="AE305" s="132"/>
      <c r="AF305" s="133"/>
      <c r="AG305" s="133"/>
      <c r="AH305" s="133"/>
    </row>
    <row r="306" spans="1:34" s="21" customFormat="1" x14ac:dyDescent="0.2">
      <c r="D306" s="28"/>
      <c r="E306" s="23"/>
      <c r="P306" s="27"/>
      <c r="W306" s="24"/>
      <c r="Y306" s="132"/>
      <c r="Z306" s="132"/>
      <c r="AA306" s="132"/>
      <c r="AB306" s="132"/>
      <c r="AC306" s="132"/>
      <c r="AD306" s="132"/>
      <c r="AE306" s="132"/>
      <c r="AF306" s="133"/>
      <c r="AG306" s="133"/>
      <c r="AH306" s="133"/>
    </row>
    <row r="307" spans="1:34" s="10" customFormat="1" x14ac:dyDescent="0.2">
      <c r="A307" s="21"/>
      <c r="B307" s="21"/>
      <c r="C307" s="21"/>
      <c r="D307" s="28"/>
      <c r="E307" s="23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7"/>
      <c r="Q307" s="21"/>
      <c r="R307" s="21"/>
      <c r="S307" s="21"/>
      <c r="T307" s="21"/>
      <c r="U307" s="21"/>
      <c r="V307" s="21"/>
      <c r="W307" s="24"/>
      <c r="Y307" s="134"/>
      <c r="Z307" s="134"/>
      <c r="AA307" s="134"/>
      <c r="AB307" s="134"/>
      <c r="AC307" s="134"/>
      <c r="AD307" s="134"/>
      <c r="AE307" s="134"/>
      <c r="AF307" s="135"/>
      <c r="AG307" s="135"/>
      <c r="AH307" s="135"/>
    </row>
    <row r="308" spans="1:34" s="12" customFormat="1" ht="33.75" customHeight="1" x14ac:dyDescent="0.2">
      <c r="Y308" s="127"/>
      <c r="Z308" s="127"/>
      <c r="AA308" s="127"/>
      <c r="AB308" s="127"/>
      <c r="AC308" s="136"/>
      <c r="AD308" s="136"/>
      <c r="AE308" s="136"/>
      <c r="AF308" s="131"/>
      <c r="AG308" s="131"/>
      <c r="AH308" s="131"/>
    </row>
    <row r="309" spans="1:34" s="7" customFormat="1" x14ac:dyDescent="0.2">
      <c r="Y309" s="127"/>
      <c r="Z309" s="127"/>
      <c r="AA309" s="127"/>
      <c r="AB309" s="127"/>
      <c r="AC309" s="130"/>
      <c r="AD309" s="130"/>
      <c r="AE309" s="130"/>
      <c r="AF309" s="131"/>
      <c r="AG309" s="131"/>
      <c r="AH309" s="131"/>
    </row>
    <row r="310" spans="1:34" s="7" customFormat="1" x14ac:dyDescent="0.2">
      <c r="Y310" s="127"/>
      <c r="Z310" s="127"/>
      <c r="AA310" s="127"/>
      <c r="AB310" s="127"/>
      <c r="AC310" s="130"/>
      <c r="AD310" s="130"/>
      <c r="AE310" s="130"/>
      <c r="AF310" s="131"/>
      <c r="AG310" s="131"/>
      <c r="AH310" s="131"/>
    </row>
    <row r="311" spans="1:34" s="7" customFormat="1" x14ac:dyDescent="0.2">
      <c r="Y311" s="127"/>
      <c r="Z311" s="127"/>
      <c r="AA311" s="127"/>
      <c r="AB311" s="127"/>
      <c r="AC311" s="130"/>
      <c r="AD311" s="130"/>
      <c r="AE311" s="130"/>
      <c r="AF311" s="131"/>
      <c r="AG311" s="131"/>
      <c r="AH311" s="131"/>
    </row>
    <row r="312" spans="1:34" s="7" customFormat="1" x14ac:dyDescent="0.2">
      <c r="Y312" s="127"/>
      <c r="Z312" s="127"/>
      <c r="AA312" s="127"/>
      <c r="AB312" s="127"/>
      <c r="AC312" s="130"/>
      <c r="AD312" s="130"/>
      <c r="AE312" s="130"/>
      <c r="AF312" s="131"/>
      <c r="AG312" s="131"/>
      <c r="AH312" s="131"/>
    </row>
    <row r="313" spans="1:34" s="7" customFormat="1" x14ac:dyDescent="0.2">
      <c r="Y313" s="127"/>
      <c r="Z313" s="127"/>
      <c r="AA313" s="127"/>
      <c r="AB313" s="127"/>
      <c r="AC313" s="130"/>
      <c r="AD313" s="130"/>
      <c r="AE313" s="130"/>
      <c r="AF313" s="131"/>
      <c r="AG313" s="131"/>
      <c r="AH313" s="131"/>
    </row>
    <row r="314" spans="1:34" s="7" customFormat="1" x14ac:dyDescent="0.2">
      <c r="Y314" s="127"/>
      <c r="Z314" s="127"/>
      <c r="AA314" s="127"/>
      <c r="AB314" s="127"/>
      <c r="AC314" s="130"/>
      <c r="AD314" s="130"/>
      <c r="AE314" s="130"/>
      <c r="AF314" s="131"/>
      <c r="AG314" s="131"/>
      <c r="AH314" s="131"/>
    </row>
    <row r="315" spans="1:34" s="7" customFormat="1" x14ac:dyDescent="0.2">
      <c r="Y315" s="127"/>
      <c r="Z315" s="127"/>
      <c r="AA315" s="127"/>
      <c r="AB315" s="127"/>
      <c r="AC315" s="130"/>
      <c r="AD315" s="130"/>
      <c r="AE315" s="130"/>
      <c r="AF315" s="131"/>
      <c r="AG315" s="131"/>
      <c r="AH315" s="131"/>
    </row>
    <row r="316" spans="1:34" s="7" customFormat="1" x14ac:dyDescent="0.2">
      <c r="Y316" s="127"/>
      <c r="Z316" s="127"/>
      <c r="AA316" s="127"/>
      <c r="AB316" s="127"/>
      <c r="AC316" s="130"/>
      <c r="AD316" s="130"/>
      <c r="AE316" s="130"/>
      <c r="AF316" s="131"/>
      <c r="AG316" s="131"/>
      <c r="AH316" s="131"/>
    </row>
    <row r="317" spans="1:34" s="7" customFormat="1" x14ac:dyDescent="0.2">
      <c r="Y317" s="127"/>
      <c r="Z317" s="127"/>
      <c r="AA317" s="127"/>
      <c r="AB317" s="127"/>
      <c r="AC317" s="130"/>
      <c r="AD317" s="130"/>
      <c r="AE317" s="130"/>
      <c r="AF317" s="131"/>
      <c r="AG317" s="131"/>
      <c r="AH317" s="131"/>
    </row>
    <row r="318" spans="1:34" s="7" customFormat="1" x14ac:dyDescent="0.2">
      <c r="Y318" s="127"/>
      <c r="Z318" s="127"/>
      <c r="AA318" s="127"/>
      <c r="AB318" s="127"/>
      <c r="AC318" s="130"/>
      <c r="AD318" s="130"/>
      <c r="AE318" s="130"/>
      <c r="AF318" s="131"/>
      <c r="AG318" s="131"/>
      <c r="AH318" s="131"/>
    </row>
    <row r="319" spans="1:34" s="7" customFormat="1" x14ac:dyDescent="0.2">
      <c r="Y319" s="127"/>
      <c r="Z319" s="127"/>
      <c r="AA319" s="127"/>
      <c r="AB319" s="127"/>
      <c r="AC319" s="130"/>
      <c r="AD319" s="130"/>
      <c r="AE319" s="130"/>
      <c r="AF319" s="131"/>
      <c r="AG319" s="131"/>
      <c r="AH319" s="131"/>
    </row>
    <row r="320" spans="1:34" s="7" customFormat="1" x14ac:dyDescent="0.2">
      <c r="Y320" s="127"/>
      <c r="Z320" s="127"/>
      <c r="AA320" s="127"/>
      <c r="AB320" s="127"/>
      <c r="AC320" s="130"/>
      <c r="AD320" s="130"/>
      <c r="AE320" s="130"/>
      <c r="AF320" s="131"/>
      <c r="AG320" s="131"/>
      <c r="AH320" s="131"/>
    </row>
    <row r="323" spans="25:34" x14ac:dyDescent="0.2">
      <c r="AD323" s="127">
        <f>COUNTA(P2:P28)</f>
        <v>27</v>
      </c>
    </row>
    <row r="325" spans="25:34" s="7" customFormat="1" x14ac:dyDescent="0.2">
      <c r="Y325" s="127"/>
      <c r="Z325" s="127"/>
      <c r="AA325" s="127"/>
      <c r="AB325" s="127"/>
      <c r="AC325" s="130"/>
      <c r="AD325" s="130"/>
      <c r="AE325" s="130"/>
      <c r="AF325" s="131"/>
      <c r="AG325" s="131"/>
      <c r="AH325" s="131"/>
    </row>
    <row r="326" spans="25:34" s="7" customFormat="1" x14ac:dyDescent="0.2">
      <c r="Y326" s="127"/>
      <c r="Z326" s="127"/>
      <c r="AA326" s="127"/>
      <c r="AB326" s="127"/>
      <c r="AC326" s="130"/>
      <c r="AD326" s="130"/>
      <c r="AE326" s="130"/>
      <c r="AF326" s="131"/>
      <c r="AG326" s="131"/>
      <c r="AH326" s="131"/>
    </row>
    <row r="327" spans="25:34" s="7" customFormat="1" x14ac:dyDescent="0.2">
      <c r="Y327" s="127"/>
      <c r="Z327" s="127"/>
      <c r="AA327" s="127"/>
      <c r="AB327" s="127"/>
      <c r="AC327" s="130"/>
      <c r="AD327" s="130"/>
      <c r="AE327" s="130"/>
      <c r="AF327" s="131"/>
      <c r="AG327" s="131"/>
      <c r="AH327" s="131"/>
    </row>
    <row r="328" spans="25:34" s="7" customFormat="1" x14ac:dyDescent="0.2">
      <c r="Y328" s="127"/>
      <c r="Z328" s="127"/>
      <c r="AA328" s="127"/>
      <c r="AB328" s="127"/>
      <c r="AC328" s="130"/>
      <c r="AD328" s="130"/>
      <c r="AE328" s="130"/>
      <c r="AF328" s="131"/>
      <c r="AG328" s="131"/>
      <c r="AH328" s="131"/>
    </row>
    <row r="330" spans="25:34" s="7" customFormat="1" x14ac:dyDescent="0.2">
      <c r="Y330" s="127"/>
      <c r="Z330" s="127"/>
      <c r="AA330" s="127"/>
      <c r="AB330" s="127"/>
      <c r="AC330" s="130"/>
      <c r="AD330" s="130"/>
      <c r="AE330" s="130"/>
      <c r="AF330" s="131"/>
      <c r="AG330" s="131"/>
      <c r="AH330" s="131"/>
    </row>
    <row r="331" spans="25:34" s="7" customFormat="1" x14ac:dyDescent="0.2">
      <c r="Y331" s="127"/>
      <c r="Z331" s="127"/>
      <c r="AA331" s="127"/>
      <c r="AB331" s="127"/>
      <c r="AC331" s="130"/>
      <c r="AD331" s="130"/>
      <c r="AE331" s="130"/>
      <c r="AF331" s="131"/>
      <c r="AG331" s="131"/>
      <c r="AH331" s="131"/>
    </row>
    <row r="334" spans="25:34" s="74" customFormat="1" x14ac:dyDescent="0.2">
      <c r="Y334" s="137"/>
      <c r="Z334" s="137"/>
      <c r="AA334" s="137"/>
      <c r="AB334" s="137"/>
      <c r="AC334" s="137"/>
      <c r="AD334" s="137"/>
      <c r="AE334" s="137"/>
      <c r="AF334" s="138"/>
      <c r="AG334" s="138"/>
      <c r="AH334" s="138"/>
    </row>
    <row r="335" spans="25:34" ht="39" customHeight="1" x14ac:dyDescent="0.2"/>
    <row r="337" spans="30:30" x14ac:dyDescent="0.2">
      <c r="AD337" s="127">
        <f>COUNTA(P29:P40)</f>
        <v>12</v>
      </c>
    </row>
    <row r="413" spans="25:28" ht="16" thickBot="1" x14ac:dyDescent="0.25">
      <c r="Y413" s="139"/>
      <c r="Z413" s="139"/>
      <c r="AA413" s="139"/>
      <c r="AB413" s="139"/>
    </row>
  </sheetData>
  <mergeCells count="4">
    <mergeCell ref="Y1:Y2"/>
    <mergeCell ref="Z1:AB1"/>
    <mergeCell ref="AC1:AE1"/>
    <mergeCell ref="AF1:AH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196C-AF99-41F6-B6EE-91DFCD3C3A64}">
  <dimension ref="A1:CD84"/>
  <sheetViews>
    <sheetView zoomScaleNormal="100" workbookViewId="0">
      <selection activeCell="V13" sqref="V13"/>
    </sheetView>
  </sheetViews>
  <sheetFormatPr baseColWidth="10" defaultColWidth="8.83203125" defaultRowHeight="15" x14ac:dyDescent="0.2"/>
  <cols>
    <col min="1" max="1" width="8.1640625" style="76" bestFit="1" customWidth="1"/>
    <col min="2" max="2" width="6.5" style="76" bestFit="1" customWidth="1"/>
    <col min="3" max="3" width="3.5" style="76" customWidth="1"/>
    <col min="4" max="4" width="11" style="76" customWidth="1"/>
    <col min="5" max="5" width="7.83203125" style="76" bestFit="1" customWidth="1"/>
    <col min="6" max="6" width="3.6640625" style="76" customWidth="1"/>
    <col min="7" max="7" width="4.83203125" style="257" customWidth="1"/>
    <col min="8" max="8" width="3.5" style="76" customWidth="1"/>
    <col min="9" max="9" width="7.6640625" style="76" bestFit="1" customWidth="1"/>
    <col min="10" max="11" width="4.1640625" style="76" customWidth="1"/>
    <col min="12" max="12" width="8.5" style="76" bestFit="1" customWidth="1"/>
    <col min="13" max="13" width="5.5" style="76" customWidth="1"/>
    <col min="14" max="14" width="4" style="177" customWidth="1"/>
    <col min="15" max="15" width="6.33203125" style="177" customWidth="1"/>
    <col min="16" max="16" width="4" style="177" hidden="1" customWidth="1"/>
    <col min="17" max="17" width="8.33203125" style="177" customWidth="1"/>
    <col min="18" max="18" width="11.6640625" style="177" customWidth="1"/>
    <col min="19" max="19" width="7.33203125" style="177" customWidth="1"/>
    <col min="20" max="20" width="2.5" style="177" hidden="1" customWidth="1"/>
    <col min="21" max="21" width="8.1640625" style="177" hidden="1" customWidth="1"/>
    <col min="22" max="22" width="7" style="177" customWidth="1"/>
    <col min="23" max="23" width="5" style="177" bestFit="1" customWidth="1"/>
    <col min="24" max="25" width="8.83203125" style="177"/>
    <col min="26" max="26" width="3.6640625" style="177" hidden="1" customWidth="1"/>
    <col min="27" max="27" width="7.83203125" style="177" hidden="1" customWidth="1"/>
    <col min="28" max="28" width="7.1640625" style="177" hidden="1" customWidth="1"/>
    <col min="29" max="29" width="5.5" style="177" hidden="1" customWidth="1"/>
    <col min="30" max="30" width="3.1640625" style="177" customWidth="1"/>
    <col min="31" max="31" width="20.6640625" style="177" bestFit="1" customWidth="1"/>
    <col min="32" max="34" width="13.83203125" style="177" customWidth="1"/>
    <col min="35" max="35" width="4.1640625" style="95" customWidth="1"/>
    <col min="36" max="36" width="3.5" style="95" customWidth="1"/>
    <col min="37" max="37" width="7.5" style="146" customWidth="1"/>
    <col min="38" max="38" width="4.1640625" style="146" hidden="1" customWidth="1"/>
    <col min="39" max="39" width="4.33203125" style="146" customWidth="1"/>
    <col min="40" max="41" width="10" style="146" customWidth="1"/>
    <col min="42" max="42" width="3.5" style="146" hidden="1" customWidth="1"/>
    <col min="43" max="43" width="8.1640625" style="146" hidden="1" customWidth="1"/>
    <col min="44" max="44" width="6.5" style="146" bestFit="1" customWidth="1"/>
    <col min="45" max="45" width="5" style="146" bestFit="1" customWidth="1"/>
    <col min="46" max="46" width="10.1640625" style="146" customWidth="1"/>
    <col min="47" max="47" width="6.83203125" style="146" customWidth="1"/>
    <col min="48" max="48" width="2" style="146" customWidth="1"/>
    <col min="49" max="49" width="2.83203125" style="146" customWidth="1"/>
    <col min="50" max="50" width="3.1640625" style="146" customWidth="1"/>
    <col min="51" max="51" width="7.5" style="146" customWidth="1"/>
    <col min="52" max="52" width="3.6640625" style="146" customWidth="1"/>
    <col min="53" max="53" width="6.5" style="177" customWidth="1"/>
    <col min="54" max="54" width="5.1640625" style="177" hidden="1" customWidth="1"/>
    <col min="55" max="55" width="5" style="177" customWidth="1"/>
    <col min="56" max="56" width="11.1640625" style="177" customWidth="1"/>
    <col min="57" max="57" width="6.83203125" style="177" customWidth="1"/>
    <col min="58" max="59" width="2.5" style="177" hidden="1" customWidth="1"/>
    <col min="60" max="60" width="6.5" style="177" bestFit="1" customWidth="1"/>
    <col min="61" max="61" width="2.83203125" style="177" hidden="1" customWidth="1"/>
    <col min="62" max="63" width="7.83203125" style="177" customWidth="1"/>
    <col min="64" max="64" width="2.5" style="177" hidden="1" customWidth="1"/>
    <col min="65" max="65" width="3.1640625" style="177" hidden="1" customWidth="1"/>
    <col min="66" max="66" width="2.83203125" style="177" hidden="1" customWidth="1"/>
    <col min="67" max="67" width="5.83203125" style="177" customWidth="1"/>
    <col min="68" max="68" width="4" style="177" customWidth="1"/>
    <col min="69" max="69" width="8" style="177" customWidth="1"/>
    <col min="70" max="70" width="4.6640625" style="177" hidden="1" customWidth="1"/>
    <col min="71" max="71" width="4" style="177" customWidth="1"/>
    <col min="72" max="72" width="11.6640625" style="177" customWidth="1"/>
    <col min="73" max="73" width="7" style="177" customWidth="1"/>
    <col min="74" max="75" width="2.83203125" style="177" hidden="1" customWidth="1"/>
    <col min="76" max="76" width="7" style="177" customWidth="1"/>
    <col min="77" max="77" width="2.83203125" style="177" hidden="1" customWidth="1"/>
    <col min="78" max="79" width="8.83203125" style="177"/>
    <col min="80" max="81" width="4.33203125" style="177" hidden="1" customWidth="1"/>
    <col min="82" max="82" width="7.1640625" style="177" hidden="1" customWidth="1"/>
    <col min="83" max="83" width="5.6640625" style="177" bestFit="1" customWidth="1"/>
    <col min="84" max="84" width="8.83203125" style="177"/>
    <col min="85" max="85" width="11.83203125" style="177" customWidth="1"/>
    <col min="86" max="16384" width="8.83203125" style="177"/>
  </cols>
  <sheetData>
    <row r="1" spans="1:13" x14ac:dyDescent="0.2">
      <c r="A1" s="161"/>
      <c r="B1" s="161"/>
      <c r="C1" s="161"/>
    </row>
    <row r="2" spans="1:13" x14ac:dyDescent="0.2">
      <c r="A2" s="256" t="s">
        <v>303</v>
      </c>
      <c r="B2" s="161"/>
      <c r="C2" s="161"/>
    </row>
    <row r="3" spans="1:13" x14ac:dyDescent="0.2">
      <c r="A3" s="78" t="s">
        <v>21</v>
      </c>
      <c r="B3" s="78">
        <v>1674</v>
      </c>
      <c r="C3" s="78">
        <v>2</v>
      </c>
      <c r="D3" s="79">
        <v>31834</v>
      </c>
      <c r="E3" s="78"/>
      <c r="F3" s="78"/>
      <c r="G3" s="258">
        <v>8</v>
      </c>
      <c r="H3" s="78" t="s">
        <v>32</v>
      </c>
      <c r="I3" s="78">
        <v>0.01</v>
      </c>
      <c r="J3" s="78">
        <v>1</v>
      </c>
      <c r="K3" s="78" t="s">
        <v>232</v>
      </c>
      <c r="L3" s="78">
        <v>1</v>
      </c>
      <c r="M3" s="78" t="s">
        <v>233</v>
      </c>
    </row>
    <row r="4" spans="1:13" x14ac:dyDescent="0.2">
      <c r="A4" s="78" t="s">
        <v>21</v>
      </c>
      <c r="B4" s="78">
        <v>1674</v>
      </c>
      <c r="C4" s="78">
        <v>2</v>
      </c>
      <c r="D4" s="79">
        <v>31906</v>
      </c>
      <c r="E4" s="78"/>
      <c r="F4" s="78"/>
      <c r="G4" s="258">
        <v>10</v>
      </c>
      <c r="H4" s="78" t="s">
        <v>32</v>
      </c>
      <c r="I4" s="78">
        <v>1.7000000000000001E-2</v>
      </c>
      <c r="J4" s="78">
        <v>1</v>
      </c>
      <c r="K4" s="78" t="s">
        <v>232</v>
      </c>
      <c r="L4" s="78">
        <v>1</v>
      </c>
      <c r="M4" s="78" t="s">
        <v>233</v>
      </c>
    </row>
    <row r="5" spans="1:13" x14ac:dyDescent="0.2">
      <c r="A5" s="78" t="s">
        <v>21</v>
      </c>
      <c r="B5" s="78">
        <v>1674</v>
      </c>
      <c r="C5" s="78">
        <v>2</v>
      </c>
      <c r="D5" s="79">
        <v>31834</v>
      </c>
      <c r="E5" s="78"/>
      <c r="F5" s="78"/>
      <c r="G5" s="258">
        <v>1</v>
      </c>
      <c r="H5" s="78" t="s">
        <v>211</v>
      </c>
      <c r="I5" s="78">
        <v>0.01</v>
      </c>
      <c r="J5" s="78">
        <v>1</v>
      </c>
      <c r="K5" s="78" t="s">
        <v>232</v>
      </c>
      <c r="L5" s="78">
        <v>5</v>
      </c>
      <c r="M5" s="78" t="s">
        <v>235</v>
      </c>
    </row>
    <row r="6" spans="1:13" x14ac:dyDescent="0.2">
      <c r="A6" s="78" t="s">
        <v>21</v>
      </c>
      <c r="B6" s="78">
        <v>1674</v>
      </c>
      <c r="C6" s="78">
        <v>2</v>
      </c>
      <c r="D6" s="79">
        <v>31834</v>
      </c>
      <c r="E6" s="78"/>
      <c r="F6" s="78"/>
      <c r="G6" s="258">
        <v>2</v>
      </c>
      <c r="H6" s="78" t="s">
        <v>211</v>
      </c>
      <c r="I6" s="78">
        <v>8.0000000000000002E-3</v>
      </c>
      <c r="J6" s="78">
        <v>1</v>
      </c>
      <c r="K6" s="78" t="s">
        <v>232</v>
      </c>
      <c r="L6" s="78">
        <v>5</v>
      </c>
      <c r="M6" s="78" t="s">
        <v>235</v>
      </c>
    </row>
    <row r="7" spans="1:13" x14ac:dyDescent="0.2">
      <c r="A7" s="76" t="s">
        <v>21</v>
      </c>
      <c r="B7" s="76">
        <v>1674</v>
      </c>
      <c r="C7" s="76">
        <v>2</v>
      </c>
      <c r="D7" s="77">
        <v>31834</v>
      </c>
      <c r="G7" s="257">
        <v>4</v>
      </c>
      <c r="H7" s="76" t="s">
        <v>211</v>
      </c>
      <c r="I7" s="76">
        <v>7.0000000000000001E-3</v>
      </c>
      <c r="J7" s="76">
        <v>1</v>
      </c>
      <c r="K7" s="76" t="s">
        <v>232</v>
      </c>
      <c r="L7" s="76">
        <v>5</v>
      </c>
      <c r="M7" s="76" t="s">
        <v>235</v>
      </c>
    </row>
    <row r="8" spans="1:13" x14ac:dyDescent="0.2">
      <c r="A8" s="76" t="s">
        <v>21</v>
      </c>
      <c r="B8" s="76">
        <v>1674</v>
      </c>
      <c r="C8" s="76">
        <v>2</v>
      </c>
      <c r="D8" s="77">
        <v>31834</v>
      </c>
      <c r="G8" s="257">
        <v>6</v>
      </c>
      <c r="H8" s="76" t="s">
        <v>211</v>
      </c>
      <c r="I8" s="76">
        <v>8.0000000000000002E-3</v>
      </c>
      <c r="J8" s="76">
        <v>1</v>
      </c>
      <c r="K8" s="76" t="s">
        <v>232</v>
      </c>
      <c r="L8" s="76">
        <v>5</v>
      </c>
      <c r="M8" s="76" t="s">
        <v>235</v>
      </c>
    </row>
    <row r="9" spans="1:13" x14ac:dyDescent="0.2">
      <c r="A9" s="76" t="s">
        <v>21</v>
      </c>
      <c r="B9" s="76">
        <v>1674</v>
      </c>
      <c r="C9" s="76">
        <v>2</v>
      </c>
      <c r="D9" s="77">
        <v>31834</v>
      </c>
      <c r="G9" s="257">
        <v>8</v>
      </c>
      <c r="H9" s="76" t="s">
        <v>211</v>
      </c>
      <c r="I9" s="76">
        <v>8.0000000000000002E-3</v>
      </c>
      <c r="J9" s="76">
        <v>1</v>
      </c>
      <c r="K9" s="76" t="s">
        <v>232</v>
      </c>
      <c r="L9" s="76">
        <v>5</v>
      </c>
      <c r="M9" s="76" t="s">
        <v>235</v>
      </c>
    </row>
    <row r="10" spans="1:13" x14ac:dyDescent="0.2">
      <c r="A10" s="76" t="s">
        <v>21</v>
      </c>
      <c r="B10" s="76">
        <v>1674</v>
      </c>
      <c r="C10" s="76">
        <v>2</v>
      </c>
      <c r="D10" s="77">
        <v>31906</v>
      </c>
      <c r="G10" s="257">
        <v>0</v>
      </c>
      <c r="H10" s="76" t="s">
        <v>211</v>
      </c>
      <c r="I10" s="76">
        <v>1.6E-2</v>
      </c>
      <c r="J10" s="76">
        <v>1</v>
      </c>
      <c r="K10" s="76" t="s">
        <v>232</v>
      </c>
      <c r="L10" s="76">
        <v>6</v>
      </c>
      <c r="M10" s="76" t="s">
        <v>235</v>
      </c>
    </row>
    <row r="11" spans="1:13" x14ac:dyDescent="0.2">
      <c r="A11" s="76" t="s">
        <v>21</v>
      </c>
      <c r="B11" s="76">
        <v>1674</v>
      </c>
      <c r="C11" s="76">
        <v>2</v>
      </c>
      <c r="D11" s="77">
        <v>31906</v>
      </c>
      <c r="G11" s="257">
        <v>2</v>
      </c>
      <c r="H11" s="76" t="s">
        <v>211</v>
      </c>
      <c r="I11" s="76">
        <v>1.7000000000000001E-2</v>
      </c>
      <c r="J11" s="76">
        <v>1</v>
      </c>
      <c r="K11" s="76" t="s">
        <v>232</v>
      </c>
      <c r="L11" s="76">
        <v>6</v>
      </c>
      <c r="M11" s="76" t="s">
        <v>235</v>
      </c>
    </row>
    <row r="12" spans="1:13" x14ac:dyDescent="0.2">
      <c r="A12" s="76" t="s">
        <v>21</v>
      </c>
      <c r="B12" s="76">
        <v>1674</v>
      </c>
      <c r="C12" s="76">
        <v>2</v>
      </c>
      <c r="D12" s="77">
        <v>31906</v>
      </c>
      <c r="G12" s="257">
        <v>4</v>
      </c>
      <c r="H12" s="76" t="s">
        <v>211</v>
      </c>
      <c r="I12" s="76">
        <v>1.6E-2</v>
      </c>
      <c r="J12" s="76">
        <v>1</v>
      </c>
      <c r="K12" s="76" t="s">
        <v>232</v>
      </c>
      <c r="L12" s="76">
        <v>6</v>
      </c>
      <c r="M12" s="76" t="s">
        <v>235</v>
      </c>
    </row>
    <row r="13" spans="1:13" x14ac:dyDescent="0.2">
      <c r="A13" s="76" t="s">
        <v>21</v>
      </c>
      <c r="B13" s="76">
        <v>1674</v>
      </c>
      <c r="C13" s="76">
        <v>2</v>
      </c>
      <c r="D13" s="77">
        <v>31906</v>
      </c>
      <c r="G13" s="257">
        <v>6</v>
      </c>
      <c r="H13" s="76" t="s">
        <v>211</v>
      </c>
      <c r="I13" s="76">
        <v>1.4E-2</v>
      </c>
      <c r="J13" s="76">
        <v>1</v>
      </c>
      <c r="K13" s="76" t="s">
        <v>232</v>
      </c>
      <c r="L13" s="76">
        <v>6</v>
      </c>
      <c r="M13" s="76" t="s">
        <v>235</v>
      </c>
    </row>
    <row r="14" spans="1:13" x14ac:dyDescent="0.2">
      <c r="A14" s="76" t="s">
        <v>21</v>
      </c>
      <c r="B14" s="76">
        <v>1674</v>
      </c>
      <c r="C14" s="76">
        <v>2</v>
      </c>
      <c r="D14" s="77">
        <v>31906</v>
      </c>
      <c r="G14" s="257">
        <v>8</v>
      </c>
      <c r="H14" s="76" t="s">
        <v>211</v>
      </c>
      <c r="I14" s="76">
        <v>1.7000000000000001E-2</v>
      </c>
      <c r="J14" s="76">
        <v>1</v>
      </c>
      <c r="K14" s="76" t="s">
        <v>232</v>
      </c>
      <c r="L14" s="76">
        <v>6</v>
      </c>
      <c r="M14" s="76" t="s">
        <v>235</v>
      </c>
    </row>
    <row r="15" spans="1:13" x14ac:dyDescent="0.2">
      <c r="A15" s="76" t="s">
        <v>21</v>
      </c>
      <c r="B15" s="76">
        <v>1674</v>
      </c>
      <c r="C15" s="76">
        <v>2</v>
      </c>
      <c r="D15" s="77">
        <v>31906</v>
      </c>
      <c r="G15" s="257">
        <v>10</v>
      </c>
      <c r="H15" s="76" t="s">
        <v>211</v>
      </c>
      <c r="I15" s="76">
        <v>1.4999999999999999E-2</v>
      </c>
      <c r="J15" s="76">
        <v>1</v>
      </c>
      <c r="K15" s="76" t="s">
        <v>232</v>
      </c>
      <c r="L15" s="76">
        <v>6</v>
      </c>
      <c r="M15" s="76" t="s">
        <v>235</v>
      </c>
    </row>
    <row r="16" spans="1:13" x14ac:dyDescent="0.2">
      <c r="A16" s="76" t="s">
        <v>21</v>
      </c>
      <c r="B16" s="76">
        <v>1674</v>
      </c>
      <c r="C16" s="76">
        <v>2</v>
      </c>
      <c r="D16" s="77">
        <v>31925</v>
      </c>
      <c r="G16" s="257">
        <v>0</v>
      </c>
      <c r="H16" s="76" t="s">
        <v>211</v>
      </c>
      <c r="I16" s="76">
        <v>2.1000000000000001E-2</v>
      </c>
      <c r="J16" s="76">
        <v>1</v>
      </c>
      <c r="K16" s="76" t="s">
        <v>232</v>
      </c>
      <c r="L16" s="76">
        <v>7</v>
      </c>
      <c r="M16" s="76" t="s">
        <v>235</v>
      </c>
    </row>
    <row r="17" spans="1:13" x14ac:dyDescent="0.2">
      <c r="A17" s="76" t="s">
        <v>21</v>
      </c>
      <c r="B17" s="76">
        <v>1674</v>
      </c>
      <c r="C17" s="76">
        <v>2</v>
      </c>
      <c r="D17" s="77">
        <v>31925</v>
      </c>
      <c r="G17" s="257">
        <v>2</v>
      </c>
      <c r="H17" s="76" t="s">
        <v>211</v>
      </c>
      <c r="I17" s="76">
        <v>1.7999999999999999E-2</v>
      </c>
      <c r="J17" s="76">
        <v>1</v>
      </c>
      <c r="K17" s="76" t="s">
        <v>232</v>
      </c>
      <c r="L17" s="76">
        <v>7</v>
      </c>
      <c r="M17" s="76" t="s">
        <v>235</v>
      </c>
    </row>
    <row r="18" spans="1:13" x14ac:dyDescent="0.2">
      <c r="A18" s="76" t="s">
        <v>21</v>
      </c>
      <c r="B18" s="76">
        <v>1674</v>
      </c>
      <c r="C18" s="76">
        <v>2</v>
      </c>
      <c r="D18" s="77">
        <v>31925</v>
      </c>
      <c r="G18" s="257">
        <v>4</v>
      </c>
      <c r="H18" s="76" t="s">
        <v>211</v>
      </c>
      <c r="I18" s="76">
        <v>1.9E-2</v>
      </c>
      <c r="J18" s="76">
        <v>1</v>
      </c>
      <c r="K18" s="76" t="s">
        <v>232</v>
      </c>
      <c r="L18" s="76">
        <v>7</v>
      </c>
      <c r="M18" s="76" t="s">
        <v>235</v>
      </c>
    </row>
    <row r="19" spans="1:13" x14ac:dyDescent="0.2">
      <c r="A19" s="76" t="s">
        <v>21</v>
      </c>
      <c r="B19" s="76">
        <v>1674</v>
      </c>
      <c r="C19" s="76">
        <v>2</v>
      </c>
      <c r="D19" s="77">
        <v>31925</v>
      </c>
      <c r="G19" s="257">
        <v>6</v>
      </c>
      <c r="H19" s="76" t="s">
        <v>211</v>
      </c>
      <c r="I19" s="76">
        <v>1.0999999999999999E-2</v>
      </c>
      <c r="J19" s="76">
        <v>1</v>
      </c>
      <c r="K19" s="76" t="s">
        <v>232</v>
      </c>
      <c r="L19" s="76">
        <v>7</v>
      </c>
      <c r="M19" s="76" t="s">
        <v>235</v>
      </c>
    </row>
    <row r="20" spans="1:13" x14ac:dyDescent="0.2">
      <c r="A20" s="76" t="s">
        <v>21</v>
      </c>
      <c r="B20" s="76">
        <v>1674</v>
      </c>
      <c r="C20" s="76">
        <v>2</v>
      </c>
      <c r="D20" s="77">
        <v>31925</v>
      </c>
      <c r="G20" s="257">
        <v>8</v>
      </c>
      <c r="H20" s="76" t="s">
        <v>211</v>
      </c>
      <c r="I20" s="76">
        <v>1.6E-2</v>
      </c>
      <c r="J20" s="76">
        <v>1</v>
      </c>
      <c r="K20" s="76" t="s">
        <v>232</v>
      </c>
      <c r="L20" s="76">
        <v>7</v>
      </c>
      <c r="M20" s="76" t="s">
        <v>235</v>
      </c>
    </row>
    <row r="21" spans="1:13" x14ac:dyDescent="0.2">
      <c r="A21" s="76" t="s">
        <v>21</v>
      </c>
      <c r="B21" s="76">
        <v>1674</v>
      </c>
      <c r="C21" s="76">
        <v>2</v>
      </c>
      <c r="D21" s="77">
        <v>31925</v>
      </c>
      <c r="G21" s="257">
        <v>10</v>
      </c>
      <c r="H21" s="76" t="s">
        <v>211</v>
      </c>
      <c r="I21" s="76">
        <v>2.1999999999999999E-2</v>
      </c>
      <c r="J21" s="76">
        <v>1</v>
      </c>
      <c r="K21" s="76" t="s">
        <v>232</v>
      </c>
      <c r="L21" s="76">
        <v>7</v>
      </c>
      <c r="M21" s="76" t="s">
        <v>235</v>
      </c>
    </row>
    <row r="22" spans="1:13" x14ac:dyDescent="0.2">
      <c r="A22" s="76" t="s">
        <v>21</v>
      </c>
      <c r="B22" s="76">
        <v>1674</v>
      </c>
      <c r="C22" s="76">
        <v>2</v>
      </c>
      <c r="D22" s="77">
        <v>31925</v>
      </c>
      <c r="G22" s="257">
        <v>11</v>
      </c>
      <c r="H22" s="76" t="s">
        <v>211</v>
      </c>
      <c r="I22" s="76">
        <v>0.02</v>
      </c>
      <c r="J22" s="76">
        <v>1</v>
      </c>
      <c r="K22" s="76" t="s">
        <v>232</v>
      </c>
      <c r="L22" s="76">
        <v>7</v>
      </c>
      <c r="M22" s="76" t="s">
        <v>235</v>
      </c>
    </row>
    <row r="23" spans="1:13" x14ac:dyDescent="0.2">
      <c r="A23" s="76" t="s">
        <v>21</v>
      </c>
      <c r="B23" s="76">
        <v>1674</v>
      </c>
      <c r="C23" s="76">
        <v>2</v>
      </c>
      <c r="D23" s="77">
        <v>31937</v>
      </c>
      <c r="G23" s="257">
        <v>0</v>
      </c>
      <c r="H23" s="76" t="s">
        <v>211</v>
      </c>
      <c r="I23" s="76">
        <v>1.4999999999999999E-2</v>
      </c>
      <c r="J23" s="76">
        <v>1</v>
      </c>
      <c r="K23" s="76" t="s">
        <v>232</v>
      </c>
      <c r="L23" s="76">
        <v>7</v>
      </c>
      <c r="M23" s="76" t="s">
        <v>235</v>
      </c>
    </row>
    <row r="24" spans="1:13" x14ac:dyDescent="0.2">
      <c r="A24" s="76" t="s">
        <v>21</v>
      </c>
      <c r="B24" s="76">
        <v>1674</v>
      </c>
      <c r="C24" s="76">
        <v>2</v>
      </c>
      <c r="D24" s="77">
        <v>31937</v>
      </c>
      <c r="G24" s="257">
        <v>2</v>
      </c>
      <c r="H24" s="76" t="s">
        <v>211</v>
      </c>
      <c r="I24" s="76">
        <v>1.4999999999999999E-2</v>
      </c>
      <c r="J24" s="76">
        <v>1</v>
      </c>
      <c r="K24" s="76" t="s">
        <v>232</v>
      </c>
      <c r="L24" s="76">
        <v>7</v>
      </c>
      <c r="M24" s="76" t="s">
        <v>235</v>
      </c>
    </row>
    <row r="25" spans="1:13" x14ac:dyDescent="0.2">
      <c r="A25" s="76" t="s">
        <v>21</v>
      </c>
      <c r="B25" s="76">
        <v>1674</v>
      </c>
      <c r="C25" s="76">
        <v>2</v>
      </c>
      <c r="D25" s="77">
        <v>31937</v>
      </c>
      <c r="G25" s="257">
        <v>4</v>
      </c>
      <c r="H25" s="76" t="s">
        <v>211</v>
      </c>
      <c r="I25" s="76">
        <v>1.4999999999999999E-2</v>
      </c>
      <c r="J25" s="76">
        <v>1</v>
      </c>
      <c r="K25" s="76" t="s">
        <v>232</v>
      </c>
      <c r="L25" s="76">
        <v>7</v>
      </c>
      <c r="M25" s="76" t="s">
        <v>235</v>
      </c>
    </row>
    <row r="26" spans="1:13" x14ac:dyDescent="0.2">
      <c r="A26" s="76" t="s">
        <v>21</v>
      </c>
      <c r="B26" s="76">
        <v>1674</v>
      </c>
      <c r="C26" s="76">
        <v>2</v>
      </c>
      <c r="D26" s="77">
        <v>31937</v>
      </c>
      <c r="G26" s="257">
        <v>6</v>
      </c>
      <c r="H26" s="76" t="s">
        <v>211</v>
      </c>
      <c r="I26" s="76">
        <v>1.7999999999999999E-2</v>
      </c>
      <c r="J26" s="76">
        <v>1</v>
      </c>
      <c r="K26" s="76" t="s">
        <v>232</v>
      </c>
      <c r="L26" s="76">
        <v>7</v>
      </c>
      <c r="M26" s="76" t="s">
        <v>235</v>
      </c>
    </row>
    <row r="27" spans="1:13" x14ac:dyDescent="0.2">
      <c r="A27" s="76" t="s">
        <v>21</v>
      </c>
      <c r="B27" s="76">
        <v>1674</v>
      </c>
      <c r="C27" s="76">
        <v>2</v>
      </c>
      <c r="D27" s="77">
        <v>31937</v>
      </c>
      <c r="G27" s="257">
        <v>8</v>
      </c>
      <c r="H27" s="76" t="s">
        <v>211</v>
      </c>
      <c r="I27" s="76">
        <v>1.9E-2</v>
      </c>
      <c r="J27" s="76">
        <v>1</v>
      </c>
      <c r="K27" s="76" t="s">
        <v>232</v>
      </c>
      <c r="L27" s="76">
        <v>7</v>
      </c>
      <c r="M27" s="76" t="s">
        <v>235</v>
      </c>
    </row>
    <row r="28" spans="1:13" x14ac:dyDescent="0.2">
      <c r="A28" s="76" t="s">
        <v>21</v>
      </c>
      <c r="B28" s="76">
        <v>1674</v>
      </c>
      <c r="C28" s="76">
        <v>2</v>
      </c>
      <c r="D28" s="77">
        <v>31937</v>
      </c>
      <c r="G28" s="257">
        <v>10</v>
      </c>
      <c r="H28" s="76" t="s">
        <v>211</v>
      </c>
      <c r="I28" s="76">
        <v>3.9E-2</v>
      </c>
      <c r="J28" s="76">
        <v>1</v>
      </c>
      <c r="K28" s="76" t="s">
        <v>232</v>
      </c>
      <c r="L28" s="76">
        <v>7</v>
      </c>
      <c r="M28" s="76" t="s">
        <v>235</v>
      </c>
    </row>
    <row r="29" spans="1:13" x14ac:dyDescent="0.2">
      <c r="A29" s="76" t="s">
        <v>21</v>
      </c>
      <c r="B29" s="76">
        <v>1674</v>
      </c>
      <c r="C29" s="76">
        <v>2</v>
      </c>
      <c r="D29" s="77">
        <v>31937</v>
      </c>
      <c r="G29" s="257">
        <v>11</v>
      </c>
      <c r="H29" s="76" t="s">
        <v>211</v>
      </c>
      <c r="I29" s="76">
        <v>3.5999999999999997E-2</v>
      </c>
      <c r="J29" s="76">
        <v>1</v>
      </c>
      <c r="K29" s="76" t="s">
        <v>232</v>
      </c>
      <c r="L29" s="76">
        <v>7</v>
      </c>
      <c r="M29" s="76" t="s">
        <v>235</v>
      </c>
    </row>
    <row r="30" spans="1:13" x14ac:dyDescent="0.2">
      <c r="A30" s="76" t="s">
        <v>21</v>
      </c>
      <c r="B30" s="76">
        <v>1674</v>
      </c>
      <c r="C30" s="76">
        <v>2</v>
      </c>
      <c r="D30" s="77">
        <v>31951</v>
      </c>
      <c r="G30" s="257">
        <v>0</v>
      </c>
      <c r="H30" s="76" t="s">
        <v>211</v>
      </c>
      <c r="I30" s="76">
        <v>1.6E-2</v>
      </c>
      <c r="J30" s="76">
        <v>1</v>
      </c>
      <c r="K30" s="76" t="s">
        <v>232</v>
      </c>
      <c r="L30" s="76">
        <v>7</v>
      </c>
      <c r="M30" s="76" t="s">
        <v>235</v>
      </c>
    </row>
    <row r="31" spans="1:13" x14ac:dyDescent="0.2">
      <c r="A31" s="76" t="s">
        <v>21</v>
      </c>
      <c r="B31" s="76">
        <v>1674</v>
      </c>
      <c r="C31" s="76">
        <v>2</v>
      </c>
      <c r="D31" s="77">
        <v>31951</v>
      </c>
      <c r="G31" s="257">
        <v>2</v>
      </c>
      <c r="H31" s="76" t="s">
        <v>211</v>
      </c>
      <c r="I31" s="76">
        <v>2.4E-2</v>
      </c>
      <c r="J31" s="76">
        <v>1</v>
      </c>
      <c r="K31" s="76" t="s">
        <v>232</v>
      </c>
      <c r="L31" s="76">
        <v>7</v>
      </c>
      <c r="M31" s="76" t="s">
        <v>235</v>
      </c>
    </row>
    <row r="32" spans="1:13" x14ac:dyDescent="0.2">
      <c r="A32" s="76" t="s">
        <v>21</v>
      </c>
      <c r="B32" s="76">
        <v>1674</v>
      </c>
      <c r="C32" s="76">
        <v>2</v>
      </c>
      <c r="D32" s="77">
        <v>31951</v>
      </c>
      <c r="G32" s="257">
        <v>4</v>
      </c>
      <c r="H32" s="76" t="s">
        <v>211</v>
      </c>
      <c r="I32" s="76">
        <v>1.7000000000000001E-2</v>
      </c>
      <c r="J32" s="76">
        <v>1</v>
      </c>
      <c r="K32" s="76" t="s">
        <v>232</v>
      </c>
      <c r="L32" s="76">
        <v>7</v>
      </c>
      <c r="M32" s="76" t="s">
        <v>235</v>
      </c>
    </row>
    <row r="33" spans="1:13" x14ac:dyDescent="0.2">
      <c r="A33" s="76" t="s">
        <v>21</v>
      </c>
      <c r="B33" s="76">
        <v>1674</v>
      </c>
      <c r="C33" s="76">
        <v>2</v>
      </c>
      <c r="D33" s="77">
        <v>31951</v>
      </c>
      <c r="G33" s="257">
        <v>6</v>
      </c>
      <c r="H33" s="76" t="s">
        <v>211</v>
      </c>
      <c r="I33" s="76">
        <v>1.7000000000000001E-2</v>
      </c>
      <c r="J33" s="76">
        <v>1</v>
      </c>
      <c r="K33" s="76" t="s">
        <v>232</v>
      </c>
      <c r="L33" s="76">
        <v>7</v>
      </c>
      <c r="M33" s="76" t="s">
        <v>235</v>
      </c>
    </row>
    <row r="34" spans="1:13" x14ac:dyDescent="0.2">
      <c r="A34" s="76" t="s">
        <v>21</v>
      </c>
      <c r="B34" s="76">
        <v>1674</v>
      </c>
      <c r="C34" s="76">
        <v>2</v>
      </c>
      <c r="D34" s="77">
        <v>31951</v>
      </c>
      <c r="G34" s="257">
        <v>8</v>
      </c>
      <c r="H34" s="76" t="s">
        <v>211</v>
      </c>
      <c r="I34" s="76">
        <v>1.9E-2</v>
      </c>
      <c r="J34" s="76">
        <v>1</v>
      </c>
      <c r="K34" s="76" t="s">
        <v>232</v>
      </c>
      <c r="L34" s="76">
        <v>7</v>
      </c>
      <c r="M34" s="76" t="s">
        <v>235</v>
      </c>
    </row>
    <row r="35" spans="1:13" x14ac:dyDescent="0.2">
      <c r="A35" s="76" t="s">
        <v>21</v>
      </c>
      <c r="B35" s="76">
        <v>1674</v>
      </c>
      <c r="C35" s="76">
        <v>2</v>
      </c>
      <c r="D35" s="77">
        <v>31951</v>
      </c>
      <c r="G35" s="257">
        <v>10</v>
      </c>
      <c r="H35" s="76" t="s">
        <v>211</v>
      </c>
      <c r="I35" s="76">
        <v>2.7E-2</v>
      </c>
      <c r="J35" s="76">
        <v>1</v>
      </c>
      <c r="K35" s="76" t="s">
        <v>232</v>
      </c>
      <c r="L35" s="76">
        <v>7</v>
      </c>
      <c r="M35" s="76" t="s">
        <v>235</v>
      </c>
    </row>
    <row r="36" spans="1:13" x14ac:dyDescent="0.2">
      <c r="A36" s="76" t="s">
        <v>21</v>
      </c>
      <c r="B36" s="76">
        <v>1674</v>
      </c>
      <c r="C36" s="76">
        <v>2</v>
      </c>
      <c r="D36" s="77">
        <v>31951</v>
      </c>
      <c r="G36" s="257">
        <v>11</v>
      </c>
      <c r="H36" s="76" t="s">
        <v>211</v>
      </c>
      <c r="I36" s="76">
        <v>3.6999999999999998E-2</v>
      </c>
      <c r="J36" s="76">
        <v>1</v>
      </c>
      <c r="K36" s="76" t="s">
        <v>232</v>
      </c>
      <c r="L36" s="76">
        <v>7</v>
      </c>
      <c r="M36" s="76" t="s">
        <v>235</v>
      </c>
    </row>
    <row r="37" spans="1:13" x14ac:dyDescent="0.2">
      <c r="A37" s="76" t="s">
        <v>21</v>
      </c>
      <c r="B37" s="76">
        <v>1674</v>
      </c>
      <c r="C37" s="76">
        <v>2</v>
      </c>
      <c r="D37" s="77">
        <v>31971</v>
      </c>
      <c r="G37" s="257">
        <v>0</v>
      </c>
      <c r="H37" s="76" t="s">
        <v>211</v>
      </c>
      <c r="I37" s="76">
        <v>1.2E-2</v>
      </c>
      <c r="J37" s="76">
        <v>1</v>
      </c>
      <c r="K37" s="76" t="s">
        <v>232</v>
      </c>
      <c r="L37" s="76">
        <v>6</v>
      </c>
      <c r="M37" s="76" t="s">
        <v>235</v>
      </c>
    </row>
    <row r="38" spans="1:13" x14ac:dyDescent="0.2">
      <c r="A38" s="76" t="s">
        <v>21</v>
      </c>
      <c r="B38" s="76">
        <v>1674</v>
      </c>
      <c r="C38" s="76">
        <v>2</v>
      </c>
      <c r="D38" s="77">
        <v>31971</v>
      </c>
      <c r="G38" s="257">
        <v>2</v>
      </c>
      <c r="H38" s="76" t="s">
        <v>211</v>
      </c>
      <c r="I38" s="76">
        <v>1.4E-2</v>
      </c>
      <c r="J38" s="76">
        <v>1</v>
      </c>
      <c r="K38" s="76" t="s">
        <v>232</v>
      </c>
      <c r="L38" s="76">
        <v>6</v>
      </c>
      <c r="M38" s="76" t="s">
        <v>235</v>
      </c>
    </row>
    <row r="39" spans="1:13" x14ac:dyDescent="0.2">
      <c r="A39" s="76" t="s">
        <v>21</v>
      </c>
      <c r="B39" s="76">
        <v>1674</v>
      </c>
      <c r="C39" s="76">
        <v>2</v>
      </c>
      <c r="D39" s="77">
        <v>31971</v>
      </c>
      <c r="G39" s="257">
        <v>4</v>
      </c>
      <c r="H39" s="76" t="s">
        <v>211</v>
      </c>
      <c r="I39" s="76">
        <v>1.4999999999999999E-2</v>
      </c>
      <c r="J39" s="76">
        <v>1</v>
      </c>
      <c r="K39" s="76" t="s">
        <v>232</v>
      </c>
      <c r="L39" s="76">
        <v>6</v>
      </c>
      <c r="M39" s="76" t="s">
        <v>235</v>
      </c>
    </row>
    <row r="40" spans="1:13" x14ac:dyDescent="0.2">
      <c r="A40" s="76" t="s">
        <v>21</v>
      </c>
      <c r="B40" s="76">
        <v>1674</v>
      </c>
      <c r="C40" s="76">
        <v>2</v>
      </c>
      <c r="D40" s="77">
        <v>31971</v>
      </c>
      <c r="G40" s="257">
        <v>6</v>
      </c>
      <c r="H40" s="76" t="s">
        <v>211</v>
      </c>
      <c r="I40" s="76">
        <v>2.1999999999999999E-2</v>
      </c>
      <c r="J40" s="76">
        <v>1</v>
      </c>
      <c r="K40" s="76" t="s">
        <v>232</v>
      </c>
      <c r="L40" s="76">
        <v>6</v>
      </c>
      <c r="M40" s="76" t="s">
        <v>235</v>
      </c>
    </row>
    <row r="41" spans="1:13" x14ac:dyDescent="0.2">
      <c r="A41" s="76" t="s">
        <v>21</v>
      </c>
      <c r="B41" s="76">
        <v>1674</v>
      </c>
      <c r="C41" s="76">
        <v>2</v>
      </c>
      <c r="D41" s="77">
        <v>31971</v>
      </c>
      <c r="G41" s="257">
        <v>8</v>
      </c>
      <c r="H41" s="76" t="s">
        <v>211</v>
      </c>
      <c r="I41" s="76">
        <v>3.5000000000000003E-2</v>
      </c>
      <c r="J41" s="76">
        <v>1</v>
      </c>
      <c r="K41" s="76" t="s">
        <v>232</v>
      </c>
      <c r="L41" s="76">
        <v>6</v>
      </c>
      <c r="M41" s="76" t="s">
        <v>235</v>
      </c>
    </row>
    <row r="42" spans="1:13" x14ac:dyDescent="0.2">
      <c r="A42" s="76" t="s">
        <v>21</v>
      </c>
      <c r="B42" s="76">
        <v>1674</v>
      </c>
      <c r="C42" s="76">
        <v>2</v>
      </c>
      <c r="D42" s="77">
        <v>31971</v>
      </c>
      <c r="G42" s="257">
        <v>10</v>
      </c>
      <c r="H42" s="76" t="s">
        <v>211</v>
      </c>
      <c r="I42" s="76">
        <v>5.0999999999999997E-2</v>
      </c>
      <c r="J42" s="76">
        <v>1</v>
      </c>
      <c r="K42" s="76" t="s">
        <v>232</v>
      </c>
      <c r="L42" s="76">
        <v>6</v>
      </c>
      <c r="M42" s="76" t="s">
        <v>235</v>
      </c>
    </row>
    <row r="43" spans="1:13" x14ac:dyDescent="0.2">
      <c r="A43" s="76" t="s">
        <v>21</v>
      </c>
      <c r="B43" s="76">
        <v>1674</v>
      </c>
      <c r="C43" s="76">
        <v>2</v>
      </c>
      <c r="D43" s="77">
        <v>31987</v>
      </c>
      <c r="G43" s="257">
        <v>0</v>
      </c>
      <c r="H43" s="76" t="s">
        <v>211</v>
      </c>
      <c r="I43" s="76">
        <v>1.9E-2</v>
      </c>
      <c r="J43" s="76">
        <v>1</v>
      </c>
      <c r="K43" s="76" t="s">
        <v>232</v>
      </c>
      <c r="L43" s="76">
        <v>4</v>
      </c>
      <c r="M43" s="76" t="s">
        <v>235</v>
      </c>
    </row>
    <row r="44" spans="1:13" x14ac:dyDescent="0.2">
      <c r="A44" s="76" t="s">
        <v>21</v>
      </c>
      <c r="B44" s="76">
        <v>1674</v>
      </c>
      <c r="C44" s="76">
        <v>2</v>
      </c>
      <c r="D44" s="77">
        <v>31987</v>
      </c>
      <c r="G44" s="257">
        <v>2</v>
      </c>
      <c r="H44" s="76" t="s">
        <v>211</v>
      </c>
      <c r="I44" s="76">
        <v>2.1999999999999999E-2</v>
      </c>
      <c r="J44" s="76">
        <v>1</v>
      </c>
      <c r="K44" s="76" t="s">
        <v>232</v>
      </c>
      <c r="L44" s="76">
        <v>4</v>
      </c>
      <c r="M44" s="76" t="s">
        <v>235</v>
      </c>
    </row>
    <row r="45" spans="1:13" x14ac:dyDescent="0.2">
      <c r="A45" s="76" t="s">
        <v>21</v>
      </c>
      <c r="B45" s="76">
        <v>1674</v>
      </c>
      <c r="C45" s="76">
        <v>2</v>
      </c>
      <c r="D45" s="77">
        <v>31987</v>
      </c>
      <c r="G45" s="257">
        <v>4</v>
      </c>
      <c r="H45" s="76" t="s">
        <v>211</v>
      </c>
      <c r="I45" s="76">
        <v>2.1000000000000001E-2</v>
      </c>
      <c r="J45" s="76">
        <v>1</v>
      </c>
      <c r="K45" s="76" t="s">
        <v>232</v>
      </c>
      <c r="L45" s="76">
        <v>4</v>
      </c>
      <c r="M45" s="76" t="s">
        <v>235</v>
      </c>
    </row>
    <row r="46" spans="1:13" x14ac:dyDescent="0.2">
      <c r="A46" s="76" t="s">
        <v>21</v>
      </c>
      <c r="B46" s="76">
        <v>1674</v>
      </c>
      <c r="C46" s="76">
        <v>2</v>
      </c>
      <c r="D46" s="77">
        <v>31987</v>
      </c>
      <c r="G46" s="257">
        <v>6</v>
      </c>
      <c r="H46" s="76" t="s">
        <v>211</v>
      </c>
      <c r="I46" s="76">
        <v>2.8000000000000001E-2</v>
      </c>
      <c r="J46" s="76">
        <v>1</v>
      </c>
      <c r="K46" s="76" t="s">
        <v>232</v>
      </c>
      <c r="L46" s="76">
        <v>4</v>
      </c>
      <c r="M46" s="76" t="s">
        <v>235</v>
      </c>
    </row>
    <row r="47" spans="1:13" x14ac:dyDescent="0.2">
      <c r="A47" s="76" t="s">
        <v>21</v>
      </c>
      <c r="B47" s="76">
        <v>1674</v>
      </c>
      <c r="C47" s="76">
        <v>2</v>
      </c>
      <c r="D47" s="77">
        <v>32002</v>
      </c>
      <c r="G47" s="257">
        <v>0</v>
      </c>
      <c r="H47" s="76" t="s">
        <v>211</v>
      </c>
      <c r="I47" s="76">
        <v>0.02</v>
      </c>
      <c r="J47" s="76">
        <v>1</v>
      </c>
      <c r="K47" s="76" t="s">
        <v>232</v>
      </c>
      <c r="L47" s="76">
        <v>6</v>
      </c>
      <c r="M47" s="76" t="s">
        <v>235</v>
      </c>
    </row>
    <row r="48" spans="1:13" x14ac:dyDescent="0.2">
      <c r="A48" s="76" t="s">
        <v>21</v>
      </c>
      <c r="B48" s="76">
        <v>1674</v>
      </c>
      <c r="C48" s="76">
        <v>2</v>
      </c>
      <c r="D48" s="77">
        <v>32002</v>
      </c>
      <c r="G48" s="257">
        <v>2</v>
      </c>
      <c r="H48" s="76" t="s">
        <v>211</v>
      </c>
      <c r="I48" s="76">
        <v>2.4E-2</v>
      </c>
      <c r="J48" s="76">
        <v>1</v>
      </c>
      <c r="K48" s="76" t="s">
        <v>232</v>
      </c>
      <c r="L48" s="76">
        <v>6</v>
      </c>
      <c r="M48" s="76" t="s">
        <v>235</v>
      </c>
    </row>
    <row r="49" spans="1:13" x14ac:dyDescent="0.2">
      <c r="A49" s="76" t="s">
        <v>21</v>
      </c>
      <c r="B49" s="76">
        <v>1674</v>
      </c>
      <c r="C49" s="76">
        <v>2</v>
      </c>
      <c r="D49" s="77">
        <v>32002</v>
      </c>
      <c r="G49" s="257">
        <v>4</v>
      </c>
      <c r="H49" s="76" t="s">
        <v>211</v>
      </c>
      <c r="I49" s="76">
        <v>2.5000000000000001E-2</v>
      </c>
      <c r="J49" s="76">
        <v>1</v>
      </c>
      <c r="K49" s="76" t="s">
        <v>232</v>
      </c>
      <c r="L49" s="76">
        <v>6</v>
      </c>
      <c r="M49" s="76" t="s">
        <v>235</v>
      </c>
    </row>
    <row r="50" spans="1:13" x14ac:dyDescent="0.2">
      <c r="A50" s="76" t="s">
        <v>21</v>
      </c>
      <c r="B50" s="76">
        <v>1674</v>
      </c>
      <c r="C50" s="76">
        <v>2</v>
      </c>
      <c r="D50" s="77">
        <v>32002</v>
      </c>
      <c r="G50" s="257">
        <v>6</v>
      </c>
      <c r="H50" s="76" t="s">
        <v>211</v>
      </c>
      <c r="I50" s="76">
        <v>0.02</v>
      </c>
      <c r="J50" s="76">
        <v>1</v>
      </c>
      <c r="K50" s="76" t="s">
        <v>232</v>
      </c>
      <c r="L50" s="76">
        <v>6</v>
      </c>
      <c r="M50" s="76" t="s">
        <v>235</v>
      </c>
    </row>
    <row r="51" spans="1:13" x14ac:dyDescent="0.2">
      <c r="A51" s="76" t="s">
        <v>21</v>
      </c>
      <c r="B51" s="76">
        <v>1674</v>
      </c>
      <c r="C51" s="76">
        <v>2</v>
      </c>
      <c r="D51" s="77">
        <v>32002</v>
      </c>
      <c r="G51" s="257">
        <v>8</v>
      </c>
      <c r="H51" s="76" t="s">
        <v>211</v>
      </c>
      <c r="I51" s="76">
        <v>0.02</v>
      </c>
      <c r="J51" s="76">
        <v>1</v>
      </c>
      <c r="K51" s="76" t="s">
        <v>232</v>
      </c>
      <c r="L51" s="76">
        <v>6</v>
      </c>
      <c r="M51" s="76" t="s">
        <v>235</v>
      </c>
    </row>
    <row r="52" spans="1:13" x14ac:dyDescent="0.2">
      <c r="A52" s="76" t="s">
        <v>21</v>
      </c>
      <c r="B52" s="76">
        <v>1674</v>
      </c>
      <c r="C52" s="76">
        <v>2</v>
      </c>
      <c r="D52" s="77">
        <v>32002</v>
      </c>
      <c r="G52" s="257">
        <v>10</v>
      </c>
      <c r="H52" s="76" t="s">
        <v>211</v>
      </c>
      <c r="I52" s="76">
        <v>2.8000000000000001E-2</v>
      </c>
      <c r="J52" s="76">
        <v>1</v>
      </c>
      <c r="K52" s="76" t="s">
        <v>232</v>
      </c>
      <c r="L52" s="76">
        <v>6</v>
      </c>
      <c r="M52" s="76" t="s">
        <v>235</v>
      </c>
    </row>
    <row r="53" spans="1:13" x14ac:dyDescent="0.2">
      <c r="A53" s="76" t="s">
        <v>21</v>
      </c>
      <c r="B53" s="76">
        <v>1674</v>
      </c>
      <c r="C53" s="76">
        <v>2</v>
      </c>
      <c r="D53" s="77">
        <v>32014</v>
      </c>
      <c r="G53" s="257">
        <v>0</v>
      </c>
      <c r="H53" s="76" t="s">
        <v>211</v>
      </c>
      <c r="I53" s="76">
        <v>2.3E-2</v>
      </c>
      <c r="J53" s="76">
        <v>1</v>
      </c>
      <c r="K53" s="76" t="s">
        <v>232</v>
      </c>
      <c r="L53" s="76">
        <v>5</v>
      </c>
      <c r="M53" s="76" t="s">
        <v>235</v>
      </c>
    </row>
    <row r="54" spans="1:13" x14ac:dyDescent="0.2">
      <c r="A54" s="76" t="s">
        <v>21</v>
      </c>
      <c r="B54" s="76">
        <v>1674</v>
      </c>
      <c r="C54" s="76">
        <v>2</v>
      </c>
      <c r="D54" s="77">
        <v>32014</v>
      </c>
      <c r="G54" s="257">
        <v>2</v>
      </c>
      <c r="H54" s="76" t="s">
        <v>211</v>
      </c>
      <c r="I54" s="76">
        <v>2.1999999999999999E-2</v>
      </c>
      <c r="J54" s="76">
        <v>1</v>
      </c>
      <c r="K54" s="76" t="s">
        <v>232</v>
      </c>
      <c r="L54" s="76">
        <v>5</v>
      </c>
      <c r="M54" s="76" t="s">
        <v>235</v>
      </c>
    </row>
    <row r="55" spans="1:13" x14ac:dyDescent="0.2">
      <c r="A55" s="76" t="s">
        <v>21</v>
      </c>
      <c r="B55" s="76">
        <v>1674</v>
      </c>
      <c r="C55" s="76">
        <v>2</v>
      </c>
      <c r="D55" s="77">
        <v>32014</v>
      </c>
      <c r="G55" s="257">
        <v>4</v>
      </c>
      <c r="H55" s="76" t="s">
        <v>211</v>
      </c>
      <c r="I55" s="76">
        <v>2.5000000000000001E-2</v>
      </c>
      <c r="J55" s="76">
        <v>1</v>
      </c>
      <c r="K55" s="76" t="s">
        <v>232</v>
      </c>
      <c r="L55" s="76">
        <v>5</v>
      </c>
      <c r="M55" s="76" t="s">
        <v>235</v>
      </c>
    </row>
    <row r="56" spans="1:13" x14ac:dyDescent="0.2">
      <c r="A56" s="76" t="s">
        <v>21</v>
      </c>
      <c r="B56" s="76">
        <v>1674</v>
      </c>
      <c r="C56" s="76">
        <v>2</v>
      </c>
      <c r="D56" s="77">
        <v>32014</v>
      </c>
      <c r="G56" s="257">
        <v>6</v>
      </c>
      <c r="H56" s="76" t="s">
        <v>211</v>
      </c>
      <c r="I56" s="76">
        <v>2.3E-2</v>
      </c>
      <c r="J56" s="76">
        <v>1</v>
      </c>
      <c r="K56" s="76" t="s">
        <v>232</v>
      </c>
      <c r="L56" s="76">
        <v>5</v>
      </c>
      <c r="M56" s="76" t="s">
        <v>235</v>
      </c>
    </row>
    <row r="57" spans="1:13" x14ac:dyDescent="0.2">
      <c r="A57" s="76" t="s">
        <v>21</v>
      </c>
      <c r="B57" s="76">
        <v>1674</v>
      </c>
      <c r="C57" s="76">
        <v>2</v>
      </c>
      <c r="D57" s="77">
        <v>32014</v>
      </c>
      <c r="G57" s="257">
        <v>8</v>
      </c>
      <c r="H57" s="76" t="s">
        <v>211</v>
      </c>
      <c r="I57" s="76">
        <v>2.4E-2</v>
      </c>
      <c r="J57" s="76">
        <v>1</v>
      </c>
      <c r="K57" s="76" t="s">
        <v>232</v>
      </c>
      <c r="L57" s="76">
        <v>5</v>
      </c>
      <c r="M57" s="76" t="s">
        <v>235</v>
      </c>
    </row>
    <row r="58" spans="1:13" x14ac:dyDescent="0.2">
      <c r="A58" s="76" t="s">
        <v>21</v>
      </c>
      <c r="B58" s="76">
        <v>1674</v>
      </c>
      <c r="C58" s="76">
        <v>2</v>
      </c>
      <c r="D58" s="77">
        <v>32035</v>
      </c>
      <c r="G58" s="257">
        <v>0</v>
      </c>
      <c r="H58" s="76" t="s">
        <v>211</v>
      </c>
      <c r="I58" s="76">
        <v>1.9E-2</v>
      </c>
      <c r="J58" s="76">
        <v>1</v>
      </c>
      <c r="K58" s="76" t="s">
        <v>232</v>
      </c>
      <c r="L58" s="76">
        <v>6</v>
      </c>
      <c r="M58" s="76" t="s">
        <v>235</v>
      </c>
    </row>
    <row r="59" spans="1:13" x14ac:dyDescent="0.2">
      <c r="A59" s="76" t="s">
        <v>21</v>
      </c>
      <c r="B59" s="76">
        <v>1674</v>
      </c>
      <c r="C59" s="76">
        <v>2</v>
      </c>
      <c r="D59" s="77">
        <v>32035</v>
      </c>
      <c r="G59" s="257">
        <v>2</v>
      </c>
      <c r="H59" s="76" t="s">
        <v>211</v>
      </c>
      <c r="I59" s="76">
        <v>2.1000000000000001E-2</v>
      </c>
      <c r="J59" s="76">
        <v>1</v>
      </c>
      <c r="K59" s="76" t="s">
        <v>232</v>
      </c>
      <c r="L59" s="76">
        <v>6</v>
      </c>
      <c r="M59" s="76" t="s">
        <v>235</v>
      </c>
    </row>
    <row r="60" spans="1:13" x14ac:dyDescent="0.2">
      <c r="A60" s="76" t="s">
        <v>21</v>
      </c>
      <c r="B60" s="76">
        <v>1674</v>
      </c>
      <c r="C60" s="76">
        <v>2</v>
      </c>
      <c r="D60" s="77">
        <v>32035</v>
      </c>
      <c r="G60" s="257">
        <v>4</v>
      </c>
      <c r="H60" s="76" t="s">
        <v>211</v>
      </c>
      <c r="I60" s="76">
        <v>2.3E-2</v>
      </c>
      <c r="J60" s="76">
        <v>1</v>
      </c>
      <c r="K60" s="76" t="s">
        <v>232</v>
      </c>
      <c r="L60" s="76">
        <v>6</v>
      </c>
      <c r="M60" s="76" t="s">
        <v>235</v>
      </c>
    </row>
    <row r="61" spans="1:13" x14ac:dyDescent="0.2">
      <c r="A61" s="76" t="s">
        <v>21</v>
      </c>
      <c r="B61" s="76">
        <v>1674</v>
      </c>
      <c r="C61" s="76">
        <v>2</v>
      </c>
      <c r="D61" s="77">
        <v>32035</v>
      </c>
      <c r="G61" s="257">
        <v>6</v>
      </c>
      <c r="H61" s="76" t="s">
        <v>211</v>
      </c>
      <c r="I61" s="76">
        <v>2.1000000000000001E-2</v>
      </c>
      <c r="J61" s="76">
        <v>1</v>
      </c>
      <c r="K61" s="76" t="s">
        <v>232</v>
      </c>
      <c r="L61" s="76">
        <v>6</v>
      </c>
      <c r="M61" s="76" t="s">
        <v>235</v>
      </c>
    </row>
    <row r="62" spans="1:13" x14ac:dyDescent="0.2">
      <c r="A62" s="76" t="s">
        <v>21</v>
      </c>
      <c r="B62" s="76">
        <v>1674</v>
      </c>
      <c r="C62" s="76">
        <v>2</v>
      </c>
      <c r="D62" s="77">
        <v>32035</v>
      </c>
      <c r="G62" s="257">
        <v>8</v>
      </c>
      <c r="H62" s="76" t="s">
        <v>211</v>
      </c>
      <c r="I62" s="76">
        <v>0.02</v>
      </c>
      <c r="J62" s="76">
        <v>1</v>
      </c>
      <c r="K62" s="76" t="s">
        <v>232</v>
      </c>
      <c r="L62" s="76">
        <v>6</v>
      </c>
      <c r="M62" s="76" t="s">
        <v>235</v>
      </c>
    </row>
    <row r="63" spans="1:13" x14ac:dyDescent="0.2">
      <c r="A63" s="76" t="s">
        <v>21</v>
      </c>
      <c r="B63" s="76">
        <v>1674</v>
      </c>
      <c r="C63" s="76">
        <v>2</v>
      </c>
      <c r="D63" s="77">
        <v>32035</v>
      </c>
      <c r="G63" s="257">
        <v>9</v>
      </c>
      <c r="H63" s="76" t="s">
        <v>211</v>
      </c>
      <c r="I63" s="76">
        <v>2.5000000000000001E-2</v>
      </c>
      <c r="J63" s="76">
        <v>1</v>
      </c>
      <c r="K63" s="76" t="s">
        <v>232</v>
      </c>
      <c r="L63" s="76">
        <v>6</v>
      </c>
      <c r="M63" s="76" t="s">
        <v>235</v>
      </c>
    </row>
    <row r="64" spans="1:13" x14ac:dyDescent="0.2">
      <c r="A64" s="76" t="s">
        <v>21</v>
      </c>
      <c r="B64" s="76">
        <v>1674</v>
      </c>
      <c r="C64" s="76">
        <v>2</v>
      </c>
      <c r="D64" s="77">
        <v>32048</v>
      </c>
      <c r="G64" s="257">
        <v>0</v>
      </c>
      <c r="H64" s="76" t="s">
        <v>211</v>
      </c>
      <c r="I64" s="76">
        <v>2.1999999999999999E-2</v>
      </c>
      <c r="J64" s="76">
        <v>1</v>
      </c>
      <c r="K64" s="76" t="s">
        <v>232</v>
      </c>
      <c r="L64" s="76">
        <v>6</v>
      </c>
      <c r="M64" s="76" t="s">
        <v>235</v>
      </c>
    </row>
    <row r="65" spans="1:13" x14ac:dyDescent="0.2">
      <c r="A65" s="76" t="s">
        <v>21</v>
      </c>
      <c r="B65" s="76">
        <v>1674</v>
      </c>
      <c r="C65" s="76">
        <v>2</v>
      </c>
      <c r="D65" s="77">
        <v>32048</v>
      </c>
      <c r="G65" s="257">
        <v>2</v>
      </c>
      <c r="H65" s="76" t="s">
        <v>211</v>
      </c>
      <c r="I65" s="76">
        <v>2.3E-2</v>
      </c>
      <c r="J65" s="76">
        <v>1</v>
      </c>
      <c r="K65" s="76" t="s">
        <v>232</v>
      </c>
      <c r="L65" s="76">
        <v>6</v>
      </c>
      <c r="M65" s="76" t="s">
        <v>235</v>
      </c>
    </row>
    <row r="66" spans="1:13" x14ac:dyDescent="0.2">
      <c r="A66" s="76" t="s">
        <v>21</v>
      </c>
      <c r="B66" s="76">
        <v>1674</v>
      </c>
      <c r="C66" s="76">
        <v>2</v>
      </c>
      <c r="D66" s="77">
        <v>32048</v>
      </c>
      <c r="G66" s="257">
        <v>4</v>
      </c>
      <c r="H66" s="76" t="s">
        <v>211</v>
      </c>
      <c r="I66" s="76">
        <v>2.3E-2</v>
      </c>
      <c r="J66" s="76">
        <v>1</v>
      </c>
      <c r="K66" s="76" t="s">
        <v>232</v>
      </c>
      <c r="L66" s="76">
        <v>6</v>
      </c>
      <c r="M66" s="76" t="s">
        <v>235</v>
      </c>
    </row>
    <row r="67" spans="1:13" x14ac:dyDescent="0.2">
      <c r="A67" s="76" t="s">
        <v>21</v>
      </c>
      <c r="B67" s="76">
        <v>1674</v>
      </c>
      <c r="C67" s="76">
        <v>2</v>
      </c>
      <c r="D67" s="77">
        <v>32048</v>
      </c>
      <c r="G67" s="257">
        <v>6</v>
      </c>
      <c r="H67" s="76" t="s">
        <v>211</v>
      </c>
      <c r="I67" s="76">
        <v>2.1999999999999999E-2</v>
      </c>
      <c r="J67" s="76">
        <v>1</v>
      </c>
      <c r="K67" s="76" t="s">
        <v>232</v>
      </c>
      <c r="L67" s="76">
        <v>6</v>
      </c>
      <c r="M67" s="76" t="s">
        <v>235</v>
      </c>
    </row>
    <row r="68" spans="1:13" x14ac:dyDescent="0.2">
      <c r="A68" s="76" t="s">
        <v>21</v>
      </c>
      <c r="B68" s="76">
        <v>1674</v>
      </c>
      <c r="C68" s="76">
        <v>2</v>
      </c>
      <c r="D68" s="77">
        <v>32048</v>
      </c>
      <c r="G68" s="257">
        <v>8</v>
      </c>
      <c r="H68" s="76" t="s">
        <v>211</v>
      </c>
      <c r="I68" s="76">
        <v>2.3E-2</v>
      </c>
      <c r="J68" s="76">
        <v>1</v>
      </c>
      <c r="K68" s="76" t="s">
        <v>232</v>
      </c>
      <c r="L68" s="76">
        <v>6</v>
      </c>
      <c r="M68" s="76" t="s">
        <v>235</v>
      </c>
    </row>
    <row r="69" spans="1:13" x14ac:dyDescent="0.2">
      <c r="A69" s="76" t="s">
        <v>21</v>
      </c>
      <c r="B69" s="76">
        <v>1674</v>
      </c>
      <c r="C69" s="76">
        <v>2</v>
      </c>
      <c r="D69" s="77">
        <v>32048</v>
      </c>
      <c r="G69" s="257">
        <v>10</v>
      </c>
      <c r="H69" s="76" t="s">
        <v>211</v>
      </c>
      <c r="I69" s="76">
        <v>2.4E-2</v>
      </c>
      <c r="J69" s="76">
        <v>1</v>
      </c>
      <c r="K69" s="76" t="s">
        <v>232</v>
      </c>
      <c r="L69" s="76">
        <v>6</v>
      </c>
      <c r="M69" s="76" t="s">
        <v>235</v>
      </c>
    </row>
    <row r="70" spans="1:13" x14ac:dyDescent="0.2">
      <c r="A70" s="76" t="s">
        <v>21</v>
      </c>
      <c r="B70" s="76">
        <v>1674</v>
      </c>
      <c r="C70" s="76">
        <v>2</v>
      </c>
      <c r="D70" s="77">
        <v>32065</v>
      </c>
      <c r="G70" s="257">
        <v>0</v>
      </c>
      <c r="H70" s="76" t="s">
        <v>211</v>
      </c>
      <c r="I70" s="76">
        <v>2.3E-2</v>
      </c>
      <c r="J70" s="76">
        <v>1</v>
      </c>
      <c r="K70" s="76" t="s">
        <v>232</v>
      </c>
      <c r="L70" s="76">
        <v>6</v>
      </c>
      <c r="M70" s="76" t="s">
        <v>235</v>
      </c>
    </row>
    <row r="71" spans="1:13" x14ac:dyDescent="0.2">
      <c r="A71" s="76" t="s">
        <v>21</v>
      </c>
      <c r="B71" s="76">
        <v>1674</v>
      </c>
      <c r="C71" s="76">
        <v>2</v>
      </c>
      <c r="D71" s="77">
        <v>32065</v>
      </c>
      <c r="G71" s="257">
        <v>2</v>
      </c>
      <c r="H71" s="76" t="s">
        <v>211</v>
      </c>
      <c r="I71" s="76">
        <v>2.1000000000000001E-2</v>
      </c>
      <c r="J71" s="76">
        <v>1</v>
      </c>
      <c r="K71" s="76" t="s">
        <v>232</v>
      </c>
      <c r="L71" s="76">
        <v>6</v>
      </c>
      <c r="M71" s="76" t="s">
        <v>235</v>
      </c>
    </row>
    <row r="72" spans="1:13" x14ac:dyDescent="0.2">
      <c r="A72" s="76" t="s">
        <v>21</v>
      </c>
      <c r="B72" s="76">
        <v>1674</v>
      </c>
      <c r="C72" s="76">
        <v>2</v>
      </c>
      <c r="D72" s="77">
        <v>32065</v>
      </c>
      <c r="G72" s="257">
        <v>4</v>
      </c>
      <c r="H72" s="76" t="s">
        <v>211</v>
      </c>
      <c r="I72" s="76">
        <v>2.4E-2</v>
      </c>
      <c r="J72" s="76">
        <v>1</v>
      </c>
      <c r="K72" s="76" t="s">
        <v>232</v>
      </c>
      <c r="L72" s="76">
        <v>6</v>
      </c>
      <c r="M72" s="76" t="s">
        <v>235</v>
      </c>
    </row>
    <row r="73" spans="1:13" x14ac:dyDescent="0.2">
      <c r="A73" s="76" t="s">
        <v>21</v>
      </c>
      <c r="B73" s="76">
        <v>1674</v>
      </c>
      <c r="C73" s="76">
        <v>2</v>
      </c>
      <c r="D73" s="77">
        <v>32065</v>
      </c>
      <c r="G73" s="257">
        <v>6</v>
      </c>
      <c r="H73" s="76" t="s">
        <v>211</v>
      </c>
      <c r="I73" s="76">
        <v>2.4E-2</v>
      </c>
      <c r="J73" s="76">
        <v>1</v>
      </c>
      <c r="K73" s="76" t="s">
        <v>232</v>
      </c>
      <c r="L73" s="76">
        <v>6</v>
      </c>
      <c r="M73" s="76" t="s">
        <v>235</v>
      </c>
    </row>
    <row r="74" spans="1:13" x14ac:dyDescent="0.2">
      <c r="A74" s="76" t="s">
        <v>21</v>
      </c>
      <c r="B74" s="76">
        <v>1674</v>
      </c>
      <c r="C74" s="76">
        <v>2</v>
      </c>
      <c r="D74" s="77">
        <v>32065</v>
      </c>
      <c r="G74" s="257">
        <v>8</v>
      </c>
      <c r="H74" s="76" t="s">
        <v>211</v>
      </c>
      <c r="I74" s="76">
        <v>2.5999999999999999E-2</v>
      </c>
      <c r="J74" s="76">
        <v>1</v>
      </c>
      <c r="K74" s="76" t="s">
        <v>232</v>
      </c>
      <c r="L74" s="76">
        <v>6</v>
      </c>
      <c r="M74" s="76" t="s">
        <v>235</v>
      </c>
    </row>
    <row r="75" spans="1:13" x14ac:dyDescent="0.2">
      <c r="A75" s="76" t="s">
        <v>21</v>
      </c>
      <c r="B75" s="76">
        <v>1674</v>
      </c>
      <c r="C75" s="76">
        <v>2</v>
      </c>
      <c r="D75" s="77">
        <v>32065</v>
      </c>
      <c r="G75" s="257">
        <v>10</v>
      </c>
      <c r="H75" s="76" t="s">
        <v>211</v>
      </c>
      <c r="I75" s="76">
        <v>2.3E-2</v>
      </c>
      <c r="J75" s="76">
        <v>1</v>
      </c>
      <c r="K75" s="76" t="s">
        <v>232</v>
      </c>
      <c r="L75" s="76">
        <v>6</v>
      </c>
      <c r="M75" s="76" t="s">
        <v>235</v>
      </c>
    </row>
    <row r="76" spans="1:13" x14ac:dyDescent="0.2">
      <c r="A76" s="76" t="s">
        <v>21</v>
      </c>
      <c r="B76" s="76">
        <v>1674</v>
      </c>
      <c r="C76" s="76">
        <v>2</v>
      </c>
      <c r="D76" s="77">
        <v>33829</v>
      </c>
      <c r="E76" s="76" t="s">
        <v>22</v>
      </c>
      <c r="F76" s="76">
        <v>2</v>
      </c>
      <c r="G76" s="257">
        <v>1</v>
      </c>
      <c r="H76" s="76" t="s">
        <v>211</v>
      </c>
      <c r="I76" s="76">
        <v>1.4999999999999999E-2</v>
      </c>
      <c r="J76" s="76">
        <v>1</v>
      </c>
      <c r="L76" s="76">
        <v>9</v>
      </c>
      <c r="M76" s="76" t="s">
        <v>235</v>
      </c>
    </row>
    <row r="77" spans="1:13" x14ac:dyDescent="0.2">
      <c r="A77" s="76" t="s">
        <v>21</v>
      </c>
      <c r="B77" s="76">
        <v>1674</v>
      </c>
      <c r="C77" s="76">
        <v>2</v>
      </c>
      <c r="D77" s="77">
        <v>33829</v>
      </c>
      <c r="E77" s="76" t="s">
        <v>22</v>
      </c>
      <c r="F77" s="76">
        <v>2</v>
      </c>
      <c r="G77" s="257">
        <v>2</v>
      </c>
      <c r="H77" s="76" t="s">
        <v>211</v>
      </c>
      <c r="I77" s="76">
        <v>1.9E-2</v>
      </c>
      <c r="J77" s="76">
        <v>1</v>
      </c>
      <c r="L77" s="76">
        <v>9</v>
      </c>
      <c r="M77" s="76" t="s">
        <v>235</v>
      </c>
    </row>
    <row r="78" spans="1:13" x14ac:dyDescent="0.2">
      <c r="A78" s="76" t="s">
        <v>21</v>
      </c>
      <c r="B78" s="76">
        <v>1674</v>
      </c>
      <c r="C78" s="76">
        <v>2</v>
      </c>
      <c r="D78" s="77">
        <v>33829</v>
      </c>
      <c r="E78" s="76" t="s">
        <v>22</v>
      </c>
      <c r="F78" s="76">
        <v>2</v>
      </c>
      <c r="G78" s="257">
        <v>3</v>
      </c>
      <c r="H78" s="76" t="s">
        <v>211</v>
      </c>
      <c r="I78" s="76">
        <v>0.02</v>
      </c>
      <c r="J78" s="76">
        <v>1</v>
      </c>
      <c r="L78" s="76">
        <v>9</v>
      </c>
      <c r="M78" s="76" t="s">
        <v>235</v>
      </c>
    </row>
    <row r="79" spans="1:13" x14ac:dyDescent="0.2">
      <c r="A79" s="76" t="s">
        <v>21</v>
      </c>
      <c r="B79" s="76">
        <v>1674</v>
      </c>
      <c r="C79" s="76">
        <v>2</v>
      </c>
      <c r="D79" s="77">
        <v>33829</v>
      </c>
      <c r="E79" s="76" t="s">
        <v>22</v>
      </c>
      <c r="F79" s="76">
        <v>2</v>
      </c>
      <c r="G79" s="257">
        <v>4</v>
      </c>
      <c r="H79" s="76" t="s">
        <v>211</v>
      </c>
      <c r="I79" s="76">
        <v>1.2999999999999999E-2</v>
      </c>
      <c r="J79" s="76">
        <v>1</v>
      </c>
      <c r="L79" s="76">
        <v>9</v>
      </c>
      <c r="M79" s="76" t="s">
        <v>235</v>
      </c>
    </row>
    <row r="80" spans="1:13" x14ac:dyDescent="0.2">
      <c r="A80" s="76" t="s">
        <v>21</v>
      </c>
      <c r="B80" s="76">
        <v>1674</v>
      </c>
      <c r="C80" s="76">
        <v>2</v>
      </c>
      <c r="D80" s="77">
        <v>33829</v>
      </c>
      <c r="E80" s="76" t="s">
        <v>22</v>
      </c>
      <c r="F80" s="76">
        <v>2</v>
      </c>
      <c r="G80" s="257">
        <v>5</v>
      </c>
      <c r="H80" s="76" t="s">
        <v>211</v>
      </c>
      <c r="I80" s="76">
        <v>1.4999999999999999E-2</v>
      </c>
      <c r="J80" s="76">
        <v>1</v>
      </c>
      <c r="L80" s="76">
        <v>9</v>
      </c>
      <c r="M80" s="76" t="s">
        <v>235</v>
      </c>
    </row>
    <row r="81" spans="1:13" x14ac:dyDescent="0.2">
      <c r="A81" s="76" t="s">
        <v>21</v>
      </c>
      <c r="B81" s="76">
        <v>1674</v>
      </c>
      <c r="C81" s="76">
        <v>2</v>
      </c>
      <c r="D81" s="77">
        <v>33829</v>
      </c>
      <c r="E81" s="76" t="s">
        <v>22</v>
      </c>
      <c r="F81" s="76">
        <v>2</v>
      </c>
      <c r="G81" s="257">
        <v>6</v>
      </c>
      <c r="H81" s="76" t="s">
        <v>211</v>
      </c>
      <c r="I81" s="76">
        <v>1.4999999999999999E-2</v>
      </c>
      <c r="J81" s="76">
        <v>1</v>
      </c>
      <c r="L81" s="76">
        <v>9</v>
      </c>
      <c r="M81" s="76" t="s">
        <v>235</v>
      </c>
    </row>
    <row r="82" spans="1:13" x14ac:dyDescent="0.2">
      <c r="A82" s="76" t="s">
        <v>21</v>
      </c>
      <c r="B82" s="76">
        <v>1674</v>
      </c>
      <c r="C82" s="76">
        <v>2</v>
      </c>
      <c r="D82" s="77">
        <v>33829</v>
      </c>
      <c r="E82" s="76" t="s">
        <v>22</v>
      </c>
      <c r="F82" s="76">
        <v>2</v>
      </c>
      <c r="G82" s="257">
        <v>7</v>
      </c>
      <c r="H82" s="76" t="s">
        <v>211</v>
      </c>
      <c r="I82" s="76">
        <v>1.9E-2</v>
      </c>
      <c r="J82" s="76">
        <v>1</v>
      </c>
      <c r="L82" s="76">
        <v>9</v>
      </c>
      <c r="M82" s="76" t="s">
        <v>235</v>
      </c>
    </row>
    <row r="83" spans="1:13" x14ac:dyDescent="0.2">
      <c r="A83" s="76" t="s">
        <v>21</v>
      </c>
      <c r="B83" s="76">
        <v>1674</v>
      </c>
      <c r="C83" s="76">
        <v>2</v>
      </c>
      <c r="D83" s="77">
        <v>33829</v>
      </c>
      <c r="E83" s="76" t="s">
        <v>22</v>
      </c>
      <c r="F83" s="76">
        <v>2</v>
      </c>
      <c r="G83" s="257">
        <v>8</v>
      </c>
      <c r="H83" s="76" t="s">
        <v>211</v>
      </c>
      <c r="I83" s="76">
        <v>2.1000000000000001E-2</v>
      </c>
      <c r="J83" s="76">
        <v>1</v>
      </c>
      <c r="L83" s="76">
        <v>9</v>
      </c>
      <c r="M83" s="76" t="s">
        <v>235</v>
      </c>
    </row>
    <row r="84" spans="1:13" x14ac:dyDescent="0.2">
      <c r="A84" s="76" t="s">
        <v>21</v>
      </c>
      <c r="B84" s="76">
        <v>1674</v>
      </c>
      <c r="C84" s="76">
        <v>2</v>
      </c>
      <c r="D84" s="77">
        <v>33829</v>
      </c>
      <c r="E84" s="76" t="s">
        <v>22</v>
      </c>
      <c r="F84" s="76">
        <v>2</v>
      </c>
      <c r="G84" s="257">
        <v>9</v>
      </c>
      <c r="H84" s="76" t="s">
        <v>211</v>
      </c>
      <c r="I84" s="76">
        <v>2.1999999999999999E-2</v>
      </c>
      <c r="J84" s="76">
        <v>1</v>
      </c>
      <c r="L84" s="76">
        <v>9</v>
      </c>
      <c r="M84" s="76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MAP</vt:lpstr>
      <vt:lpstr>SUMMARY</vt:lpstr>
      <vt:lpstr>SDT-Station1 </vt:lpstr>
      <vt:lpstr>DO-TEMP</vt:lpstr>
      <vt:lpstr>TP-Station 1 </vt:lpstr>
      <vt:lpstr>CHL-A</vt:lpstr>
      <vt:lpstr>BasicChem</vt:lpstr>
      <vt:lpstr>SDT-Stations2&amp;3</vt:lpstr>
      <vt:lpstr>TP -Stations 2&amp;3</vt:lpstr>
      <vt:lpstr>'SDT-Stations2&amp;3'!ExGen</vt:lpstr>
      <vt:lpstr>ExGen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Linda C;J. Jespersen</dc:creator>
  <cp:lastModifiedBy>Danielle Wain</cp:lastModifiedBy>
  <cp:lastPrinted>2020-04-14T20:46:43Z</cp:lastPrinted>
  <dcterms:created xsi:type="dcterms:W3CDTF">2020-03-21T15:09:03Z</dcterms:created>
  <dcterms:modified xsi:type="dcterms:W3CDTF">2021-02-02T22:19:10Z</dcterms:modified>
</cp:coreProperties>
</file>