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ffice-domain.local\public\SJDC_USR\1_お客サ&amp;営開&amp;資産サ\1_お客サ&amp;資産サ\2_事業主対応\09.選択制\シミュレーションシート\2024\"/>
    </mc:Choice>
  </mc:AlternateContent>
  <bookViews>
    <workbookView xWindow="-120" yWindow="-120" windowWidth="29040" windowHeight="15840"/>
  </bookViews>
  <sheets>
    <sheet name="①入力シート" sheetId="6" r:id="rId1"/>
    <sheet name="②詳細シート" sheetId="4" r:id="rId2"/>
    <sheet name="算定基礎" sheetId="5" state="hidden" r:id="rId3"/>
    <sheet name="基礎データ" sheetId="1" state="hidden" r:id="rId4"/>
    <sheet name="社保データ" sheetId="2" state="hidden" r:id="rId5"/>
  </sheets>
  <definedNames>
    <definedName name="HGP創英角ｺﾞｼｯｸUB">算定基礎!$D$4:$D$87</definedName>
    <definedName name="_xlnm.Print_Area" localSheetId="0">①入力シート!$B$1:$H$27</definedName>
    <definedName name="_xlnm.Print_Area" localSheetId="1">②詳細シート!$A$1:$J$46</definedName>
    <definedName name="_xlnm.Print_Area" localSheetId="2">算定基礎!$A$1:$H$95</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R50" i="2" l="1"/>
  <c r="O50" i="2"/>
  <c r="R49" i="2"/>
  <c r="O49" i="2"/>
  <c r="R48" i="2"/>
  <c r="O48" i="2"/>
  <c r="R47" i="2"/>
  <c r="O47" i="2"/>
  <c r="R46" i="2"/>
  <c r="O46" i="2"/>
  <c r="R45" i="2"/>
  <c r="O45" i="2"/>
  <c r="R44" i="2"/>
  <c r="O44" i="2"/>
  <c r="R43" i="2"/>
  <c r="O43" i="2"/>
  <c r="R42" i="2"/>
  <c r="O42" i="2"/>
  <c r="R41" i="2"/>
  <c r="O41" i="2"/>
  <c r="R40" i="2"/>
  <c r="O40" i="2"/>
  <c r="R39" i="2"/>
  <c r="O39" i="2"/>
  <c r="R38" i="2"/>
  <c r="O38" i="2"/>
  <c r="R37" i="2"/>
  <c r="O37" i="2"/>
  <c r="R36" i="2"/>
  <c r="O36" i="2"/>
  <c r="R35" i="2"/>
  <c r="O35" i="2"/>
  <c r="R34" i="2"/>
  <c r="O34" i="2"/>
  <c r="R33" i="2"/>
  <c r="O33" i="2"/>
  <c r="R32" i="2"/>
  <c r="O32" i="2"/>
  <c r="R31" i="2"/>
  <c r="O31" i="2"/>
  <c r="R30" i="2"/>
  <c r="O30" i="2"/>
  <c r="R29" i="2"/>
  <c r="O29" i="2"/>
  <c r="R28" i="2"/>
  <c r="O28" i="2"/>
  <c r="R27" i="2"/>
  <c r="O27" i="2"/>
  <c r="R26" i="2"/>
  <c r="O26" i="2"/>
  <c r="R25" i="2"/>
  <c r="O25" i="2"/>
  <c r="R24" i="2"/>
  <c r="O24" i="2"/>
  <c r="R23" i="2"/>
  <c r="O23" i="2"/>
  <c r="R22" i="2"/>
  <c r="O22" i="2"/>
  <c r="R21" i="2"/>
  <c r="O21" i="2"/>
  <c r="R20" i="2"/>
  <c r="O20" i="2"/>
  <c r="R19" i="2"/>
  <c r="O19" i="2"/>
  <c r="R18" i="2"/>
  <c r="O18" i="2"/>
  <c r="R17" i="2"/>
  <c r="O17" i="2"/>
  <c r="R16" i="2"/>
  <c r="O16" i="2"/>
  <c r="R15" i="2"/>
  <c r="O15" i="2"/>
  <c r="R14" i="2"/>
  <c r="O14" i="2"/>
  <c r="R13" i="2"/>
  <c r="O13" i="2"/>
  <c r="R12" i="2"/>
  <c r="O12" i="2"/>
  <c r="R11" i="2"/>
  <c r="O11" i="2"/>
  <c r="R10" i="2"/>
  <c r="O10" i="2"/>
  <c r="R9" i="2"/>
  <c r="O9" i="2"/>
  <c r="R8" i="2"/>
  <c r="O8" i="2"/>
  <c r="R7" i="2"/>
  <c r="O7" i="2"/>
  <c r="R6" i="2"/>
  <c r="O6" i="2"/>
  <c r="R5" i="2"/>
  <c r="O5" i="2"/>
  <c r="R4" i="2"/>
  <c r="O4" i="2"/>
  <c r="I11" i="2" l="1"/>
  <c r="H11" i="2"/>
  <c r="I10" i="2"/>
  <c r="H10" i="2"/>
  <c r="D2" i="2" l="1"/>
  <c r="E2" i="2" l="1"/>
  <c r="J2" i="2" l="1"/>
  <c r="I2" i="2"/>
  <c r="H2" i="2"/>
  <c r="D12" i="1"/>
  <c r="D11" i="1"/>
  <c r="D10" i="1"/>
  <c r="D9" i="1"/>
  <c r="D8" i="1"/>
  <c r="D7" i="1"/>
  <c r="D6" i="1"/>
  <c r="D5" i="1"/>
  <c r="W8" i="1" l="1"/>
  <c r="V8" i="1"/>
  <c r="W5" i="1"/>
  <c r="J19" i="2"/>
  <c r="I19" i="2"/>
  <c r="H19" i="2"/>
  <c r="J14" i="2"/>
  <c r="I14" i="2"/>
  <c r="H14" i="2"/>
  <c r="J8" i="2"/>
  <c r="I8" i="2"/>
  <c r="H8" i="2"/>
  <c r="G15" i="4" l="1"/>
  <c r="D13" i="5" l="1"/>
  <c r="D59" i="5" s="1"/>
  <c r="D89" i="5" l="1"/>
  <c r="D5" i="5"/>
  <c r="D4" i="5"/>
  <c r="D91" i="5" l="1"/>
  <c r="D90" i="5"/>
  <c r="D6" i="5"/>
  <c r="E15" i="4" s="1"/>
  <c r="D15" i="5"/>
  <c r="D14" i="5"/>
  <c r="F8" i="4"/>
  <c r="D92" i="5" l="1"/>
  <c r="D93" i="5" s="1"/>
  <c r="D94" i="5" s="1"/>
  <c r="D16" i="5"/>
  <c r="D22" i="5"/>
  <c r="D24" i="5" s="1"/>
  <c r="D18" i="5"/>
  <c r="C8" i="4"/>
  <c r="D74" i="5" l="1"/>
  <c r="D20" i="5"/>
  <c r="C34" i="4" s="1"/>
  <c r="D19" i="5"/>
  <c r="D23" i="5"/>
  <c r="F34" i="4"/>
  <c r="C4" i="6"/>
  <c r="B7" i="4" s="1"/>
  <c r="D95" i="5" l="1"/>
  <c r="D15" i="6"/>
  <c r="G14" i="4"/>
  <c r="X8" i="1" s="1"/>
  <c r="G13" i="4"/>
  <c r="V6" i="1" s="1"/>
  <c r="X4" i="1" l="1"/>
  <c r="X7" i="1"/>
  <c r="X6" i="1"/>
  <c r="G26" i="6"/>
  <c r="F15" i="6"/>
  <c r="E14" i="4"/>
  <c r="E13" i="4"/>
  <c r="C11" i="4"/>
  <c r="F11" i="4" s="1"/>
  <c r="C9" i="4"/>
  <c r="F10" i="4" s="1"/>
  <c r="C10" i="4"/>
  <c r="F9" i="4" s="1"/>
  <c r="G37" i="4" l="1"/>
  <c r="G38" i="4" s="1"/>
  <c r="C17" i="6"/>
  <c r="J12" i="1" l="1"/>
  <c r="U2" i="1" l="1"/>
  <c r="D38" i="5" l="1"/>
  <c r="D54" i="5"/>
  <c r="D28" i="5"/>
  <c r="E25" i="4" s="1"/>
  <c r="D44" i="5"/>
  <c r="F25" i="4" s="1"/>
  <c r="D30" i="5"/>
  <c r="E27" i="4" s="1"/>
  <c r="D46" i="5"/>
  <c r="F27" i="4" s="1"/>
  <c r="D51" i="5"/>
  <c r="D35" i="5"/>
  <c r="B42" i="4"/>
  <c r="W6" i="1"/>
  <c r="G27" i="4" l="1"/>
  <c r="D52" i="5"/>
  <c r="D36" i="5"/>
  <c r="G25" i="4"/>
  <c r="M14" i="1"/>
  <c r="J10" i="2"/>
  <c r="V7" i="1" s="1"/>
  <c r="J4" i="2"/>
  <c r="V4" i="1" s="1"/>
  <c r="I4" i="2"/>
  <c r="I5" i="2" s="1"/>
  <c r="H4" i="2"/>
  <c r="H5" i="2" s="1"/>
  <c r="Q52" i="1"/>
  <c r="Q51" i="1"/>
  <c r="Q50" i="1"/>
  <c r="Q49" i="1"/>
  <c r="Q48" i="1"/>
  <c r="Q47" i="1"/>
  <c r="Q46" i="1"/>
  <c r="Q45" i="1"/>
  <c r="Q44" i="1"/>
  <c r="Q43" i="1"/>
  <c r="Q42" i="1"/>
  <c r="Q41" i="1"/>
  <c r="Q40" i="1"/>
  <c r="Q39" i="1"/>
  <c r="Q38" i="1"/>
  <c r="Q37" i="1"/>
  <c r="Q36" i="1"/>
  <c r="Q35" i="1"/>
  <c r="Q34" i="1"/>
  <c r="Q33" i="1"/>
  <c r="Q32" i="1"/>
  <c r="Q31" i="1"/>
  <c r="Q30" i="1"/>
  <c r="Q29" i="1"/>
  <c r="Q28" i="1"/>
  <c r="Q27" i="1"/>
  <c r="M27" i="1"/>
  <c r="L27" i="1"/>
  <c r="Q26" i="1"/>
  <c r="Q25" i="1"/>
  <c r="Q24" i="1"/>
  <c r="Q23" i="1"/>
  <c r="Q22" i="1"/>
  <c r="D30" i="1"/>
  <c r="Q21" i="1"/>
  <c r="D29" i="1"/>
  <c r="Q20" i="1"/>
  <c r="E28" i="1"/>
  <c r="Q19" i="1"/>
  <c r="D27" i="1"/>
  <c r="Q18" i="1"/>
  <c r="E26" i="1"/>
  <c r="Q17" i="1"/>
  <c r="Q16" i="1"/>
  <c r="Q15" i="1"/>
  <c r="Q14" i="1"/>
  <c r="Q13" i="1"/>
  <c r="Q12" i="1"/>
  <c r="Q11" i="1"/>
  <c r="Q10" i="1"/>
  <c r="Q9" i="1"/>
  <c r="Q8" i="1"/>
  <c r="K8" i="1"/>
  <c r="Q7" i="1"/>
  <c r="K7" i="1"/>
  <c r="Q6" i="1"/>
  <c r="K6" i="1"/>
  <c r="Q5" i="1"/>
  <c r="K5" i="1"/>
  <c r="Q4" i="1"/>
  <c r="K4" i="1"/>
  <c r="D45" i="5" l="1"/>
  <c r="F26" i="4" s="1"/>
  <c r="D29" i="5"/>
  <c r="E26" i="4" s="1"/>
  <c r="F31" i="5"/>
  <c r="E28" i="4" s="1"/>
  <c r="L13" i="1"/>
  <c r="D27" i="5"/>
  <c r="E24" i="4" s="1"/>
  <c r="D43" i="5"/>
  <c r="F24" i="4" s="1"/>
  <c r="F47" i="5"/>
  <c r="F28" i="4" s="1"/>
  <c r="J5" i="2"/>
  <c r="W4" i="1" s="1"/>
  <c r="J11" i="2"/>
  <c r="W7" i="1" s="1"/>
  <c r="E27" i="1"/>
  <c r="M33" i="1"/>
  <c r="L33" i="1"/>
  <c r="E30" i="1"/>
  <c r="D26" i="1"/>
  <c r="E29" i="1"/>
  <c r="D28" i="1"/>
  <c r="G28" i="4" l="1"/>
  <c r="G26" i="4"/>
  <c r="D53" i="5"/>
  <c r="D37" i="5"/>
  <c r="D32" i="5"/>
  <c r="D60" i="5" s="1"/>
  <c r="D81" i="5"/>
  <c r="D66" i="5"/>
  <c r="D61" i="5"/>
  <c r="D76" i="5"/>
  <c r="F55" i="5"/>
  <c r="F39" i="5"/>
  <c r="D34" i="5"/>
  <c r="D50" i="5"/>
  <c r="D48" i="5"/>
  <c r="D75" i="5" s="1"/>
  <c r="D78" i="5" s="1"/>
  <c r="D79" i="5" s="1"/>
  <c r="D80" i="5" s="1"/>
  <c r="W9" i="1"/>
  <c r="G24" i="4"/>
  <c r="V9" i="1"/>
  <c r="D31" i="1"/>
  <c r="E31" i="1"/>
  <c r="L36" i="1"/>
  <c r="E29" i="4" l="1"/>
  <c r="G29" i="4"/>
  <c r="D68" i="5"/>
  <c r="D69" i="5" s="1"/>
  <c r="D63" i="5"/>
  <c r="D64" i="5" s="1"/>
  <c r="D65" i="5" s="1"/>
  <c r="E30" i="4" s="1"/>
  <c r="D83" i="5"/>
  <c r="D85" i="5" s="1"/>
  <c r="D56" i="5"/>
  <c r="F29" i="4"/>
  <c r="D40" i="5"/>
  <c r="B41" i="4"/>
  <c r="E20" i="6"/>
  <c r="F30" i="4"/>
  <c r="D70" i="5" l="1"/>
  <c r="D71" i="5" s="1"/>
  <c r="E31" i="4" s="1"/>
  <c r="D84" i="5"/>
  <c r="D86" i="5" s="1"/>
  <c r="F31" i="4" s="1"/>
  <c r="G30" i="4"/>
  <c r="G31" i="4" l="1"/>
  <c r="G32" i="4" s="1"/>
  <c r="D87" i="5"/>
  <c r="F32" i="4" s="1"/>
  <c r="D72" i="5"/>
  <c r="E32" i="4" s="1"/>
  <c r="E21" i="6" l="1"/>
  <c r="E23" i="6" s="1"/>
  <c r="G33" i="4"/>
  <c r="I34" i="4" s="1"/>
  <c r="I37" i="4" s="1"/>
</calcChain>
</file>

<file path=xl/sharedStrings.xml><?xml version="1.0" encoding="utf-8"?>
<sst xmlns="http://schemas.openxmlformats.org/spreadsheetml/2006/main" count="566" uniqueCount="284">
  <si>
    <t>給与所得額算出</t>
    <rPh sb="0" eb="2">
      <t>キュウヨ</t>
    </rPh>
    <rPh sb="2" eb="4">
      <t>ショトク</t>
    </rPh>
    <rPh sb="4" eb="5">
      <t>ガク</t>
    </rPh>
    <rPh sb="5" eb="7">
      <t>サンシュツ</t>
    </rPh>
    <phoneticPr fontId="3"/>
  </si>
  <si>
    <t>所得税額表</t>
    <rPh sb="0" eb="2">
      <t>ショトク</t>
    </rPh>
    <rPh sb="2" eb="3">
      <t>ゼイ</t>
    </rPh>
    <rPh sb="3" eb="4">
      <t>ガク</t>
    </rPh>
    <rPh sb="4" eb="5">
      <t>ヒョウ</t>
    </rPh>
    <phoneticPr fontId="3"/>
  </si>
  <si>
    <t>標準報酬月額表</t>
    <rPh sb="0" eb="2">
      <t>ヒョウジュン</t>
    </rPh>
    <rPh sb="2" eb="4">
      <t>ホウシュウ</t>
    </rPh>
    <rPh sb="4" eb="6">
      <t>ゲツガク</t>
    </rPh>
    <rPh sb="6" eb="7">
      <t>ヒョウ</t>
    </rPh>
    <phoneticPr fontId="3"/>
  </si>
  <si>
    <t>収入金額の範囲</t>
    <rPh sb="0" eb="2">
      <t>シュウニュウ</t>
    </rPh>
    <rPh sb="2" eb="4">
      <t>キンガク</t>
    </rPh>
    <rPh sb="5" eb="7">
      <t>ハンイ</t>
    </rPh>
    <phoneticPr fontId="3"/>
  </si>
  <si>
    <t>圧縮率</t>
    <rPh sb="0" eb="2">
      <t>アッシュク</t>
    </rPh>
    <rPh sb="2" eb="3">
      <t>リツ</t>
    </rPh>
    <phoneticPr fontId="3"/>
  </si>
  <si>
    <t>乗率</t>
    <rPh sb="0" eb="2">
      <t>ジョウリツ</t>
    </rPh>
    <phoneticPr fontId="3"/>
  </si>
  <si>
    <t>控除額</t>
    <rPh sb="0" eb="2">
      <t>コウジョ</t>
    </rPh>
    <rPh sb="2" eb="3">
      <t>ガク</t>
    </rPh>
    <phoneticPr fontId="3"/>
  </si>
  <si>
    <t>所得金額の範囲</t>
    <rPh sb="0" eb="2">
      <t>ショトク</t>
    </rPh>
    <rPh sb="2" eb="4">
      <t>キンガク</t>
    </rPh>
    <rPh sb="5" eb="7">
      <t>ハンイ</t>
    </rPh>
    <phoneticPr fontId="3"/>
  </si>
  <si>
    <t>加算額</t>
    <rPh sb="0" eb="2">
      <t>カサン</t>
    </rPh>
    <rPh sb="2" eb="3">
      <t>ガク</t>
    </rPh>
    <phoneticPr fontId="3"/>
  </si>
  <si>
    <t>範囲</t>
    <rPh sb="0" eb="2">
      <t>ハンイ</t>
    </rPh>
    <phoneticPr fontId="3"/>
  </si>
  <si>
    <t>厚生年金</t>
    <rPh sb="0" eb="2">
      <t>コウセイ</t>
    </rPh>
    <rPh sb="2" eb="4">
      <t>ネンキン</t>
    </rPh>
    <phoneticPr fontId="3"/>
  </si>
  <si>
    <t>ケンポ</t>
    <phoneticPr fontId="3"/>
  </si>
  <si>
    <t>社会保険料率</t>
    <rPh sb="0" eb="2">
      <t>シャカイ</t>
    </rPh>
    <rPh sb="2" eb="4">
      <t>ホケン</t>
    </rPh>
    <rPh sb="4" eb="5">
      <t>リョウ</t>
    </rPh>
    <rPh sb="5" eb="6">
      <t>リツ</t>
    </rPh>
    <phoneticPr fontId="3"/>
  </si>
  <si>
    <t>被保険者</t>
    <rPh sb="0" eb="1">
      <t>ヒ</t>
    </rPh>
    <rPh sb="1" eb="3">
      <t>ホケン</t>
    </rPh>
    <rPh sb="3" eb="4">
      <t>シャ</t>
    </rPh>
    <phoneticPr fontId="3"/>
  </si>
  <si>
    <t>事業主</t>
    <rPh sb="0" eb="3">
      <t>ジギョウヌシ</t>
    </rPh>
    <phoneticPr fontId="3"/>
  </si>
  <si>
    <t>備考</t>
    <rPh sb="0" eb="2">
      <t>ビコウ</t>
    </rPh>
    <phoneticPr fontId="3"/>
  </si>
  <si>
    <t>～</t>
    <phoneticPr fontId="3"/>
  </si>
  <si>
    <t>～</t>
    <phoneticPr fontId="3"/>
  </si>
  <si>
    <t>厚生年金保険料</t>
    <rPh sb="0" eb="2">
      <t>コウセイ</t>
    </rPh>
    <rPh sb="2" eb="4">
      <t>ネンキン</t>
    </rPh>
    <rPh sb="4" eb="7">
      <t>ホケンリョウ</t>
    </rPh>
    <phoneticPr fontId="3"/>
  </si>
  <si>
    <t>～</t>
    <phoneticPr fontId="3"/>
  </si>
  <si>
    <t>子供子育て拠出金</t>
    <rPh sb="0" eb="2">
      <t>コドモ</t>
    </rPh>
    <phoneticPr fontId="3"/>
  </si>
  <si>
    <t>健康保険料率</t>
    <rPh sb="0" eb="2">
      <t>ケンコウ</t>
    </rPh>
    <rPh sb="2" eb="4">
      <t>ホケン</t>
    </rPh>
    <rPh sb="4" eb="5">
      <t>リョウ</t>
    </rPh>
    <rPh sb="5" eb="6">
      <t>リツ</t>
    </rPh>
    <phoneticPr fontId="3"/>
  </si>
  <si>
    <t>介護保険料率</t>
    <rPh sb="0" eb="2">
      <t>カイゴ</t>
    </rPh>
    <rPh sb="2" eb="4">
      <t>ホケン</t>
    </rPh>
    <rPh sb="4" eb="5">
      <t>リョウ</t>
    </rPh>
    <rPh sb="5" eb="6">
      <t>リツ</t>
    </rPh>
    <phoneticPr fontId="3"/>
  </si>
  <si>
    <t>雇用保険料率</t>
    <rPh sb="0" eb="2">
      <t>コヨウ</t>
    </rPh>
    <rPh sb="2" eb="4">
      <t>ホケン</t>
    </rPh>
    <rPh sb="4" eb="5">
      <t>リョウ</t>
    </rPh>
    <rPh sb="5" eb="6">
      <t>リツ</t>
    </rPh>
    <phoneticPr fontId="3"/>
  </si>
  <si>
    <t>合　計</t>
    <rPh sb="0" eb="1">
      <t>ア</t>
    </rPh>
    <rPh sb="2" eb="3">
      <t>ケイ</t>
    </rPh>
    <phoneticPr fontId="3"/>
  </si>
  <si>
    <t>復興所得税率</t>
    <rPh sb="0" eb="2">
      <t>フッコウ</t>
    </rPh>
    <rPh sb="2" eb="4">
      <t>ショトク</t>
    </rPh>
    <rPh sb="4" eb="6">
      <t>ゼイリツ</t>
    </rPh>
    <phoneticPr fontId="3"/>
  </si>
  <si>
    <t>所得割</t>
    <rPh sb="0" eb="2">
      <t>ショトク</t>
    </rPh>
    <rPh sb="2" eb="3">
      <t>ワリ</t>
    </rPh>
    <phoneticPr fontId="3"/>
  </si>
  <si>
    <t>均等割</t>
    <rPh sb="0" eb="3">
      <t>キントウワ</t>
    </rPh>
    <phoneticPr fontId="3"/>
  </si>
  <si>
    <t>人的控除基礎額</t>
    <rPh sb="0" eb="2">
      <t>ジンテキ</t>
    </rPh>
    <rPh sb="2" eb="4">
      <t>コウジョ</t>
    </rPh>
    <rPh sb="4" eb="6">
      <t>キソ</t>
    </rPh>
    <rPh sb="6" eb="7">
      <t>ガク</t>
    </rPh>
    <phoneticPr fontId="3"/>
  </si>
  <si>
    <t>生命保険料控除</t>
    <rPh sb="0" eb="2">
      <t>セイメイ</t>
    </rPh>
    <rPh sb="2" eb="4">
      <t>ホケン</t>
    </rPh>
    <rPh sb="4" eb="5">
      <t>リョウ</t>
    </rPh>
    <rPh sb="5" eb="7">
      <t>コウジョ</t>
    </rPh>
    <phoneticPr fontId="3"/>
  </si>
  <si>
    <t>所得税</t>
    <rPh sb="0" eb="2">
      <t>ショトク</t>
    </rPh>
    <rPh sb="2" eb="3">
      <t>ゼイ</t>
    </rPh>
    <phoneticPr fontId="3"/>
  </si>
  <si>
    <t>住民税</t>
    <rPh sb="0" eb="2">
      <t>ジュウミン</t>
    </rPh>
    <rPh sb="2" eb="3">
      <t>ゼイ</t>
    </rPh>
    <phoneticPr fontId="3"/>
  </si>
  <si>
    <t>新生命保険料の額</t>
    <phoneticPr fontId="3"/>
  </si>
  <si>
    <t>基礎控除</t>
    <rPh sb="0" eb="2">
      <t>キソ</t>
    </rPh>
    <rPh sb="2" eb="4">
      <t>コウジョ</t>
    </rPh>
    <phoneticPr fontId="3"/>
  </si>
  <si>
    <t>旧生命保険料の額</t>
    <rPh sb="0" eb="1">
      <t>キュウ</t>
    </rPh>
    <phoneticPr fontId="3"/>
  </si>
  <si>
    <t>配偶者控除</t>
    <rPh sb="0" eb="3">
      <t>ハイグウシャ</t>
    </rPh>
    <rPh sb="3" eb="5">
      <t>コウジョ</t>
    </rPh>
    <phoneticPr fontId="3"/>
  </si>
  <si>
    <t>介護医療保険料の額</t>
    <rPh sb="0" eb="2">
      <t>カイゴ</t>
    </rPh>
    <rPh sb="2" eb="4">
      <t>イリョウ</t>
    </rPh>
    <phoneticPr fontId="3"/>
  </si>
  <si>
    <t>一般扶養控除</t>
    <rPh sb="0" eb="2">
      <t>イッパン</t>
    </rPh>
    <rPh sb="2" eb="4">
      <t>フヨウ</t>
    </rPh>
    <rPh sb="4" eb="6">
      <t>コウジョ</t>
    </rPh>
    <phoneticPr fontId="3"/>
  </si>
  <si>
    <t>新個人年金保険料の額</t>
    <rPh sb="1" eb="3">
      <t>コジン</t>
    </rPh>
    <rPh sb="3" eb="5">
      <t>ネンキン</t>
    </rPh>
    <rPh sb="5" eb="7">
      <t>ホケン</t>
    </rPh>
    <rPh sb="7" eb="8">
      <t>リョウ</t>
    </rPh>
    <phoneticPr fontId="3"/>
  </si>
  <si>
    <t>特定扶養控除</t>
    <rPh sb="0" eb="2">
      <t>トクテイ</t>
    </rPh>
    <rPh sb="2" eb="4">
      <t>フヨウ</t>
    </rPh>
    <rPh sb="4" eb="6">
      <t>コウジョ</t>
    </rPh>
    <phoneticPr fontId="3"/>
  </si>
  <si>
    <t>旧個人年金保険料の額</t>
    <rPh sb="0" eb="1">
      <t>キュウ</t>
    </rPh>
    <rPh sb="1" eb="3">
      <t>コジン</t>
    </rPh>
    <rPh sb="3" eb="5">
      <t>ネンキン</t>
    </rPh>
    <rPh sb="5" eb="7">
      <t>ホケン</t>
    </rPh>
    <rPh sb="7" eb="8">
      <t>リョウ</t>
    </rPh>
    <phoneticPr fontId="3"/>
  </si>
  <si>
    <t>同居老親等</t>
    <rPh sb="0" eb="2">
      <t>ドウキョ</t>
    </rPh>
    <rPh sb="2" eb="3">
      <t>ロウ</t>
    </rPh>
    <rPh sb="3" eb="5">
      <t>シントウ</t>
    </rPh>
    <phoneticPr fontId="3"/>
  </si>
  <si>
    <t>老人控除</t>
    <rPh sb="0" eb="2">
      <t>ロウジン</t>
    </rPh>
    <rPh sb="2" eb="4">
      <t>コウジョ</t>
    </rPh>
    <phoneticPr fontId="3"/>
  </si>
  <si>
    <t>生命保険料控除額</t>
    <rPh sb="0" eb="2">
      <t>セイメイ</t>
    </rPh>
    <rPh sb="2" eb="4">
      <t>ホケン</t>
    </rPh>
    <rPh sb="4" eb="5">
      <t>リョウ</t>
    </rPh>
    <rPh sb="5" eb="7">
      <t>コウジョ</t>
    </rPh>
    <rPh sb="7" eb="8">
      <t>ガク</t>
    </rPh>
    <phoneticPr fontId="3"/>
  </si>
  <si>
    <t>人的控除額</t>
    <rPh sb="0" eb="2">
      <t>ジンテキ</t>
    </rPh>
    <rPh sb="2" eb="4">
      <t>コウジョ</t>
    </rPh>
    <rPh sb="4" eb="5">
      <t>ガク</t>
    </rPh>
    <phoneticPr fontId="3"/>
  </si>
  <si>
    <t>新生命保険</t>
    <rPh sb="0" eb="1">
      <t>シン</t>
    </rPh>
    <rPh sb="1" eb="3">
      <t>セイメイ</t>
    </rPh>
    <rPh sb="3" eb="5">
      <t>ホケン</t>
    </rPh>
    <phoneticPr fontId="3"/>
  </si>
  <si>
    <t>旧生命保険</t>
    <rPh sb="0" eb="1">
      <t>キュウ</t>
    </rPh>
    <rPh sb="1" eb="3">
      <t>セイメイ</t>
    </rPh>
    <rPh sb="3" eb="5">
      <t>ホケン</t>
    </rPh>
    <phoneticPr fontId="3"/>
  </si>
  <si>
    <t>介護医療</t>
    <rPh sb="0" eb="2">
      <t>カイゴ</t>
    </rPh>
    <rPh sb="2" eb="4">
      <t>イリョウ</t>
    </rPh>
    <phoneticPr fontId="3"/>
  </si>
  <si>
    <t>新個人年金</t>
    <rPh sb="0" eb="1">
      <t>シン</t>
    </rPh>
    <rPh sb="1" eb="3">
      <t>コジン</t>
    </rPh>
    <rPh sb="3" eb="5">
      <t>ネンキン</t>
    </rPh>
    <phoneticPr fontId="3"/>
  </si>
  <si>
    <t>旧個人年金</t>
    <rPh sb="0" eb="1">
      <t>キュウ</t>
    </rPh>
    <rPh sb="1" eb="3">
      <t>コジン</t>
    </rPh>
    <rPh sb="3" eb="5">
      <t>ネンキン</t>
    </rPh>
    <phoneticPr fontId="3"/>
  </si>
  <si>
    <t>合　　計</t>
    <rPh sb="0" eb="1">
      <t>ア</t>
    </rPh>
    <rPh sb="3" eb="4">
      <t>ケイ</t>
    </rPh>
    <phoneticPr fontId="3"/>
  </si>
  <si>
    <t>計</t>
    <rPh sb="0" eb="1">
      <t>ケイ</t>
    </rPh>
    <phoneticPr fontId="3"/>
  </si>
  <si>
    <t>～</t>
    <phoneticPr fontId="3"/>
  </si>
  <si>
    <t>住民税調整控除基礎額</t>
    <rPh sb="0" eb="2">
      <t>ジュウミン</t>
    </rPh>
    <rPh sb="2" eb="3">
      <t>ゼイ</t>
    </rPh>
    <rPh sb="3" eb="5">
      <t>チョウセイ</t>
    </rPh>
    <rPh sb="5" eb="7">
      <t>コウジョ</t>
    </rPh>
    <rPh sb="7" eb="9">
      <t>キソ</t>
    </rPh>
    <rPh sb="9" eb="10">
      <t>ガク</t>
    </rPh>
    <phoneticPr fontId="3"/>
  </si>
  <si>
    <t>健保料率（標準報酬月額&lt;健保&gt;比例）</t>
    <rPh sb="0" eb="2">
      <t>ケンポ</t>
    </rPh>
    <rPh sb="2" eb="4">
      <t>リョウリツ</t>
    </rPh>
    <rPh sb="12" eb="14">
      <t>ケンポ</t>
    </rPh>
    <phoneticPr fontId="3"/>
  </si>
  <si>
    <t>厚生年金保険料率（標準報酬月額&lt;厚年&gt;比例）</t>
    <rPh sb="9" eb="11">
      <t>ヒョウジュン</t>
    </rPh>
    <rPh sb="11" eb="13">
      <t>ホウシュウ</t>
    </rPh>
    <rPh sb="13" eb="15">
      <t>ゲツガク</t>
    </rPh>
    <rPh sb="16" eb="18">
      <t>コウネン</t>
    </rPh>
    <rPh sb="19" eb="21">
      <t>ヒレイ</t>
    </rPh>
    <phoneticPr fontId="3"/>
  </si>
  <si>
    <t>住民税データ</t>
    <rPh sb="0" eb="3">
      <t>ジュウミンゼイ</t>
    </rPh>
    <phoneticPr fontId="3"/>
  </si>
  <si>
    <t>都道府県</t>
    <phoneticPr fontId="3"/>
  </si>
  <si>
    <t>均等割</t>
    <phoneticPr fontId="3"/>
  </si>
  <si>
    <t>所得割</t>
    <phoneticPr fontId="3"/>
  </si>
  <si>
    <t>超過課税詳細</t>
    <phoneticPr fontId="3"/>
  </si>
  <si>
    <t>北海道</t>
  </si>
  <si>
    <t>合計</t>
    <rPh sb="0" eb="2">
      <t>ゴウケイ</t>
    </rPh>
    <phoneticPr fontId="3"/>
  </si>
  <si>
    <t>都道府県</t>
  </si>
  <si>
    <t>市町村</t>
  </si>
  <si>
    <t>青森県</t>
  </si>
  <si>
    <t>被保険者</t>
    <rPh sb="0" eb="4">
      <t>ヒホケンシャ</t>
    </rPh>
    <phoneticPr fontId="3"/>
  </si>
  <si>
    <t>1,500円</t>
  </si>
  <si>
    <t>3,500円</t>
  </si>
  <si>
    <t>岩手県</t>
  </si>
  <si>
    <t>宮城県</t>
  </si>
  <si>
    <t>2,500円</t>
  </si>
  <si>
    <t>いわての森林づくり県民税 1,000円</t>
  </si>
  <si>
    <t>秋田県</t>
  </si>
  <si>
    <t>介護保健料率（標準報酬月額&lt;健保&gt;比例）</t>
    <rPh sb="0" eb="2">
      <t>カイゴ</t>
    </rPh>
    <rPh sb="2" eb="4">
      <t>ホケン</t>
    </rPh>
    <rPh sb="4" eb="6">
      <t>リョウリツ</t>
    </rPh>
    <rPh sb="14" eb="16">
      <t>ケンポ</t>
    </rPh>
    <phoneticPr fontId="3"/>
  </si>
  <si>
    <t>2,700円</t>
  </si>
  <si>
    <t>山形県</t>
  </si>
  <si>
    <t>2,300円</t>
  </si>
  <si>
    <t>秋田県水と緑の森づくり税 800円</t>
  </si>
  <si>
    <t>福島県</t>
  </si>
  <si>
    <t>やまがた緑環境税 1,000円</t>
  </si>
  <si>
    <t>茨城県</t>
  </si>
  <si>
    <t>森林環境税 1,000円</t>
  </si>
  <si>
    <t>栃木県</t>
  </si>
  <si>
    <t>森林湖沼環境税 1,000円</t>
  </si>
  <si>
    <t>群馬県</t>
  </si>
  <si>
    <t>2,200円</t>
  </si>
  <si>
    <t>とちぎの元気な森づくり県民税 700円</t>
  </si>
  <si>
    <t>埼玉県</t>
  </si>
  <si>
    <t>雇用保健料率（総支給額比例）</t>
    <rPh sb="0" eb="2">
      <t>コヨウ</t>
    </rPh>
    <rPh sb="2" eb="4">
      <t>ホケン</t>
    </rPh>
    <rPh sb="4" eb="6">
      <t>リョウリツ</t>
    </rPh>
    <rPh sb="7" eb="8">
      <t>ソウ</t>
    </rPh>
    <rPh sb="8" eb="10">
      <t>シキュウ</t>
    </rPh>
    <rPh sb="10" eb="11">
      <t>ガク</t>
    </rPh>
    <rPh sb="11" eb="13">
      <t>ヒレイ</t>
    </rPh>
    <phoneticPr fontId="3"/>
  </si>
  <si>
    <t>ぐんま緑の県民税 700円</t>
  </si>
  <si>
    <t>千葉県</t>
  </si>
  <si>
    <t>東京都</t>
  </si>
  <si>
    <t>神奈川県</t>
  </si>
  <si>
    <t>新潟県</t>
  </si>
  <si>
    <t>1,800円</t>
  </si>
  <si>
    <t>富山県</t>
  </si>
  <si>
    <t>子ども、子育て拠出金（標準報酬月額&lt;厚年&gt;比例）</t>
    <rPh sb="0" eb="1">
      <t>コ</t>
    </rPh>
    <rPh sb="4" eb="6">
      <t>コソダ</t>
    </rPh>
    <rPh sb="7" eb="9">
      <t>キョシュツ</t>
    </rPh>
    <rPh sb="9" eb="10">
      <t>キン</t>
    </rPh>
    <phoneticPr fontId="3"/>
  </si>
  <si>
    <t>石川県</t>
  </si>
  <si>
    <t>2,000円</t>
  </si>
  <si>
    <t>水と緑の森づくり税 500円</t>
  </si>
  <si>
    <t>福井県</t>
  </si>
  <si>
    <t>いしかわ森林環境税 500円</t>
  </si>
  <si>
    <t>山梨県</t>
  </si>
  <si>
    <t>長野県</t>
  </si>
  <si>
    <t>賞与標準掛金上限</t>
    <rPh sb="0" eb="2">
      <t>ショウヨ</t>
    </rPh>
    <rPh sb="2" eb="4">
      <t>ヒョウジュン</t>
    </rPh>
    <rPh sb="4" eb="6">
      <t>カケキン</t>
    </rPh>
    <rPh sb="6" eb="8">
      <t>ジョウゲン</t>
    </rPh>
    <phoneticPr fontId="3"/>
  </si>
  <si>
    <t>森林環境税 500円</t>
  </si>
  <si>
    <t>岐阜県</t>
  </si>
  <si>
    <t>厚年、子ども子育て拠出金：1,500,000円を上限</t>
    <rPh sb="0" eb="2">
      <t>コウネン</t>
    </rPh>
    <rPh sb="22" eb="23">
      <t>エン</t>
    </rPh>
    <rPh sb="24" eb="26">
      <t>ジョウゲン</t>
    </rPh>
    <phoneticPr fontId="3"/>
  </si>
  <si>
    <t>長野県森林づくり県民税 500円</t>
  </si>
  <si>
    <t>静岡県</t>
  </si>
  <si>
    <t>健保関係：年間5,730,000円を上限</t>
    <rPh sb="0" eb="2">
      <t>ケンポ</t>
    </rPh>
    <rPh sb="2" eb="4">
      <t>カンケイ</t>
    </rPh>
    <rPh sb="5" eb="7">
      <t>ネンカン</t>
    </rPh>
    <rPh sb="16" eb="17">
      <t>エン</t>
    </rPh>
    <rPh sb="18" eb="20">
      <t>ジョウゲン</t>
    </rPh>
    <phoneticPr fontId="3"/>
  </si>
  <si>
    <t>清流の国ぎふ森林・環境税 1,000円</t>
  </si>
  <si>
    <t>愛知県</t>
  </si>
  <si>
    <t>1,900円</t>
  </si>
  <si>
    <t>森林（もり）づくり県民税 400円</t>
  </si>
  <si>
    <t>三重県</t>
  </si>
  <si>
    <t>あいち森と緑づくり税 500円</t>
  </si>
  <si>
    <t>滋賀県</t>
  </si>
  <si>
    <t>みえ森と緑の県民税 1,000円</t>
  </si>
  <si>
    <t>京都府</t>
  </si>
  <si>
    <t>琵琶湖森林づくり県民税 800円</t>
  </si>
  <si>
    <t>大阪府</t>
  </si>
  <si>
    <t>兵庫県</t>
  </si>
  <si>
    <t>奈良県</t>
  </si>
  <si>
    <t>県民緑税 800円</t>
  </si>
  <si>
    <t>和歌山県</t>
  </si>
  <si>
    <t>鳥取県</t>
  </si>
  <si>
    <t>紀の国森づくり税 500円</t>
  </si>
  <si>
    <t>島根県</t>
  </si>
  <si>
    <t>岡山県</t>
  </si>
  <si>
    <t>広島県</t>
  </si>
  <si>
    <t>おかやま森づくり県民税 500円</t>
  </si>
  <si>
    <t>山口県</t>
  </si>
  <si>
    <t>ひろしまの森づくり県民税 500円</t>
  </si>
  <si>
    <t>徳島県</t>
  </si>
  <si>
    <t>やまぐち森林づくり県民税 500円</t>
  </si>
  <si>
    <t>香川県</t>
  </si>
  <si>
    <t>愛媛県</t>
  </si>
  <si>
    <t>高知県</t>
  </si>
  <si>
    <t>森林環境税 700円</t>
  </si>
  <si>
    <t>福岡県</t>
  </si>
  <si>
    <t>佐賀県</t>
  </si>
  <si>
    <t>長崎県</t>
  </si>
  <si>
    <t>熊本県</t>
  </si>
  <si>
    <t>ながさき森林環境税 500円</t>
  </si>
  <si>
    <t>大分県</t>
  </si>
  <si>
    <t>水とみどりの森づくり税 500円</t>
  </si>
  <si>
    <t>宮崎県</t>
  </si>
  <si>
    <t>鹿児島県</t>
  </si>
  <si>
    <t>沖縄県</t>
  </si>
  <si>
    <t>　　制度導入に伴う社会保険料及び税金への影響</t>
    <rPh sb="2" eb="4">
      <t>セイド</t>
    </rPh>
    <rPh sb="4" eb="6">
      <t>ドウニュウ</t>
    </rPh>
    <rPh sb="7" eb="8">
      <t>トモナ</t>
    </rPh>
    <rPh sb="9" eb="11">
      <t>シャカイ</t>
    </rPh>
    <rPh sb="11" eb="13">
      <t>ホケン</t>
    </rPh>
    <rPh sb="13" eb="14">
      <t>リョウ</t>
    </rPh>
    <rPh sb="14" eb="15">
      <t>オヨ</t>
    </rPh>
    <rPh sb="16" eb="18">
      <t>ゼイキン</t>
    </rPh>
    <rPh sb="20" eb="22">
      <t>エイキョウ</t>
    </rPh>
    <phoneticPr fontId="12"/>
  </si>
  <si>
    <t>以下の金額を掛金月額として拠出することにより、下表のような軽減効果が見込まれます｡</t>
    <rPh sb="0" eb="2">
      <t>イカ</t>
    </rPh>
    <rPh sb="3" eb="5">
      <t>キンガク</t>
    </rPh>
    <rPh sb="6" eb="8">
      <t>カケキン</t>
    </rPh>
    <rPh sb="8" eb="10">
      <t>ゲツガク</t>
    </rPh>
    <rPh sb="13" eb="15">
      <t>キョシュツ</t>
    </rPh>
    <rPh sb="23" eb="25">
      <t>カヒョウ</t>
    </rPh>
    <rPh sb="29" eb="31">
      <t>ケイゲン</t>
    </rPh>
    <rPh sb="31" eb="33">
      <t>コウカ</t>
    </rPh>
    <rPh sb="34" eb="36">
      <t>ミコ</t>
    </rPh>
    <phoneticPr fontId="12"/>
  </si>
  <si>
    <t>年収変換後</t>
    <rPh sb="0" eb="2">
      <t>ネンシュウ</t>
    </rPh>
    <rPh sb="2" eb="4">
      <t>ヘンカン</t>
    </rPh>
    <rPh sb="4" eb="5">
      <t>ゴ</t>
    </rPh>
    <phoneticPr fontId="12"/>
  </si>
  <si>
    <t>月給総支給額</t>
    <rPh sb="0" eb="2">
      <t>ゲッキュウ</t>
    </rPh>
    <rPh sb="2" eb="3">
      <t>ソウ</t>
    </rPh>
    <rPh sb="3" eb="6">
      <t>シキュウガク</t>
    </rPh>
    <phoneticPr fontId="12"/>
  </si>
  <si>
    <t>年収</t>
    <rPh sb="0" eb="2">
      <t>ネンシュウ</t>
    </rPh>
    <phoneticPr fontId="12"/>
  </si>
  <si>
    <t>月次非課税交通費</t>
    <rPh sb="0" eb="2">
      <t>ゲツジ</t>
    </rPh>
    <rPh sb="2" eb="5">
      <t>ヒカゼイ</t>
    </rPh>
    <rPh sb="5" eb="8">
      <t>コウツウヒ</t>
    </rPh>
    <phoneticPr fontId="12"/>
  </si>
  <si>
    <t>うち年間賞与額</t>
    <rPh sb="2" eb="4">
      <t>ネンカン</t>
    </rPh>
    <rPh sb="4" eb="6">
      <t>ショウヨ</t>
    </rPh>
    <rPh sb="6" eb="7">
      <t>ガク</t>
    </rPh>
    <phoneticPr fontId="12"/>
  </si>
  <si>
    <t>年間賞与額</t>
    <rPh sb="0" eb="2">
      <t>ネンカン</t>
    </rPh>
    <rPh sb="2" eb="4">
      <t>ショウヨ</t>
    </rPh>
    <rPh sb="4" eb="5">
      <t>ガク</t>
    </rPh>
    <phoneticPr fontId="12"/>
  </si>
  <si>
    <t>ＤＣ選択掛金月額</t>
    <rPh sb="2" eb="4">
      <t>センタク</t>
    </rPh>
    <rPh sb="4" eb="6">
      <t>カケキン</t>
    </rPh>
    <rPh sb="6" eb="8">
      <t>ゲツガク</t>
    </rPh>
    <phoneticPr fontId="12"/>
  </si>
  <si>
    <t>地域：</t>
    <rPh sb="0" eb="2">
      <t>チイキ</t>
    </rPh>
    <phoneticPr fontId="3"/>
  </si>
  <si>
    <t>適用年度：</t>
    <rPh sb="0" eb="2">
      <t>テキヨウ</t>
    </rPh>
    <rPh sb="2" eb="4">
      <t>ネンド</t>
    </rPh>
    <phoneticPr fontId="3"/>
  </si>
  <si>
    <t>控除対象配偶者の有無：</t>
    <rPh sb="0" eb="2">
      <t>コウジョ</t>
    </rPh>
    <rPh sb="2" eb="4">
      <t>タイショウ</t>
    </rPh>
    <rPh sb="4" eb="7">
      <t>ハイグウシャ</t>
    </rPh>
    <rPh sb="8" eb="10">
      <t>ウム</t>
    </rPh>
    <phoneticPr fontId="3"/>
  </si>
  <si>
    <t>無</t>
  </si>
  <si>
    <t>新生命保険料の額：</t>
    <rPh sb="0" eb="1">
      <t>シン</t>
    </rPh>
    <rPh sb="1" eb="3">
      <t>セイメイ</t>
    </rPh>
    <rPh sb="3" eb="5">
      <t>ホケン</t>
    </rPh>
    <rPh sb="5" eb="6">
      <t>リョウ</t>
    </rPh>
    <rPh sb="7" eb="8">
      <t>ガク</t>
    </rPh>
    <phoneticPr fontId="3"/>
  </si>
  <si>
    <t>扶養控除対象者の人数：</t>
    <rPh sb="0" eb="2">
      <t>フヨウ</t>
    </rPh>
    <rPh sb="2" eb="4">
      <t>コウジョ</t>
    </rPh>
    <rPh sb="4" eb="6">
      <t>タイショウ</t>
    </rPh>
    <rPh sb="6" eb="7">
      <t>シャ</t>
    </rPh>
    <rPh sb="8" eb="10">
      <t>ニンズウ</t>
    </rPh>
    <phoneticPr fontId="3"/>
  </si>
  <si>
    <t>旧生命保険料の額：</t>
    <rPh sb="0" eb="1">
      <t>キュウ</t>
    </rPh>
    <rPh sb="1" eb="3">
      <t>セイメイ</t>
    </rPh>
    <rPh sb="3" eb="5">
      <t>ホケン</t>
    </rPh>
    <rPh sb="5" eb="6">
      <t>リョウ</t>
    </rPh>
    <rPh sb="7" eb="8">
      <t>ガク</t>
    </rPh>
    <phoneticPr fontId="3"/>
  </si>
  <si>
    <t>特定扶養控除対象者の人数：</t>
    <rPh sb="0" eb="2">
      <t>トクテイ</t>
    </rPh>
    <rPh sb="2" eb="4">
      <t>フヨウ</t>
    </rPh>
    <rPh sb="4" eb="6">
      <t>コウジョ</t>
    </rPh>
    <rPh sb="6" eb="8">
      <t>タイショウ</t>
    </rPh>
    <rPh sb="8" eb="9">
      <t>シャ</t>
    </rPh>
    <rPh sb="10" eb="12">
      <t>ニンズウ</t>
    </rPh>
    <phoneticPr fontId="3"/>
  </si>
  <si>
    <t>介護保険料の額：</t>
    <rPh sb="0" eb="2">
      <t>カイゴ</t>
    </rPh>
    <rPh sb="2" eb="4">
      <t>ホケン</t>
    </rPh>
    <rPh sb="4" eb="5">
      <t>リョウ</t>
    </rPh>
    <rPh sb="6" eb="7">
      <t>ガク</t>
    </rPh>
    <phoneticPr fontId="3"/>
  </si>
  <si>
    <t>老人扶養親族（同居老親等）の人数：</t>
    <rPh sb="0" eb="2">
      <t>ロウジン</t>
    </rPh>
    <rPh sb="2" eb="4">
      <t>フヨウ</t>
    </rPh>
    <rPh sb="4" eb="6">
      <t>シンゾク</t>
    </rPh>
    <rPh sb="7" eb="9">
      <t>ドウキョ</t>
    </rPh>
    <rPh sb="9" eb="10">
      <t>ロウ</t>
    </rPh>
    <rPh sb="10" eb="12">
      <t>シントウ</t>
    </rPh>
    <rPh sb="14" eb="16">
      <t>ニンズウ</t>
    </rPh>
    <phoneticPr fontId="3"/>
  </si>
  <si>
    <t>新個人年金保険料の額：</t>
    <rPh sb="0" eb="1">
      <t>シン</t>
    </rPh>
    <rPh sb="1" eb="3">
      <t>コジン</t>
    </rPh>
    <rPh sb="3" eb="5">
      <t>ネンキン</t>
    </rPh>
    <rPh sb="5" eb="7">
      <t>ホケン</t>
    </rPh>
    <rPh sb="7" eb="8">
      <t>リョウ</t>
    </rPh>
    <rPh sb="9" eb="10">
      <t>ガク</t>
    </rPh>
    <phoneticPr fontId="3"/>
  </si>
  <si>
    <t>老人扶養親族（同居老親等外）の人数：</t>
    <rPh sb="0" eb="2">
      <t>ロウジン</t>
    </rPh>
    <rPh sb="2" eb="4">
      <t>フヨウ</t>
    </rPh>
    <rPh sb="4" eb="6">
      <t>シンゾク</t>
    </rPh>
    <rPh sb="7" eb="9">
      <t>ドウキョ</t>
    </rPh>
    <rPh sb="9" eb="11">
      <t>ロウシン</t>
    </rPh>
    <rPh sb="11" eb="13">
      <t>トウガイ</t>
    </rPh>
    <rPh sb="15" eb="17">
      <t>ニンズウ</t>
    </rPh>
    <phoneticPr fontId="3"/>
  </si>
  <si>
    <t>旧個人年金保険料の額：</t>
    <rPh sb="0" eb="1">
      <t>キュウ</t>
    </rPh>
    <rPh sb="1" eb="3">
      <t>コジン</t>
    </rPh>
    <rPh sb="3" eb="5">
      <t>ネンキン</t>
    </rPh>
    <rPh sb="5" eb="7">
      <t>ホケン</t>
    </rPh>
    <rPh sb="7" eb="8">
      <t>リョウ</t>
    </rPh>
    <rPh sb="9" eb="10">
      <t>ガク</t>
    </rPh>
    <phoneticPr fontId="3"/>
  </si>
  <si>
    <t>（年間）</t>
    <rPh sb="1" eb="3">
      <t>ネンカン</t>
    </rPh>
    <phoneticPr fontId="3"/>
  </si>
  <si>
    <t>支払方法</t>
    <rPh sb="0" eb="2">
      <t>シハライ</t>
    </rPh>
    <rPh sb="2" eb="4">
      <t>ホウホウ</t>
    </rPh>
    <phoneticPr fontId="3"/>
  </si>
  <si>
    <t>１．全額給与払い</t>
    <rPh sb="2" eb="4">
      <t>ゼンガク</t>
    </rPh>
    <rPh sb="4" eb="6">
      <t>キュウヨ</t>
    </rPh>
    <rPh sb="6" eb="7">
      <t>ハラ</t>
    </rPh>
    <phoneticPr fontId="3"/>
  </si>
  <si>
    <t>２．一部確定拠出年金へ拠出</t>
    <rPh sb="2" eb="4">
      <t>イチブ</t>
    </rPh>
    <rPh sb="4" eb="6">
      <t>カクテイ</t>
    </rPh>
    <rPh sb="6" eb="8">
      <t>キョシュツ</t>
    </rPh>
    <rPh sb="8" eb="10">
      <t>ネンキン</t>
    </rPh>
    <rPh sb="11" eb="13">
      <t>キョシュツ</t>
    </rPh>
    <phoneticPr fontId="3"/>
  </si>
  <si>
    <t>３．差額（１－２）</t>
    <rPh sb="2" eb="4">
      <t>サガク</t>
    </rPh>
    <phoneticPr fontId="3"/>
  </si>
  <si>
    <t>社会保険料</t>
    <rPh sb="0" eb="2">
      <t>シャカイ</t>
    </rPh>
    <rPh sb="2" eb="4">
      <t>ホケン</t>
    </rPh>
    <rPh sb="4" eb="5">
      <t>リョウ</t>
    </rPh>
    <phoneticPr fontId="3"/>
  </si>
  <si>
    <t>健康保険料</t>
    <rPh sb="0" eb="2">
      <t>ケンコウ</t>
    </rPh>
    <rPh sb="2" eb="4">
      <t>ホケン</t>
    </rPh>
    <rPh sb="4" eb="5">
      <t>リョウ</t>
    </rPh>
    <phoneticPr fontId="3"/>
  </si>
  <si>
    <t>介護保険料</t>
    <rPh sb="0" eb="2">
      <t>カイゴ</t>
    </rPh>
    <rPh sb="2" eb="4">
      <t>ホケン</t>
    </rPh>
    <rPh sb="4" eb="5">
      <t>リョウ</t>
    </rPh>
    <phoneticPr fontId="3"/>
  </si>
  <si>
    <t>雇用保険料</t>
    <rPh sb="0" eb="2">
      <t>コヨウ</t>
    </rPh>
    <rPh sb="2" eb="4">
      <t>ホケン</t>
    </rPh>
    <rPh sb="4" eb="5">
      <t>リョウ</t>
    </rPh>
    <phoneticPr fontId="3"/>
  </si>
  <si>
    <t>賞与時負担額</t>
    <rPh sb="0" eb="2">
      <t>ショウヨ</t>
    </rPh>
    <rPh sb="2" eb="3">
      <t>ジ</t>
    </rPh>
    <rPh sb="3" eb="5">
      <t>フタン</t>
    </rPh>
    <rPh sb="5" eb="6">
      <t>ガク</t>
    </rPh>
    <phoneticPr fontId="3"/>
  </si>
  <si>
    <t>税金</t>
    <rPh sb="0" eb="2">
      <t>ゼイキン</t>
    </rPh>
    <phoneticPr fontId="3"/>
  </si>
  <si>
    <t>社会保険料＋税金の軽減効果</t>
    <rPh sb="0" eb="2">
      <t>シャカイ</t>
    </rPh>
    <rPh sb="2" eb="4">
      <t>ホケン</t>
    </rPh>
    <rPh sb="4" eb="5">
      <t>リョウ</t>
    </rPh>
    <rPh sb="6" eb="8">
      <t>ゼイキン</t>
    </rPh>
    <rPh sb="9" eb="11">
      <t>ケイゲン</t>
    </rPh>
    <rPh sb="11" eb="13">
      <t>コウカ</t>
    </rPh>
    <phoneticPr fontId="3"/>
  </si>
  <si>
    <t>軽減効果累計①</t>
    <rPh sb="0" eb="2">
      <t>ケイゲン</t>
    </rPh>
    <rPh sb="2" eb="4">
      <t>コウカ</t>
    </rPh>
    <rPh sb="4" eb="6">
      <t>ルイケイ</t>
    </rPh>
    <phoneticPr fontId="12"/>
  </si>
  <si>
    <t>⇒</t>
    <phoneticPr fontId="3"/>
  </si>
  <si>
    <t>年金減少額</t>
    <rPh sb="0" eb="2">
      <t>ネンキン</t>
    </rPh>
    <rPh sb="2" eb="4">
      <t>ゲンショウ</t>
    </rPh>
    <rPh sb="4" eb="5">
      <t>ガク</t>
    </rPh>
    <phoneticPr fontId="12"/>
  </si>
  <si>
    <t>給付率</t>
    <rPh sb="0" eb="2">
      <t>キュウフ</t>
    </rPh>
    <rPh sb="2" eb="3">
      <t>リツ</t>
    </rPh>
    <phoneticPr fontId="12"/>
  </si>
  <si>
    <t>年金分岐年齢※</t>
    <rPh sb="0" eb="2">
      <t>ネンキン</t>
    </rPh>
    <rPh sb="2" eb="4">
      <t>ブンキ</t>
    </rPh>
    <rPh sb="4" eb="6">
      <t>ネンレイ</t>
    </rPh>
    <phoneticPr fontId="12"/>
  </si>
  <si>
    <t>残存月数</t>
    <rPh sb="0" eb="2">
      <t>ザンソン</t>
    </rPh>
    <rPh sb="2" eb="4">
      <t>ツキスウ</t>
    </rPh>
    <phoneticPr fontId="12"/>
  </si>
  <si>
    <t>年額②</t>
    <rPh sb="0" eb="2">
      <t>ネンガク</t>
    </rPh>
    <phoneticPr fontId="12"/>
  </si>
  <si>
    <t>＜ご留意点＞</t>
    <rPh sb="2" eb="4">
      <t>リュウイ</t>
    </rPh>
    <rPh sb="4" eb="5">
      <t>テン</t>
    </rPh>
    <phoneticPr fontId="3"/>
  </si>
  <si>
    <t>１．上記の金額は、制度導入の検討にあたりご提示する参考値です。なお、翌年度に反映される住民税への影響も合わせた記載としております。</t>
    <rPh sb="2" eb="4">
      <t>ジョウキ</t>
    </rPh>
    <rPh sb="5" eb="7">
      <t>キンガク</t>
    </rPh>
    <rPh sb="9" eb="11">
      <t>セイド</t>
    </rPh>
    <rPh sb="11" eb="13">
      <t>ドウニュウ</t>
    </rPh>
    <rPh sb="14" eb="16">
      <t>ケントウ</t>
    </rPh>
    <rPh sb="21" eb="23">
      <t>テイジ</t>
    </rPh>
    <rPh sb="25" eb="27">
      <t>サンコウ</t>
    </rPh>
    <rPh sb="27" eb="28">
      <t>チ</t>
    </rPh>
    <phoneticPr fontId="3"/>
  </si>
  <si>
    <t>３．所得税の算出にあたっては、復興所得税（2.1％）を反映させており、住民税には均等割と調整控除を反映させています。</t>
    <rPh sb="2" eb="5">
      <t>ショトクゼイ</t>
    </rPh>
    <rPh sb="6" eb="8">
      <t>サンシュツ</t>
    </rPh>
    <rPh sb="15" eb="17">
      <t>フッコウ</t>
    </rPh>
    <rPh sb="17" eb="19">
      <t>ショトク</t>
    </rPh>
    <rPh sb="19" eb="20">
      <t>ゼイ</t>
    </rPh>
    <rPh sb="27" eb="29">
      <t>ハンエイ</t>
    </rPh>
    <rPh sb="35" eb="38">
      <t>ジュウミンゼイ</t>
    </rPh>
    <rPh sb="40" eb="42">
      <t>キントウ</t>
    </rPh>
    <rPh sb="42" eb="43">
      <t>ワリ</t>
    </rPh>
    <rPh sb="44" eb="46">
      <t>チョウセイ</t>
    </rPh>
    <rPh sb="46" eb="48">
      <t>コウジョ</t>
    </rPh>
    <rPh sb="49" eb="51">
      <t>ハンエイ</t>
    </rPh>
    <phoneticPr fontId="3"/>
  </si>
  <si>
    <t>４．上記の数値は傾向把握を目的としたシュミレーションであって概算値となりますので、結果をお約束するものではございません。</t>
    <rPh sb="2" eb="4">
      <t>ジョウキ</t>
    </rPh>
    <rPh sb="5" eb="7">
      <t>スウチ</t>
    </rPh>
    <rPh sb="8" eb="10">
      <t>ケイコウ</t>
    </rPh>
    <rPh sb="10" eb="12">
      <t>ハアク</t>
    </rPh>
    <rPh sb="13" eb="15">
      <t>モクテキ</t>
    </rPh>
    <rPh sb="30" eb="32">
      <t>ガイサン</t>
    </rPh>
    <rPh sb="32" eb="33">
      <t>チ</t>
    </rPh>
    <rPh sb="41" eb="43">
      <t>ケッカ</t>
    </rPh>
    <rPh sb="45" eb="47">
      <t>ヤクソク</t>
    </rPh>
    <phoneticPr fontId="3"/>
  </si>
  <si>
    <t>※65歳（支給開始年齢）＋（軽減効果累計①÷年金減少額年額②）</t>
    <rPh sb="3" eb="4">
      <t>サイ</t>
    </rPh>
    <rPh sb="5" eb="7">
      <t>シキュウ</t>
    </rPh>
    <rPh sb="7" eb="9">
      <t>カイシ</t>
    </rPh>
    <rPh sb="9" eb="11">
      <t>ネンレイ</t>
    </rPh>
    <rPh sb="14" eb="16">
      <t>ケイゲン</t>
    </rPh>
    <rPh sb="16" eb="18">
      <t>コウカ</t>
    </rPh>
    <rPh sb="18" eb="20">
      <t>ルイケイ</t>
    </rPh>
    <rPh sb="22" eb="24">
      <t>ネンキン</t>
    </rPh>
    <rPh sb="24" eb="27">
      <t>ゲンショウガク</t>
    </rPh>
    <rPh sb="27" eb="29">
      <t>ネンガク</t>
    </rPh>
    <phoneticPr fontId="12"/>
  </si>
  <si>
    <t>○ 費用負担額軽減シュミレーション</t>
    <rPh sb="2" eb="4">
      <t>ヒヨウ</t>
    </rPh>
    <rPh sb="4" eb="6">
      <t>フタン</t>
    </rPh>
    <rPh sb="6" eb="7">
      <t>ガク</t>
    </rPh>
    <rPh sb="7" eb="9">
      <t>ケイゲン</t>
    </rPh>
    <phoneticPr fontId="3"/>
  </si>
  <si>
    <t>＜前提条件＞</t>
    <rPh sb="1" eb="3">
      <t>ゼンテイ</t>
    </rPh>
    <rPh sb="3" eb="5">
      <t>ジョウケン</t>
    </rPh>
    <phoneticPr fontId="3"/>
  </si>
  <si>
    <t>基準日：</t>
    <rPh sb="0" eb="2">
      <t>キジュン</t>
    </rPh>
    <rPh sb="2" eb="3">
      <t>ヒ</t>
    </rPh>
    <phoneticPr fontId="3"/>
  </si>
  <si>
    <t>生年月日：</t>
    <rPh sb="0" eb="2">
      <t>セイネン</t>
    </rPh>
    <rPh sb="2" eb="4">
      <t>ガッピ</t>
    </rPh>
    <phoneticPr fontId="3"/>
  </si>
  <si>
    <t>年齢：</t>
    <rPh sb="0" eb="2">
      <t>ネンレイ</t>
    </rPh>
    <phoneticPr fontId="3"/>
  </si>
  <si>
    <t>生命保険料控除基礎額</t>
    <rPh sb="0" eb="2">
      <t>セイメイ</t>
    </rPh>
    <rPh sb="2" eb="4">
      <t>ホケン</t>
    </rPh>
    <rPh sb="4" eb="5">
      <t>リョウ</t>
    </rPh>
    <rPh sb="5" eb="7">
      <t>コウジョ</t>
    </rPh>
    <rPh sb="7" eb="9">
      <t>キソ</t>
    </rPh>
    <rPh sb="9" eb="10">
      <t>ガク</t>
    </rPh>
    <phoneticPr fontId="3"/>
  </si>
  <si>
    <t>年収：</t>
    <rPh sb="0" eb="2">
      <t>ネンシュウ</t>
    </rPh>
    <phoneticPr fontId="3"/>
  </si>
  <si>
    <t>賞与額：</t>
    <rPh sb="0" eb="2">
      <t>ショウヨ</t>
    </rPh>
    <rPh sb="2" eb="3">
      <t>ガク</t>
    </rPh>
    <phoneticPr fontId="3"/>
  </si>
  <si>
    <t>掛金月額：</t>
    <rPh sb="0" eb="2">
      <t>カケキン</t>
    </rPh>
    <rPh sb="2" eb="4">
      <t>ゲツガク</t>
    </rPh>
    <phoneticPr fontId="3"/>
  </si>
  <si>
    <t>ＤＣ導入後年収額：</t>
    <rPh sb="2" eb="4">
      <t>ドウニュウ</t>
    </rPh>
    <rPh sb="4" eb="5">
      <t>ゴ</t>
    </rPh>
    <rPh sb="5" eb="7">
      <t>ネンシュウ</t>
    </rPh>
    <rPh sb="7" eb="8">
      <t>ガク</t>
    </rPh>
    <phoneticPr fontId="3"/>
  </si>
  <si>
    <t>月額給与（選択額反映前）：</t>
    <rPh sb="0" eb="2">
      <t>ゲツガク</t>
    </rPh>
    <rPh sb="2" eb="4">
      <t>キュウヨ</t>
    </rPh>
    <rPh sb="5" eb="7">
      <t>センタク</t>
    </rPh>
    <rPh sb="7" eb="8">
      <t>ガク</t>
    </rPh>
    <rPh sb="8" eb="10">
      <t>ハンエイ</t>
    </rPh>
    <rPh sb="10" eb="11">
      <t>マエ</t>
    </rPh>
    <phoneticPr fontId="3"/>
  </si>
  <si>
    <t>標準報酬月額（厚生年金）：</t>
    <rPh sb="0" eb="2">
      <t>ヒョウジュン</t>
    </rPh>
    <rPh sb="2" eb="4">
      <t>ホウシュウ</t>
    </rPh>
    <rPh sb="4" eb="6">
      <t>ゲツガク</t>
    </rPh>
    <rPh sb="7" eb="9">
      <t>コウセイ</t>
    </rPh>
    <rPh sb="9" eb="11">
      <t>ネンキン</t>
    </rPh>
    <phoneticPr fontId="3"/>
  </si>
  <si>
    <t>標準報酬月額（ケンポ）：</t>
    <rPh sb="0" eb="2">
      <t>ヒョウジュン</t>
    </rPh>
    <rPh sb="2" eb="4">
      <t>ホウシュウ</t>
    </rPh>
    <rPh sb="4" eb="6">
      <t>ゲツガク</t>
    </rPh>
    <phoneticPr fontId="3"/>
  </si>
  <si>
    <t>月額給与（選択額反映後）：</t>
    <rPh sb="0" eb="2">
      <t>ゲツガク</t>
    </rPh>
    <rPh sb="2" eb="4">
      <t>キュウヨ</t>
    </rPh>
    <rPh sb="5" eb="7">
      <t>センタク</t>
    </rPh>
    <rPh sb="7" eb="8">
      <t>ガク</t>
    </rPh>
    <rPh sb="8" eb="10">
      <t>ハンエイ</t>
    </rPh>
    <rPh sb="10" eb="11">
      <t>ゴ</t>
    </rPh>
    <phoneticPr fontId="3"/>
  </si>
  <si>
    <t>選択額反映前</t>
    <rPh sb="0" eb="2">
      <t>センタク</t>
    </rPh>
    <rPh sb="2" eb="3">
      <t>ガク</t>
    </rPh>
    <rPh sb="3" eb="5">
      <t>ハンエイ</t>
    </rPh>
    <rPh sb="5" eb="6">
      <t>マエ</t>
    </rPh>
    <phoneticPr fontId="3"/>
  </si>
  <si>
    <t>厚生年金保険料（本人）：</t>
    <rPh sb="0" eb="2">
      <t>コウセイ</t>
    </rPh>
    <rPh sb="2" eb="4">
      <t>ネンキン</t>
    </rPh>
    <rPh sb="4" eb="6">
      <t>ホケン</t>
    </rPh>
    <rPh sb="6" eb="7">
      <t>リョウ</t>
    </rPh>
    <rPh sb="8" eb="10">
      <t>ホンニン</t>
    </rPh>
    <phoneticPr fontId="3"/>
  </si>
  <si>
    <t>健康保険料（本人）：</t>
    <rPh sb="0" eb="2">
      <t>ケンコウ</t>
    </rPh>
    <rPh sb="2" eb="4">
      <t>ホケン</t>
    </rPh>
    <rPh sb="4" eb="5">
      <t>リョウ</t>
    </rPh>
    <rPh sb="6" eb="8">
      <t>ホンニン</t>
    </rPh>
    <phoneticPr fontId="3"/>
  </si>
  <si>
    <t>介護保険（本人）：</t>
    <rPh sb="0" eb="2">
      <t>カイゴ</t>
    </rPh>
    <rPh sb="2" eb="4">
      <t>ホケン</t>
    </rPh>
    <rPh sb="5" eb="7">
      <t>ホンニン</t>
    </rPh>
    <phoneticPr fontId="3"/>
  </si>
  <si>
    <t>雇用保険（本人）：</t>
    <rPh sb="0" eb="2">
      <t>コヨウ</t>
    </rPh>
    <rPh sb="2" eb="4">
      <t>ホケン</t>
    </rPh>
    <rPh sb="5" eb="7">
      <t>ホンニン</t>
    </rPh>
    <phoneticPr fontId="3"/>
  </si>
  <si>
    <t>賞与支給時負担額(本人)：</t>
    <rPh sb="0" eb="2">
      <t>ショウヨ</t>
    </rPh>
    <rPh sb="2" eb="4">
      <t>シキュウ</t>
    </rPh>
    <rPh sb="4" eb="5">
      <t>ジ</t>
    </rPh>
    <rPh sb="5" eb="7">
      <t>フタン</t>
    </rPh>
    <rPh sb="7" eb="8">
      <t>ガク</t>
    </rPh>
    <rPh sb="9" eb="11">
      <t>ホンニン</t>
    </rPh>
    <phoneticPr fontId="3"/>
  </si>
  <si>
    <t>社会保険本人負担額計：</t>
    <rPh sb="0" eb="2">
      <t>シャカイ</t>
    </rPh>
    <rPh sb="2" eb="4">
      <t>ホケン</t>
    </rPh>
    <rPh sb="4" eb="6">
      <t>ホンニン</t>
    </rPh>
    <rPh sb="6" eb="8">
      <t>フタン</t>
    </rPh>
    <rPh sb="8" eb="9">
      <t>ガク</t>
    </rPh>
    <rPh sb="9" eb="10">
      <t>ケイ</t>
    </rPh>
    <phoneticPr fontId="3"/>
  </si>
  <si>
    <t>厚生年金保険料（事業主）：</t>
    <rPh sb="0" eb="2">
      <t>コウセイ</t>
    </rPh>
    <rPh sb="2" eb="4">
      <t>ネンキン</t>
    </rPh>
    <rPh sb="4" eb="6">
      <t>ホケン</t>
    </rPh>
    <rPh sb="6" eb="7">
      <t>リョウ</t>
    </rPh>
    <rPh sb="8" eb="11">
      <t>ジギョウヌシ</t>
    </rPh>
    <phoneticPr fontId="3"/>
  </si>
  <si>
    <t>子供･子育て拠出金（事業主）：</t>
    <rPh sb="0" eb="2">
      <t>コドモ</t>
    </rPh>
    <rPh sb="3" eb="5">
      <t>コソダ</t>
    </rPh>
    <rPh sb="6" eb="8">
      <t>キョシュツ</t>
    </rPh>
    <rPh sb="8" eb="9">
      <t>キン</t>
    </rPh>
    <rPh sb="10" eb="13">
      <t>ジギョウヌシ</t>
    </rPh>
    <phoneticPr fontId="3"/>
  </si>
  <si>
    <t>健康保険料（事業主）：</t>
    <rPh sb="0" eb="2">
      <t>ケンコウ</t>
    </rPh>
    <rPh sb="2" eb="4">
      <t>ホケン</t>
    </rPh>
    <rPh sb="4" eb="5">
      <t>リョウ</t>
    </rPh>
    <rPh sb="6" eb="9">
      <t>ジギョウヌシ</t>
    </rPh>
    <phoneticPr fontId="3"/>
  </si>
  <si>
    <t>介護保険（事業主）：</t>
    <rPh sb="0" eb="2">
      <t>カイゴ</t>
    </rPh>
    <rPh sb="2" eb="4">
      <t>ホケン</t>
    </rPh>
    <rPh sb="5" eb="8">
      <t>ジギョウヌシ</t>
    </rPh>
    <phoneticPr fontId="3"/>
  </si>
  <si>
    <t>雇用保険（事業主）：</t>
    <rPh sb="0" eb="2">
      <t>コヨウ</t>
    </rPh>
    <rPh sb="2" eb="4">
      <t>ホケン</t>
    </rPh>
    <rPh sb="5" eb="8">
      <t>ジギョウヌシ</t>
    </rPh>
    <phoneticPr fontId="3"/>
  </si>
  <si>
    <t>賞与支給時負担額(事業主)：</t>
    <rPh sb="0" eb="2">
      <t>ショウヨ</t>
    </rPh>
    <rPh sb="2" eb="4">
      <t>シキュウ</t>
    </rPh>
    <rPh sb="4" eb="5">
      <t>ジ</t>
    </rPh>
    <rPh sb="5" eb="7">
      <t>フタン</t>
    </rPh>
    <rPh sb="7" eb="8">
      <t>ガク</t>
    </rPh>
    <rPh sb="9" eb="12">
      <t>ジギョウヌシ</t>
    </rPh>
    <phoneticPr fontId="3"/>
  </si>
  <si>
    <t>社会保険事業主負担額計：</t>
    <rPh sb="0" eb="2">
      <t>シャカイ</t>
    </rPh>
    <rPh sb="2" eb="4">
      <t>ホケン</t>
    </rPh>
    <rPh sb="4" eb="7">
      <t>ジギョウヌシ</t>
    </rPh>
    <rPh sb="7" eb="9">
      <t>フタン</t>
    </rPh>
    <rPh sb="9" eb="10">
      <t>ガク</t>
    </rPh>
    <rPh sb="10" eb="11">
      <t>ケイ</t>
    </rPh>
    <phoneticPr fontId="3"/>
  </si>
  <si>
    <t>選択額反映後</t>
    <rPh sb="0" eb="2">
      <t>センタク</t>
    </rPh>
    <rPh sb="2" eb="3">
      <t>ガク</t>
    </rPh>
    <rPh sb="3" eb="5">
      <t>ハンエイ</t>
    </rPh>
    <rPh sb="5" eb="6">
      <t>ゴ</t>
    </rPh>
    <phoneticPr fontId="3"/>
  </si>
  <si>
    <t>賞与支給時負担額（事業主）：</t>
    <rPh sb="0" eb="2">
      <t>ショウヨ</t>
    </rPh>
    <rPh sb="2" eb="4">
      <t>シキュウ</t>
    </rPh>
    <rPh sb="4" eb="5">
      <t>ジ</t>
    </rPh>
    <rPh sb="5" eb="7">
      <t>フタン</t>
    </rPh>
    <rPh sb="7" eb="8">
      <t>ガク</t>
    </rPh>
    <rPh sb="9" eb="12">
      <t>ジギョウヌシ</t>
    </rPh>
    <phoneticPr fontId="3"/>
  </si>
  <si>
    <t>給与所得控除後所得：</t>
    <rPh sb="0" eb="2">
      <t>キュウヨ</t>
    </rPh>
    <rPh sb="2" eb="4">
      <t>ショトク</t>
    </rPh>
    <rPh sb="4" eb="6">
      <t>コウジョ</t>
    </rPh>
    <rPh sb="6" eb="7">
      <t>ゴ</t>
    </rPh>
    <rPh sb="7" eb="9">
      <t>ショトク</t>
    </rPh>
    <phoneticPr fontId="3"/>
  </si>
  <si>
    <t>社会保険料控除：</t>
    <rPh sb="0" eb="2">
      <t>シャカイ</t>
    </rPh>
    <rPh sb="2" eb="4">
      <t>ホケン</t>
    </rPh>
    <rPh sb="4" eb="5">
      <t>リョウ</t>
    </rPh>
    <rPh sb="5" eb="7">
      <t>コウジョ</t>
    </rPh>
    <phoneticPr fontId="3"/>
  </si>
  <si>
    <t>人的控除額（所得税）：</t>
    <rPh sb="0" eb="2">
      <t>ジンテキ</t>
    </rPh>
    <rPh sb="2" eb="4">
      <t>コウジョ</t>
    </rPh>
    <rPh sb="4" eb="5">
      <t>ガク</t>
    </rPh>
    <rPh sb="6" eb="8">
      <t>ショトク</t>
    </rPh>
    <rPh sb="8" eb="9">
      <t>ゼイ</t>
    </rPh>
    <phoneticPr fontId="3"/>
  </si>
  <si>
    <t>生命保険料控除（所得税）：</t>
    <rPh sb="0" eb="2">
      <t>セイメイ</t>
    </rPh>
    <rPh sb="2" eb="5">
      <t>ホケンリョウ</t>
    </rPh>
    <rPh sb="5" eb="7">
      <t>コウジョ</t>
    </rPh>
    <rPh sb="8" eb="10">
      <t>ショトク</t>
    </rPh>
    <rPh sb="10" eb="11">
      <t>ゼイ</t>
    </rPh>
    <phoneticPr fontId="3"/>
  </si>
  <si>
    <t>課税所得額：</t>
    <rPh sb="0" eb="2">
      <t>カゼイ</t>
    </rPh>
    <rPh sb="2" eb="4">
      <t>ショトク</t>
    </rPh>
    <rPh sb="4" eb="5">
      <t>ガク</t>
    </rPh>
    <phoneticPr fontId="3"/>
  </si>
  <si>
    <t>所得税額（端数処理前）：</t>
    <rPh sb="5" eb="7">
      <t>ハスウ</t>
    </rPh>
    <rPh sb="7" eb="9">
      <t>ショリ</t>
    </rPh>
    <rPh sb="9" eb="10">
      <t>マエ</t>
    </rPh>
    <phoneticPr fontId="3"/>
  </si>
  <si>
    <t>所得税額：</t>
    <rPh sb="0" eb="3">
      <t>ショトクゼイ</t>
    </rPh>
    <rPh sb="3" eb="4">
      <t>ガク</t>
    </rPh>
    <phoneticPr fontId="3"/>
  </si>
  <si>
    <t>人的控除額（住民税）：</t>
    <rPh sb="0" eb="2">
      <t>ジンテキ</t>
    </rPh>
    <rPh sb="2" eb="4">
      <t>コウジョ</t>
    </rPh>
    <rPh sb="4" eb="5">
      <t>ガク</t>
    </rPh>
    <rPh sb="6" eb="8">
      <t>ジュウミン</t>
    </rPh>
    <rPh sb="8" eb="9">
      <t>ゼイ</t>
    </rPh>
    <phoneticPr fontId="3"/>
  </si>
  <si>
    <t>生命保険料控除（住民税）：</t>
    <rPh sb="0" eb="2">
      <t>セイメイ</t>
    </rPh>
    <rPh sb="2" eb="5">
      <t>ホケンリョウ</t>
    </rPh>
    <rPh sb="5" eb="7">
      <t>コウジョ</t>
    </rPh>
    <rPh sb="8" eb="10">
      <t>ジュウミン</t>
    </rPh>
    <rPh sb="10" eb="11">
      <t>ゼイ</t>
    </rPh>
    <phoneticPr fontId="3"/>
  </si>
  <si>
    <t>住民税課税所得額：</t>
    <rPh sb="0" eb="2">
      <t>ジュウミン</t>
    </rPh>
    <rPh sb="2" eb="3">
      <t>ゼイ</t>
    </rPh>
    <rPh sb="3" eb="5">
      <t>カゼイ</t>
    </rPh>
    <rPh sb="5" eb="7">
      <t>ショトク</t>
    </rPh>
    <rPh sb="7" eb="8">
      <t>ガク</t>
    </rPh>
    <phoneticPr fontId="3"/>
  </si>
  <si>
    <t>住民税仮計算額：</t>
    <rPh sb="0" eb="2">
      <t>ジュウミン</t>
    </rPh>
    <rPh sb="2" eb="3">
      <t>ゼイ</t>
    </rPh>
    <rPh sb="3" eb="4">
      <t>カリ</t>
    </rPh>
    <rPh sb="4" eb="6">
      <t>ケイサン</t>
    </rPh>
    <rPh sb="6" eb="7">
      <t>ガク</t>
    </rPh>
    <phoneticPr fontId="3"/>
  </si>
  <si>
    <t>調整控除額：</t>
    <rPh sb="0" eb="2">
      <t>チョウセイ</t>
    </rPh>
    <rPh sb="2" eb="4">
      <t>コウジョ</t>
    </rPh>
    <rPh sb="4" eb="5">
      <t>ガク</t>
    </rPh>
    <phoneticPr fontId="3"/>
  </si>
  <si>
    <t>住民税額：</t>
    <rPh sb="0" eb="2">
      <t>ジュウミン</t>
    </rPh>
    <rPh sb="2" eb="3">
      <t>ゼイ</t>
    </rPh>
    <rPh sb="3" eb="4">
      <t>ガク</t>
    </rPh>
    <phoneticPr fontId="3"/>
  </si>
  <si>
    <t>所得税＋住民税：</t>
    <rPh sb="0" eb="2">
      <t>ショトク</t>
    </rPh>
    <rPh sb="2" eb="3">
      <t>ゼイ</t>
    </rPh>
    <rPh sb="4" eb="6">
      <t>ジュウミン</t>
    </rPh>
    <rPh sb="6" eb="7">
      <t>ゼイ</t>
    </rPh>
    <phoneticPr fontId="3"/>
  </si>
  <si>
    <t xml:space="preserve"> </t>
    <phoneticPr fontId="2"/>
  </si>
  <si>
    <t xml:space="preserve"> </t>
    <phoneticPr fontId="2"/>
  </si>
  <si>
    <t xml:space="preserve"> </t>
    <phoneticPr fontId="2"/>
  </si>
  <si>
    <t xml:space="preserve"> </t>
    <phoneticPr fontId="2"/>
  </si>
  <si>
    <t>基準日</t>
    <rPh sb="0" eb="2">
      <t>キジュン</t>
    </rPh>
    <rPh sb="2" eb="3">
      <t>ビ</t>
    </rPh>
    <phoneticPr fontId="2"/>
  </si>
  <si>
    <t>生年月日</t>
    <rPh sb="0" eb="2">
      <t>セイネン</t>
    </rPh>
    <rPh sb="2" eb="4">
      <t>ガッピ</t>
    </rPh>
    <phoneticPr fontId="2"/>
  </si>
  <si>
    <t>年齢</t>
    <rPh sb="0" eb="2">
      <t>ネンレイ</t>
    </rPh>
    <phoneticPr fontId="2"/>
  </si>
  <si>
    <t>掛金拠出による効果（年間削減額 ：①＋②）</t>
    <rPh sb="0" eb="2">
      <t>カケキン</t>
    </rPh>
    <rPh sb="2" eb="4">
      <t>キョシュツ</t>
    </rPh>
    <rPh sb="7" eb="9">
      <t>コウカ</t>
    </rPh>
    <rPh sb="10" eb="12">
      <t>ネンカン</t>
    </rPh>
    <rPh sb="12" eb="15">
      <t>サクゲンガク</t>
    </rPh>
    <phoneticPr fontId="2"/>
  </si>
  <si>
    <t>基 準 日</t>
    <rPh sb="0" eb="1">
      <t>モト</t>
    </rPh>
    <rPh sb="2" eb="3">
      <t>ジュン</t>
    </rPh>
    <rPh sb="4" eb="5">
      <t>ビ</t>
    </rPh>
    <phoneticPr fontId="2"/>
  </si>
  <si>
    <t>【ご入力いただく範囲】</t>
    <rPh sb="2" eb="4">
      <t>ニュウリョク</t>
    </rPh>
    <rPh sb="8" eb="10">
      <t>ハンイ</t>
    </rPh>
    <phoneticPr fontId="2"/>
  </si>
  <si>
    <t>社会保険料の削減額（年  間） ①</t>
    <rPh sb="6" eb="8">
      <t>サクゲン</t>
    </rPh>
    <rPh sb="8" eb="9">
      <t>ガク</t>
    </rPh>
    <rPh sb="10" eb="11">
      <t>ネン</t>
    </rPh>
    <rPh sb="13" eb="14">
      <t>マ</t>
    </rPh>
    <phoneticPr fontId="2"/>
  </si>
  <si>
    <t>税金の減少額（年  間） ②</t>
    <rPh sb="3" eb="5">
      <t>ゲンショウ</t>
    </rPh>
    <rPh sb="5" eb="6">
      <t>ガク</t>
    </rPh>
    <rPh sb="7" eb="8">
      <t>ネン</t>
    </rPh>
    <rPh sb="10" eb="11">
      <t>マ</t>
    </rPh>
    <phoneticPr fontId="2"/>
  </si>
  <si>
    <t>適用年度</t>
    <rPh sb="0" eb="2">
      <t>テキヨウ</t>
    </rPh>
    <rPh sb="2" eb="4">
      <t>ネンド</t>
    </rPh>
    <phoneticPr fontId="3"/>
  </si>
  <si>
    <t>地      域</t>
    <rPh sb="0" eb="1">
      <t>チ</t>
    </rPh>
    <rPh sb="7" eb="8">
      <t>イキ</t>
    </rPh>
    <phoneticPr fontId="3"/>
  </si>
  <si>
    <t>【計  算  結  果】</t>
    <rPh sb="1" eb="2">
      <t>ケイ</t>
    </rPh>
    <rPh sb="4" eb="5">
      <t>サン</t>
    </rPh>
    <rPh sb="7" eb="8">
      <t>ケツ</t>
    </rPh>
    <rPh sb="10" eb="11">
      <t>カ</t>
    </rPh>
    <phoneticPr fontId="2"/>
  </si>
  <si>
    <t>※ 詳細については「提供資料」のシートをご覧ください。</t>
    <rPh sb="2" eb="4">
      <t>ショウサイ</t>
    </rPh>
    <rPh sb="10" eb="12">
      <t>テイキョウ</t>
    </rPh>
    <rPh sb="12" eb="14">
      <t>シリョウ</t>
    </rPh>
    <rPh sb="21" eb="22">
      <t>ラン</t>
    </rPh>
    <phoneticPr fontId="2"/>
  </si>
  <si>
    <t>最低報酬月額</t>
    <rPh sb="0" eb="2">
      <t>サイテイ</t>
    </rPh>
    <rPh sb="2" eb="4">
      <t>ホウシュウ</t>
    </rPh>
    <rPh sb="4" eb="6">
      <t>ゲツガク</t>
    </rPh>
    <phoneticPr fontId="3"/>
  </si>
  <si>
    <t>【明     細】</t>
    <rPh sb="1" eb="2">
      <t>メイ</t>
    </rPh>
    <rPh sb="7" eb="8">
      <t>ホソ</t>
    </rPh>
    <phoneticPr fontId="2"/>
  </si>
  <si>
    <t>交通費</t>
    <rPh sb="0" eb="3">
      <t>コウツウヒ</t>
    </rPh>
    <phoneticPr fontId="2"/>
  </si>
  <si>
    <t xml:space="preserve">                                        【ご参考 DC選択掛金月額】</t>
    <rPh sb="42" eb="44">
      <t>サンコウ</t>
    </rPh>
    <rPh sb="47" eb="49">
      <t>センタク</t>
    </rPh>
    <rPh sb="49" eb="51">
      <t>カケキン</t>
    </rPh>
    <rPh sb="51" eb="53">
      <t>ゲツガク</t>
    </rPh>
    <phoneticPr fontId="2"/>
  </si>
  <si>
    <t>交通費(月額)</t>
    <rPh sb="0" eb="3">
      <t>コウツウヒ</t>
    </rPh>
    <rPh sb="4" eb="6">
      <t>ゲツガク</t>
    </rPh>
    <phoneticPr fontId="12"/>
  </si>
  <si>
    <t>推奨額計算</t>
    <rPh sb="0" eb="2">
      <t>スイショウ</t>
    </rPh>
    <rPh sb="2" eb="3">
      <t>ガク</t>
    </rPh>
    <rPh sb="3" eb="5">
      <t>ケイサン</t>
    </rPh>
    <phoneticPr fontId="2"/>
  </si>
  <si>
    <t>月給：</t>
    <rPh sb="0" eb="2">
      <t>ゲッキュウ</t>
    </rPh>
    <phoneticPr fontId="2"/>
  </si>
  <si>
    <t>厚生年金標準報酬：</t>
    <rPh sb="0" eb="2">
      <t>コウセイ</t>
    </rPh>
    <rPh sb="2" eb="4">
      <t>ネンキン</t>
    </rPh>
    <rPh sb="4" eb="6">
      <t>ヒョウジュン</t>
    </rPh>
    <rPh sb="6" eb="8">
      <t>ホウシュウ</t>
    </rPh>
    <phoneticPr fontId="2"/>
  </si>
  <si>
    <t>健康保険標準報酬：</t>
    <rPh sb="0" eb="2">
      <t>ケンコウ</t>
    </rPh>
    <rPh sb="2" eb="4">
      <t>ホケン</t>
    </rPh>
    <rPh sb="4" eb="6">
      <t>ヒョウジュン</t>
    </rPh>
    <rPh sb="6" eb="8">
      <t>ホウシュウ</t>
    </rPh>
    <phoneticPr fontId="2"/>
  </si>
  <si>
    <t>下限報酬月額：</t>
    <rPh sb="0" eb="2">
      <t>カゲン</t>
    </rPh>
    <rPh sb="2" eb="4">
      <t>ホウシュウ</t>
    </rPh>
    <rPh sb="4" eb="6">
      <t>ゲツガク</t>
    </rPh>
    <phoneticPr fontId="2"/>
  </si>
  <si>
    <t>差額：</t>
    <rPh sb="0" eb="2">
      <t>サガク</t>
    </rPh>
    <phoneticPr fontId="2"/>
  </si>
  <si>
    <t>推奨額：</t>
    <rPh sb="0" eb="2">
      <t>スイショウ</t>
    </rPh>
    <rPh sb="2" eb="3">
      <t>ガク</t>
    </rPh>
    <phoneticPr fontId="2"/>
  </si>
  <si>
    <t>資格喪失年齢</t>
    <rPh sb="0" eb="2">
      <t>シカク</t>
    </rPh>
    <rPh sb="2" eb="4">
      <t>ソウシツ</t>
    </rPh>
    <rPh sb="4" eb="6">
      <t>ネンレイ</t>
    </rPh>
    <phoneticPr fontId="2"/>
  </si>
  <si>
    <t>資格喪失年齢：</t>
    <rPh sb="0" eb="2">
      <t>シカク</t>
    </rPh>
    <rPh sb="2" eb="4">
      <t>ソウシツ</t>
    </rPh>
    <rPh sb="4" eb="6">
      <t>ネンレイ</t>
    </rPh>
    <phoneticPr fontId="2"/>
  </si>
  <si>
    <t>法定上限の考慮後：</t>
    <rPh sb="0" eb="2">
      <t>ホウテイ</t>
    </rPh>
    <rPh sb="2" eb="4">
      <t>ジョウゲン</t>
    </rPh>
    <rPh sb="5" eb="7">
      <t>コウリョ</t>
    </rPh>
    <rPh sb="7" eb="8">
      <t>ゴ</t>
    </rPh>
    <phoneticPr fontId="2"/>
  </si>
  <si>
    <r>
      <t xml:space="preserve">標準報酬月額
</t>
    </r>
    <r>
      <rPr>
        <sz val="10"/>
        <color theme="1"/>
        <rFont val="HGP創英角ｺﾞｼｯｸUB"/>
        <family val="3"/>
        <charset val="128"/>
      </rPr>
      <t>(健康保険)</t>
    </r>
    <rPh sb="0" eb="2">
      <t>ヒョウジュン</t>
    </rPh>
    <rPh sb="2" eb="4">
      <t>ホウシュウ</t>
    </rPh>
    <rPh sb="4" eb="5">
      <t>ゲツ</t>
    </rPh>
    <rPh sb="5" eb="6">
      <t>ガク</t>
    </rPh>
    <rPh sb="8" eb="10">
      <t>ケンコウ</t>
    </rPh>
    <rPh sb="10" eb="12">
      <t>ホケン</t>
    </rPh>
    <phoneticPr fontId="3"/>
  </si>
  <si>
    <t>標準報酬月額
（健康保険）の変動</t>
    <rPh sb="0" eb="2">
      <t>ヒョウジュン</t>
    </rPh>
    <rPh sb="2" eb="4">
      <t>ホウシュウ</t>
    </rPh>
    <rPh sb="4" eb="6">
      <t>ゲツガク</t>
    </rPh>
    <rPh sb="8" eb="10">
      <t>ケンコウ</t>
    </rPh>
    <rPh sb="10" eb="12">
      <t>ホケン</t>
    </rPh>
    <rPh sb="14" eb="15">
      <t>ヘン</t>
    </rPh>
    <rPh sb="15" eb="16">
      <t>ドウ</t>
    </rPh>
    <phoneticPr fontId="2"/>
  </si>
  <si>
    <t>検索基準値</t>
    <rPh sb="0" eb="2">
      <t>ケンサク</t>
    </rPh>
    <rPh sb="2" eb="5">
      <t>キジュンチ</t>
    </rPh>
    <phoneticPr fontId="2"/>
  </si>
  <si>
    <t>2,100円</t>
  </si>
  <si>
    <t>総支給に含む</t>
  </si>
  <si>
    <t>みやぎ環境税 1,200円、仙台市2%</t>
    <phoneticPr fontId="2"/>
  </si>
  <si>
    <t>水源環境保全税 300円</t>
  </si>
  <si>
    <t>豊かな森を育てる府民税 600円</t>
  </si>
  <si>
    <t>森林環境税 300円</t>
  </si>
  <si>
    <t>豊かな森づくり協働税 500円</t>
  </si>
  <si>
    <t>みんなの森づくり県民税 500円</t>
  </si>
  <si>
    <t>https://a-agent.co.jp/municipal-tax-list/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</si>
</sst>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176" formatCode="#,##0\ &quot;円&quot;"/>
    <numFmt numFmtId="177" formatCode="0.0%"/>
    <numFmt numFmtId="178" formatCode="#,##0.0;[Red]\-#,##0.0"/>
    <numFmt numFmtId="179" formatCode="0.000%"/>
    <numFmt numFmtId="180" formatCode="[$-411]ge\.mm\.dd"/>
    <numFmt numFmtId="181" formatCode="#,##0\ &quot;歳&quot;"/>
    <numFmt numFmtId="182" formatCode="#,##0\ &quot;人&quot;"/>
    <numFmt numFmtId="183" formatCode="#,##0\ &quot;ヶ月&quot;"/>
    <numFmt numFmtId="184" formatCode="###,##0&quot;円&quot;"/>
    <numFmt numFmtId="185" formatCode="[$-411]ggge&quot;年&quot;m&quot;月&quot;d&quot;日&quot;;@"/>
    <numFmt numFmtId="186" formatCode="#,##0&quot;円&quot;\ \ \ "/>
    <numFmt numFmtId="187" formatCode="#,##0\ &quot;円     &quot;"/>
    <numFmt numFmtId="188" formatCode="##&quot;歳　　　&quot;"/>
    <numFmt numFmtId="189" formatCode="####\ &quot;年度&quot;"/>
    <numFmt numFmtId="190" formatCode="#,##0;[Red]&quot;▲&quot;#,##0"/>
  </numFmts>
  <fonts count="40" x14ac:knownFonts="1">
    <font>
      <sz val="11"/>
      <color theme="1"/>
      <name val="ＭＳ Ｐゴシック"/>
      <family val="2"/>
      <charset val="128"/>
    </font>
    <font>
      <sz val="11"/>
      <color theme="1"/>
      <name val="ＭＳ Ｐゴシック"/>
      <family val="2"/>
      <charset val="128"/>
    </font>
    <font>
      <sz val="6"/>
      <name val="ＭＳ Ｐゴシック"/>
      <family val="2"/>
      <charset val="128"/>
    </font>
    <font>
      <sz val="6"/>
      <name val="ＭＳ Ｐゴシック"/>
      <family val="2"/>
      <charset val="128"/>
      <scheme val="minor"/>
    </font>
    <font>
      <sz val="11"/>
      <color theme="1"/>
      <name val="HGP創英角ｺﾞｼｯｸUB"/>
      <family val="3"/>
      <charset val="128"/>
    </font>
    <font>
      <sz val="11"/>
      <color rgb="FF0000CC"/>
      <name val="HGP創英角ｺﾞｼｯｸUB"/>
      <family val="3"/>
      <charset val="128"/>
    </font>
    <font>
      <sz val="8"/>
      <color theme="1"/>
      <name val="HGP創英角ｺﾞｼｯｸUB"/>
      <family val="3"/>
      <charset val="128"/>
    </font>
    <font>
      <sz val="8"/>
      <name val="HGP創英角ｺﾞｼｯｸUB"/>
      <family val="3"/>
      <charset val="128"/>
    </font>
    <font>
      <sz val="8"/>
      <color rgb="FF0000CC"/>
      <name val="HGP創英角ｺﾞｼｯｸUB"/>
      <family val="3"/>
      <charset val="128"/>
    </font>
    <font>
      <sz val="8"/>
      <color rgb="FFFF0000"/>
      <name val="HGP創英角ｺﾞｼｯｸUB"/>
      <family val="3"/>
      <charset val="128"/>
    </font>
    <font>
      <sz val="9"/>
      <color theme="1"/>
      <name val="HGP創英角ｺﾞｼｯｸUB"/>
      <family val="3"/>
      <charset val="128"/>
    </font>
    <font>
      <sz val="9"/>
      <color rgb="FF0000CC"/>
      <name val="HGP創英角ｺﾞｼｯｸUB"/>
      <family val="3"/>
      <charset val="128"/>
    </font>
    <font>
      <sz val="6"/>
      <name val="ＭＳ Ｐゴシック"/>
      <family val="3"/>
      <charset val="128"/>
    </font>
    <font>
      <b/>
      <sz val="14"/>
      <color indexed="8"/>
      <name val="HGP創英角ｺﾞｼｯｸUB"/>
      <family val="3"/>
      <charset val="128"/>
    </font>
    <font>
      <sz val="11"/>
      <color indexed="8"/>
      <name val="HGP創英角ｺﾞｼｯｸUB"/>
      <family val="3"/>
      <charset val="128"/>
    </font>
    <font>
      <b/>
      <sz val="14"/>
      <color theme="1"/>
      <name val="HGP創英角ｺﾞｼｯｸUB"/>
      <family val="3"/>
      <charset val="128"/>
    </font>
    <font>
      <b/>
      <sz val="10"/>
      <color indexed="8"/>
      <name val="HGP創英角ｺﾞｼｯｸUB"/>
      <family val="3"/>
      <charset val="128"/>
    </font>
    <font>
      <sz val="10"/>
      <color theme="1"/>
      <name val="HGP創英角ｺﾞｼｯｸUB"/>
      <family val="3"/>
      <charset val="128"/>
    </font>
    <font>
      <sz val="14"/>
      <color indexed="8"/>
      <name val="HGP創英角ｺﾞｼｯｸUB"/>
      <family val="3"/>
      <charset val="128"/>
    </font>
    <font>
      <sz val="9"/>
      <color indexed="8"/>
      <name val="HGP創英角ｺﾞｼｯｸUB"/>
      <family val="3"/>
      <charset val="128"/>
    </font>
    <font>
      <sz val="9"/>
      <name val="HGP創英角ｺﾞｼｯｸUB"/>
      <family val="3"/>
      <charset val="128"/>
    </font>
    <font>
      <sz val="10"/>
      <name val="HGP創英角ｺﾞｼｯｸUB"/>
      <family val="3"/>
      <charset val="128"/>
    </font>
    <font>
      <sz val="10"/>
      <color indexed="8"/>
      <name val="HGP創英角ｺﾞｼｯｸUB"/>
      <family val="3"/>
      <charset val="128"/>
    </font>
    <font>
      <sz val="9.5"/>
      <color theme="1"/>
      <name val="HGP創英角ｺﾞｼｯｸUB"/>
      <family val="3"/>
      <charset val="128"/>
    </font>
    <font>
      <sz val="9.5"/>
      <color rgb="FF0066FF"/>
      <name val="HGP創英角ｺﾞｼｯｸUB"/>
      <family val="3"/>
      <charset val="128"/>
    </font>
    <font>
      <sz val="11"/>
      <name val="HGP創英角ｺﾞｼｯｸUB"/>
      <family val="3"/>
      <charset val="128"/>
    </font>
    <font>
      <sz val="14"/>
      <color rgb="FFFF0000"/>
      <name val="HGP創英角ｺﾞｼｯｸUB"/>
      <family val="3"/>
      <charset val="128"/>
    </font>
    <font>
      <sz val="11"/>
      <color rgb="FF0099FF"/>
      <name val="HGP創英角ｺﾞｼｯｸUB"/>
      <family val="3"/>
      <charset val="128"/>
    </font>
    <font>
      <sz val="14"/>
      <color rgb="FF0066FF"/>
      <name val="HGP創英角ｺﾞｼｯｸUB"/>
      <family val="3"/>
      <charset val="128"/>
    </font>
    <font>
      <sz val="10"/>
      <color rgb="FF0000FF"/>
      <name val="HGP創英角ｺﾞｼｯｸUB"/>
      <family val="3"/>
      <charset val="128"/>
    </font>
    <font>
      <sz val="11"/>
      <color theme="0"/>
      <name val="HGP創英角ｺﾞｼｯｸUB"/>
      <family val="3"/>
      <charset val="128"/>
    </font>
    <font>
      <sz val="11"/>
      <color indexed="12"/>
      <name val="HGP創英角ｺﾞｼｯｸUB"/>
      <family val="3"/>
      <charset val="128"/>
    </font>
    <font>
      <sz val="11"/>
      <color rgb="FF0000FF"/>
      <name val="HGP創英角ｺﾞｼｯｸUB"/>
      <family val="3"/>
      <charset val="128"/>
    </font>
    <font>
      <sz val="9"/>
      <color rgb="FF0000FF"/>
      <name val="HGP創英角ｺﾞｼｯｸUB"/>
      <family val="3"/>
      <charset val="128"/>
    </font>
    <font>
      <sz val="9"/>
      <color rgb="FF333333"/>
      <name val="HGP創英角ｺﾞｼｯｸUB"/>
      <family val="3"/>
      <charset val="128"/>
    </font>
    <font>
      <sz val="9"/>
      <color rgb="FFFF0000"/>
      <name val="HGP創英角ｺﾞｼｯｸUB"/>
      <family val="3"/>
      <charset val="128"/>
    </font>
    <font>
      <sz val="9"/>
      <color rgb="FF333333"/>
      <name val="HGSｺﾞｼｯｸE"/>
      <family val="3"/>
      <charset val="128"/>
    </font>
    <font>
      <sz val="9"/>
      <color theme="1"/>
      <name val="HGSｺﾞｼｯｸE"/>
      <family val="3"/>
      <charset val="128"/>
    </font>
    <font>
      <u/>
      <sz val="11"/>
      <color theme="10"/>
      <name val="ＭＳ Ｐゴシック"/>
      <family val="2"/>
      <charset val="128"/>
    </font>
    <font>
      <sz val="9"/>
      <color theme="1" tint="0.34998626667073579"/>
      <name val="HGP創英角ｺﾞｼｯｸUB"/>
      <family val="3"/>
      <charset val="128"/>
    </font>
  </fonts>
  <fills count="21">
    <fill>
      <patternFill patternType="none"/>
    </fill>
    <fill>
      <patternFill patternType="gray125"/>
    </fill>
    <fill>
      <patternFill patternType="solid">
        <fgColor theme="0" tint="-0.14999847407452621"/>
        <bgColor indexed="64"/>
      </patternFill>
    </fill>
    <fill>
      <patternFill patternType="solid">
        <fgColor rgb="FFCCFFFF"/>
        <bgColor indexed="64"/>
      </patternFill>
    </fill>
    <fill>
      <patternFill patternType="solid">
        <fgColor rgb="FFFFFFCC"/>
        <bgColor indexed="64"/>
      </patternFill>
    </fill>
    <fill>
      <patternFill patternType="solid">
        <fgColor rgb="FFCCFFCC"/>
        <bgColor indexed="64"/>
      </patternFill>
    </fill>
    <fill>
      <patternFill patternType="solid">
        <fgColor rgb="FFCCCCFF"/>
        <bgColor indexed="64"/>
      </patternFill>
    </fill>
    <fill>
      <patternFill patternType="solid">
        <fgColor rgb="FFFFCCCC"/>
        <bgColor indexed="64"/>
      </patternFill>
    </fill>
    <fill>
      <patternFill patternType="solid">
        <fgColor indexed="29"/>
        <bgColor indexed="64"/>
      </patternFill>
    </fill>
    <fill>
      <patternFill patternType="solid">
        <fgColor indexed="27"/>
        <bgColor indexed="64"/>
      </patternFill>
    </fill>
    <fill>
      <patternFill patternType="solid">
        <fgColor indexed="42"/>
        <bgColor indexed="64"/>
      </patternFill>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99FF"/>
        <bgColor indexed="64"/>
      </patternFill>
    </fill>
    <fill>
      <patternFill patternType="solid">
        <fgColor theme="9" tint="0.79998168889431442"/>
        <bgColor indexed="64"/>
      </patternFill>
    </fill>
    <fill>
      <patternFill patternType="solid">
        <fgColor rgb="FFFDFDFD"/>
        <bgColor indexed="64"/>
      </patternFill>
    </fill>
    <fill>
      <patternFill patternType="solid">
        <fgColor theme="0" tint="-0.34998626667073579"/>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otted">
        <color indexed="64"/>
      </bottom>
      <diagonal/>
    </border>
    <border>
      <left/>
      <right/>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style="thin">
        <color indexed="64"/>
      </right>
      <top style="dotted">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diagonalUp="1">
      <left style="thin">
        <color indexed="64"/>
      </left>
      <right/>
      <top style="medium">
        <color indexed="64"/>
      </top>
      <bottom style="medium">
        <color indexed="64"/>
      </bottom>
      <diagonal style="thin">
        <color indexed="64"/>
      </diagonal>
    </border>
    <border diagonalUp="1">
      <left/>
      <right/>
      <top style="medium">
        <color indexed="64"/>
      </top>
      <bottom style="medium">
        <color indexed="64"/>
      </bottom>
      <diagonal style="thin">
        <color indexed="64"/>
      </diagonal>
    </border>
    <border diagonalUp="1">
      <left/>
      <right style="thin">
        <color indexed="64"/>
      </right>
      <top style="medium">
        <color indexed="64"/>
      </top>
      <bottom style="medium">
        <color indexed="64"/>
      </bottom>
      <diagonal style="thin">
        <color indexed="64"/>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double">
        <color rgb="FF0066FF"/>
      </left>
      <right/>
      <top style="double">
        <color rgb="FF0066FF"/>
      </top>
      <bottom/>
      <diagonal/>
    </border>
    <border>
      <left/>
      <right/>
      <top style="double">
        <color rgb="FF0066FF"/>
      </top>
      <bottom/>
      <diagonal/>
    </border>
    <border>
      <left/>
      <right style="double">
        <color rgb="FF0066FF"/>
      </right>
      <top style="double">
        <color rgb="FF0066FF"/>
      </top>
      <bottom/>
      <diagonal/>
    </border>
    <border>
      <left style="double">
        <color rgb="FF0066FF"/>
      </left>
      <right/>
      <top/>
      <bottom/>
      <diagonal/>
    </border>
    <border>
      <left/>
      <right style="double">
        <color rgb="FF0066FF"/>
      </right>
      <top/>
      <bottom/>
      <diagonal/>
    </border>
    <border>
      <left style="double">
        <color rgb="FF0066FF"/>
      </left>
      <right/>
      <top/>
      <bottom style="double">
        <color rgb="FF0066FF"/>
      </bottom>
      <diagonal/>
    </border>
    <border>
      <left/>
      <right/>
      <top/>
      <bottom style="double">
        <color rgb="FF0066FF"/>
      </bottom>
      <diagonal/>
    </border>
    <border>
      <left/>
      <right style="double">
        <color rgb="FF0066FF"/>
      </right>
      <top/>
      <bottom style="double">
        <color rgb="FF0066FF"/>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38" fillId="0" borderId="0" applyNumberFormat="0" applyFill="0" applyBorder="0" applyAlignment="0" applyProtection="0">
      <alignment vertical="center"/>
    </xf>
  </cellStyleXfs>
  <cellXfs count="287">
    <xf numFmtId="0" fontId="0" fillId="0" borderId="0" xfId="0">
      <alignment vertical="center"/>
    </xf>
    <xf numFmtId="0" fontId="4" fillId="0" borderId="0" xfId="0" applyFont="1">
      <alignment vertical="center"/>
    </xf>
    <xf numFmtId="0" fontId="6" fillId="0" borderId="0" xfId="0" applyFont="1">
      <alignment vertical="center"/>
    </xf>
    <xf numFmtId="0" fontId="10" fillId="0" borderId="0" xfId="0" applyFont="1">
      <alignment vertical="center"/>
    </xf>
    <xf numFmtId="176" fontId="10" fillId="0" borderId="0" xfId="0" applyNumberFormat="1" applyFont="1">
      <alignment vertical="center"/>
    </xf>
    <xf numFmtId="176" fontId="20" fillId="0" borderId="0" xfId="1" applyNumberFormat="1" applyFont="1" applyAlignment="1">
      <alignment vertical="center"/>
    </xf>
    <xf numFmtId="176" fontId="11" fillId="0" borderId="0" xfId="1" applyNumberFormat="1" applyFont="1" applyAlignment="1">
      <alignment vertical="center"/>
    </xf>
    <xf numFmtId="176" fontId="10" fillId="0" borderId="0" xfId="1" applyNumberFormat="1" applyFont="1" applyAlignment="1">
      <alignment vertical="center"/>
    </xf>
    <xf numFmtId="38" fontId="10" fillId="0" borderId="0" xfId="1" applyFont="1">
      <alignment vertical="center"/>
    </xf>
    <xf numFmtId="0" fontId="0" fillId="13" borderId="0" xfId="0" applyFill="1">
      <alignment vertical="center"/>
    </xf>
    <xf numFmtId="0" fontId="30" fillId="13" borderId="0" xfId="0" applyFont="1" applyFill="1" applyAlignment="1">
      <alignment vertical="center"/>
    </xf>
    <xf numFmtId="31" fontId="10" fillId="14" borderId="0" xfId="0" applyNumberFormat="1" applyFont="1" applyFill="1" applyProtection="1">
      <alignment vertical="center"/>
      <protection hidden="1"/>
    </xf>
    <xf numFmtId="0" fontId="10" fillId="14" borderId="0" xfId="0" applyFont="1" applyFill="1" applyProtection="1">
      <alignment vertical="center"/>
      <protection hidden="1"/>
    </xf>
    <xf numFmtId="0" fontId="10" fillId="0" borderId="0" xfId="0" applyFont="1" applyProtection="1">
      <alignment vertical="center"/>
      <protection hidden="1"/>
    </xf>
    <xf numFmtId="38" fontId="10" fillId="0" borderId="0" xfId="1" applyFont="1" applyProtection="1">
      <alignment vertical="center"/>
      <protection hidden="1"/>
    </xf>
    <xf numFmtId="0" fontId="10" fillId="0" borderId="0" xfId="0" applyFont="1" applyAlignment="1" applyProtection="1">
      <alignment horizontal="right" vertical="center"/>
      <protection hidden="1"/>
    </xf>
    <xf numFmtId="0" fontId="10" fillId="0" borderId="0" xfId="0" applyFont="1" applyAlignment="1" applyProtection="1">
      <alignment vertical="center"/>
      <protection hidden="1"/>
    </xf>
    <xf numFmtId="184" fontId="10" fillId="14" borderId="0" xfId="0" applyNumberFormat="1" applyFont="1" applyFill="1" applyProtection="1">
      <alignment vertical="center"/>
      <protection hidden="1"/>
    </xf>
    <xf numFmtId="176" fontId="11" fillId="0" borderId="0" xfId="1" applyNumberFormat="1" applyFont="1" applyAlignment="1" applyProtection="1">
      <alignment vertical="center"/>
      <protection hidden="1"/>
    </xf>
    <xf numFmtId="176" fontId="20" fillId="0" borderId="0" xfId="1" applyNumberFormat="1" applyFont="1" applyAlignment="1" applyProtection="1">
      <alignment vertical="center"/>
      <protection hidden="1"/>
    </xf>
    <xf numFmtId="176" fontId="10" fillId="0" borderId="0" xfId="1" applyNumberFormat="1" applyFont="1" applyAlignment="1" applyProtection="1">
      <alignment vertical="center"/>
      <protection hidden="1"/>
    </xf>
    <xf numFmtId="0" fontId="10" fillId="0" borderId="0" xfId="0" applyFont="1" applyAlignment="1" applyProtection="1">
      <alignment horizontal="left" vertical="center"/>
      <protection hidden="1"/>
    </xf>
    <xf numFmtId="176" fontId="20" fillId="0" borderId="0" xfId="1" applyNumberFormat="1" applyFont="1" applyBorder="1" applyAlignment="1" applyProtection="1">
      <alignment horizontal="right" vertical="center"/>
      <protection hidden="1"/>
    </xf>
    <xf numFmtId="184" fontId="10" fillId="0" borderId="0" xfId="0" applyNumberFormat="1" applyFont="1" applyProtection="1">
      <alignment vertical="center"/>
      <protection hidden="1"/>
    </xf>
    <xf numFmtId="176" fontId="10" fillId="14" borderId="0" xfId="1" applyNumberFormat="1" applyFont="1" applyFill="1" applyAlignment="1" applyProtection="1">
      <alignment vertical="center"/>
      <protection hidden="1"/>
    </xf>
    <xf numFmtId="176" fontId="10" fillId="0" borderId="0" xfId="0" applyNumberFormat="1" applyFont="1" applyProtection="1">
      <alignment vertical="center"/>
      <protection hidden="1"/>
    </xf>
    <xf numFmtId="184" fontId="10" fillId="0" borderId="0" xfId="1" applyNumberFormat="1" applyFont="1" applyProtection="1">
      <alignment vertical="center"/>
      <protection hidden="1"/>
    </xf>
    <xf numFmtId="184" fontId="10" fillId="14" borderId="0" xfId="1" applyNumberFormat="1" applyFont="1" applyFill="1" applyProtection="1">
      <alignment vertical="center"/>
      <protection hidden="1"/>
    </xf>
    <xf numFmtId="0" fontId="10" fillId="0" borderId="0" xfId="0" applyFont="1" applyAlignment="1" applyProtection="1">
      <alignment horizontal="center" vertical="center"/>
      <protection hidden="1"/>
    </xf>
    <xf numFmtId="0" fontId="10" fillId="0" borderId="1" xfId="0" applyFont="1" applyBorder="1" applyProtection="1">
      <alignment vertical="center"/>
      <protection hidden="1"/>
    </xf>
    <xf numFmtId="0" fontId="10" fillId="0" borderId="1" xfId="0" applyFont="1" applyBorder="1" applyAlignment="1" applyProtection="1">
      <alignment horizontal="center" vertical="center"/>
      <protection hidden="1"/>
    </xf>
    <xf numFmtId="10" fontId="11" fillId="0" borderId="1" xfId="0" applyNumberFormat="1" applyFont="1" applyBorder="1" applyProtection="1">
      <alignment vertical="center"/>
      <protection hidden="1"/>
    </xf>
    <xf numFmtId="179" fontId="11" fillId="0" borderId="1" xfId="0" applyNumberFormat="1" applyFont="1" applyFill="1" applyBorder="1" applyProtection="1">
      <alignment vertical="center"/>
      <protection hidden="1"/>
    </xf>
    <xf numFmtId="179" fontId="10" fillId="0" borderId="1" xfId="2" applyNumberFormat="1" applyFont="1" applyFill="1" applyBorder="1" applyProtection="1">
      <alignment vertical="center"/>
      <protection hidden="1"/>
    </xf>
    <xf numFmtId="38" fontId="10" fillId="0" borderId="1" xfId="1" applyFont="1" applyBorder="1" applyProtection="1">
      <alignment vertical="center"/>
      <protection hidden="1"/>
    </xf>
    <xf numFmtId="179" fontId="10" fillId="0" borderId="1" xfId="0" applyNumberFormat="1" applyFont="1" applyBorder="1" applyProtection="1">
      <alignment vertical="center"/>
      <protection hidden="1"/>
    </xf>
    <xf numFmtId="179" fontId="10" fillId="0" borderId="1" xfId="0" applyNumberFormat="1" applyFont="1" applyFill="1" applyBorder="1" applyProtection="1">
      <alignment vertical="center"/>
      <protection hidden="1"/>
    </xf>
    <xf numFmtId="0" fontId="10" fillId="0" borderId="0" xfId="0" applyFont="1" applyFill="1" applyProtection="1">
      <alignment vertical="center"/>
      <protection hidden="1"/>
    </xf>
    <xf numFmtId="179" fontId="11" fillId="0" borderId="1" xfId="0" applyNumberFormat="1" applyFont="1" applyBorder="1" applyProtection="1">
      <alignment vertical="center"/>
      <protection hidden="1"/>
    </xf>
    <xf numFmtId="0" fontId="6" fillId="0" borderId="0" xfId="0" applyFont="1" applyProtection="1">
      <alignment vertical="center"/>
      <protection hidden="1"/>
    </xf>
    <xf numFmtId="0" fontId="6" fillId="2" borderId="1" xfId="0" applyFont="1" applyFill="1" applyBorder="1" applyAlignment="1" applyProtection="1">
      <alignment horizontal="center" vertical="center"/>
      <protection hidden="1"/>
    </xf>
    <xf numFmtId="0" fontId="7" fillId="2" borderId="1" xfId="0" applyFont="1" applyFill="1" applyBorder="1" applyAlignment="1" applyProtection="1">
      <alignment horizontal="center" vertical="center"/>
      <protection hidden="1"/>
    </xf>
    <xf numFmtId="176" fontId="7" fillId="2" borderId="1" xfId="1" applyNumberFormat="1" applyFont="1" applyFill="1" applyBorder="1" applyAlignment="1" applyProtection="1">
      <alignment horizontal="center" vertical="center"/>
      <protection hidden="1"/>
    </xf>
    <xf numFmtId="0" fontId="6" fillId="12" borderId="1" xfId="0" applyFont="1" applyFill="1" applyBorder="1" applyAlignment="1" applyProtection="1">
      <alignment horizontal="center" vertical="center"/>
      <protection hidden="1"/>
    </xf>
    <xf numFmtId="0" fontId="6" fillId="12" borderId="21" xfId="0" applyFont="1" applyFill="1" applyBorder="1" applyProtection="1">
      <alignment vertical="center"/>
      <protection hidden="1"/>
    </xf>
    <xf numFmtId="38" fontId="7" fillId="0" borderId="5" xfId="1" applyFont="1" applyBorder="1" applyProtection="1">
      <alignment vertical="center"/>
      <protection hidden="1"/>
    </xf>
    <xf numFmtId="38" fontId="7" fillId="0" borderId="6" xfId="1" quotePrefix="1" applyFont="1" applyBorder="1" applyAlignment="1" applyProtection="1">
      <alignment horizontal="center" vertical="center"/>
      <protection hidden="1"/>
    </xf>
    <xf numFmtId="38" fontId="7" fillId="0" borderId="7" xfId="1" applyFont="1" applyBorder="1" applyProtection="1">
      <alignment vertical="center"/>
      <protection hidden="1"/>
    </xf>
    <xf numFmtId="177" fontId="7" fillId="0" borderId="8" xfId="2" applyNumberFormat="1" applyFont="1" applyBorder="1" applyProtection="1">
      <alignment vertical="center"/>
      <protection hidden="1"/>
    </xf>
    <xf numFmtId="178" fontId="7" fillId="0" borderId="9" xfId="1" applyNumberFormat="1" applyFont="1" applyBorder="1" applyProtection="1">
      <alignment vertical="center"/>
      <protection hidden="1"/>
    </xf>
    <xf numFmtId="38" fontId="7" fillId="0" borderId="10" xfId="1" applyFont="1" applyBorder="1" applyProtection="1">
      <alignment vertical="center"/>
      <protection hidden="1"/>
    </xf>
    <xf numFmtId="38" fontId="6" fillId="0" borderId="0" xfId="1" applyFont="1" applyBorder="1" applyProtection="1">
      <alignment vertical="center"/>
      <protection hidden="1"/>
    </xf>
    <xf numFmtId="38" fontId="6" fillId="0" borderId="6" xfId="1" quotePrefix="1" applyFont="1" applyBorder="1" applyAlignment="1" applyProtection="1">
      <alignment horizontal="center" vertical="center"/>
      <protection hidden="1"/>
    </xf>
    <xf numFmtId="38" fontId="6" fillId="0" borderId="7" xfId="1" applyFont="1" applyBorder="1" applyProtection="1">
      <alignment vertical="center"/>
      <protection hidden="1"/>
    </xf>
    <xf numFmtId="179" fontId="7" fillId="0" borderId="9" xfId="2" applyNumberFormat="1" applyFont="1" applyBorder="1" applyProtection="1">
      <alignment vertical="center"/>
      <protection hidden="1"/>
    </xf>
    <xf numFmtId="38" fontId="7" fillId="0" borderId="11" xfId="1" applyFont="1" applyBorder="1" applyProtection="1">
      <alignment vertical="center"/>
      <protection hidden="1"/>
    </xf>
    <xf numFmtId="38" fontId="7" fillId="0" borderId="12" xfId="1" quotePrefix="1" applyFont="1" applyBorder="1" applyAlignment="1" applyProtection="1">
      <alignment horizontal="center" vertical="center"/>
      <protection hidden="1"/>
    </xf>
    <xf numFmtId="38" fontId="7" fillId="0" borderId="9" xfId="1" applyFont="1" applyBorder="1" applyProtection="1">
      <alignment vertical="center"/>
      <protection hidden="1"/>
    </xf>
    <xf numFmtId="176" fontId="7" fillId="0" borderId="1" xfId="1" applyNumberFormat="1" applyFont="1" applyBorder="1" applyAlignment="1" applyProtection="1">
      <alignment horizontal="center" vertical="center"/>
      <protection hidden="1"/>
    </xf>
    <xf numFmtId="0" fontId="7" fillId="0" borderId="1" xfId="0" applyFont="1" applyBorder="1" applyProtection="1">
      <alignment vertical="center"/>
      <protection hidden="1"/>
    </xf>
    <xf numFmtId="38" fontId="7" fillId="0" borderId="13" xfId="1" applyFont="1" applyBorder="1" applyProtection="1">
      <alignment vertical="center"/>
      <protection hidden="1"/>
    </xf>
    <xf numFmtId="38" fontId="7" fillId="0" borderId="14" xfId="1" quotePrefix="1" applyFont="1" applyBorder="1" applyAlignment="1" applyProtection="1">
      <alignment horizontal="center" vertical="center"/>
      <protection hidden="1"/>
    </xf>
    <xf numFmtId="38" fontId="7" fillId="0" borderId="15" xfId="1" applyFont="1" applyBorder="1" applyProtection="1">
      <alignment vertical="center"/>
      <protection hidden="1"/>
    </xf>
    <xf numFmtId="178" fontId="7" fillId="0" borderId="8" xfId="1" applyNumberFormat="1" applyFont="1" applyBorder="1" applyProtection="1">
      <alignment vertical="center"/>
      <protection hidden="1"/>
    </xf>
    <xf numFmtId="38" fontId="7" fillId="0" borderId="8" xfId="1" applyFont="1" applyBorder="1" applyProtection="1">
      <alignment vertical="center"/>
      <protection hidden="1"/>
    </xf>
    <xf numFmtId="38" fontId="6" fillId="0" borderId="14" xfId="1" quotePrefix="1" applyFont="1" applyBorder="1" applyAlignment="1" applyProtection="1">
      <alignment horizontal="center" vertical="center"/>
      <protection hidden="1"/>
    </xf>
    <xf numFmtId="38" fontId="6" fillId="0" borderId="15" xfId="1" applyFont="1" applyBorder="1" applyProtection="1">
      <alignment vertical="center"/>
      <protection hidden="1"/>
    </xf>
    <xf numFmtId="179" fontId="7" fillId="0" borderId="8" xfId="2" applyNumberFormat="1" applyFont="1" applyBorder="1" applyProtection="1">
      <alignment vertical="center"/>
      <protection hidden="1"/>
    </xf>
    <xf numFmtId="0" fontId="6" fillId="0" borderId="1" xfId="0" applyFont="1" applyBorder="1" applyAlignment="1" applyProtection="1">
      <alignment horizontal="center" vertical="center"/>
      <protection hidden="1"/>
    </xf>
    <xf numFmtId="0" fontId="6" fillId="0" borderId="1" xfId="0" applyFont="1" applyBorder="1" applyProtection="1">
      <alignment vertical="center"/>
      <protection hidden="1"/>
    </xf>
    <xf numFmtId="38" fontId="7" fillId="0" borderId="16" xfId="1" applyFont="1" applyBorder="1" applyProtection="1">
      <alignment vertical="center"/>
      <protection hidden="1"/>
    </xf>
    <xf numFmtId="38" fontId="6" fillId="0" borderId="17" xfId="1" quotePrefix="1" applyFont="1" applyBorder="1" applyAlignment="1" applyProtection="1">
      <alignment horizontal="center" vertical="center"/>
      <protection hidden="1"/>
    </xf>
    <xf numFmtId="38" fontId="6" fillId="0" borderId="18" xfId="1" applyFont="1" applyBorder="1" applyProtection="1">
      <alignment vertical="center"/>
      <protection hidden="1"/>
    </xf>
    <xf numFmtId="179" fontId="7" fillId="0" borderId="19" xfId="2" applyNumberFormat="1" applyFont="1" applyBorder="1" applyProtection="1">
      <alignment vertical="center"/>
      <protection hidden="1"/>
    </xf>
    <xf numFmtId="38" fontId="7" fillId="0" borderId="19" xfId="1" applyFont="1" applyBorder="1" applyProtection="1">
      <alignment vertical="center"/>
      <protection hidden="1"/>
    </xf>
    <xf numFmtId="176" fontId="6" fillId="0" borderId="1" xfId="1" applyNumberFormat="1" applyFont="1" applyBorder="1" applyAlignment="1" applyProtection="1">
      <alignment horizontal="center" vertical="center"/>
      <protection hidden="1"/>
    </xf>
    <xf numFmtId="179" fontId="6" fillId="0" borderId="1" xfId="2" applyNumberFormat="1" applyFont="1" applyBorder="1" applyAlignment="1" applyProtection="1">
      <alignment horizontal="center" vertical="center"/>
      <protection hidden="1"/>
    </xf>
    <xf numFmtId="0" fontId="7" fillId="0" borderId="0" xfId="0" applyFont="1" applyProtection="1">
      <alignment vertical="center"/>
      <protection hidden="1"/>
    </xf>
    <xf numFmtId="38" fontId="6" fillId="2" borderId="1" xfId="1" applyFont="1" applyFill="1" applyBorder="1" applyAlignment="1" applyProtection="1">
      <alignment horizontal="center" vertical="center"/>
      <protection hidden="1"/>
    </xf>
    <xf numFmtId="179" fontId="7" fillId="11" borderId="1" xfId="2" applyNumberFormat="1" applyFont="1" applyFill="1" applyBorder="1" applyProtection="1">
      <alignment vertical="center"/>
      <protection hidden="1"/>
    </xf>
    <xf numFmtId="38" fontId="6" fillId="11" borderId="20" xfId="1" applyFont="1" applyFill="1" applyBorder="1" applyProtection="1">
      <alignment vertical="center"/>
      <protection hidden="1"/>
    </xf>
    <xf numFmtId="38" fontId="7" fillId="11" borderId="1" xfId="1" applyFont="1" applyFill="1" applyBorder="1" applyProtection="1">
      <alignment vertical="center"/>
      <protection hidden="1"/>
    </xf>
    <xf numFmtId="38" fontId="7" fillId="0" borderId="17" xfId="1" quotePrefix="1" applyFont="1" applyBorder="1" applyAlignment="1" applyProtection="1">
      <alignment horizontal="center" vertical="center"/>
      <protection hidden="1"/>
    </xf>
    <xf numFmtId="38" fontId="7" fillId="0" borderId="18" xfId="1" applyFont="1" applyBorder="1" applyProtection="1">
      <alignment vertical="center"/>
      <protection hidden="1"/>
    </xf>
    <xf numFmtId="177" fontId="7" fillId="0" borderId="19" xfId="2" applyNumberFormat="1" applyFont="1" applyBorder="1" applyProtection="1">
      <alignment vertical="center"/>
      <protection hidden="1"/>
    </xf>
    <xf numFmtId="178" fontId="7" fillId="0" borderId="19" xfId="1" applyNumberFormat="1" applyFont="1" applyBorder="1" applyProtection="1">
      <alignment vertical="center"/>
      <protection hidden="1"/>
    </xf>
    <xf numFmtId="38" fontId="6" fillId="0" borderId="0" xfId="1" applyFont="1" applyProtection="1">
      <alignment vertical="center"/>
      <protection hidden="1"/>
    </xf>
    <xf numFmtId="0" fontId="9" fillId="0" borderId="0" xfId="0" applyFont="1" applyProtection="1">
      <alignment vertical="center"/>
      <protection hidden="1"/>
    </xf>
    <xf numFmtId="38" fontId="6" fillId="0" borderId="1" xfId="1" applyFont="1" applyBorder="1" applyAlignment="1" applyProtection="1">
      <alignment vertical="center"/>
      <protection hidden="1"/>
    </xf>
    <xf numFmtId="38" fontId="7" fillId="0" borderId="1" xfId="1" applyFont="1" applyBorder="1" applyProtection="1">
      <alignment vertical="center"/>
      <protection hidden="1"/>
    </xf>
    <xf numFmtId="0" fontId="6" fillId="0" borderId="0" xfId="0" applyFont="1" applyFill="1" applyProtection="1">
      <alignment vertical="center"/>
      <protection hidden="1"/>
    </xf>
    <xf numFmtId="0" fontId="6" fillId="0" borderId="0" xfId="0" applyFont="1" applyAlignment="1" applyProtection="1">
      <alignment horizontal="right" vertical="center"/>
      <protection hidden="1"/>
    </xf>
    <xf numFmtId="38" fontId="6" fillId="0" borderId="1" xfId="1" applyFont="1" applyBorder="1" applyAlignment="1" applyProtection="1">
      <alignment horizontal="right" vertical="center"/>
      <protection hidden="1"/>
    </xf>
    <xf numFmtId="38" fontId="6" fillId="0" borderId="1" xfId="1" applyFont="1" applyBorder="1" applyProtection="1">
      <alignment vertical="center"/>
      <protection hidden="1"/>
    </xf>
    <xf numFmtId="38" fontId="6" fillId="0" borderId="1" xfId="0" applyNumberFormat="1" applyFont="1" applyBorder="1" applyProtection="1">
      <alignment vertical="center"/>
      <protection hidden="1"/>
    </xf>
    <xf numFmtId="38" fontId="6" fillId="0" borderId="0" xfId="0" applyNumberFormat="1" applyFont="1" applyProtection="1">
      <alignment vertical="center"/>
      <protection hidden="1"/>
    </xf>
    <xf numFmtId="0" fontId="0" fillId="0" borderId="0" xfId="0" applyProtection="1">
      <alignment vertical="center"/>
      <protection hidden="1"/>
    </xf>
    <xf numFmtId="0" fontId="4" fillId="0" borderId="0" xfId="0" applyFont="1" applyProtection="1">
      <alignment vertical="center"/>
      <protection hidden="1"/>
    </xf>
    <xf numFmtId="0" fontId="13" fillId="0" borderId="0" xfId="0" applyFont="1" applyProtection="1">
      <alignment vertical="center"/>
      <protection hidden="1"/>
    </xf>
    <xf numFmtId="14" fontId="4" fillId="0" borderId="0" xfId="0" applyNumberFormat="1" applyFont="1" applyProtection="1">
      <alignment vertical="center"/>
      <protection hidden="1"/>
    </xf>
    <xf numFmtId="0" fontId="14" fillId="0" borderId="0" xfId="0" applyFont="1" applyProtection="1">
      <alignment vertical="center"/>
      <protection hidden="1"/>
    </xf>
    <xf numFmtId="0" fontId="15" fillId="0" borderId="0" xfId="0" applyFont="1" applyProtection="1">
      <alignment vertical="center"/>
      <protection hidden="1"/>
    </xf>
    <xf numFmtId="0" fontId="16" fillId="0" borderId="0" xfId="0" applyFont="1" applyBorder="1" applyAlignment="1" applyProtection="1">
      <alignment horizontal="center" vertical="center"/>
      <protection hidden="1"/>
    </xf>
    <xf numFmtId="0" fontId="4" fillId="0" borderId="24" xfId="0" applyFont="1" applyBorder="1" applyAlignment="1" applyProtection="1">
      <alignment horizontal="center" vertical="center"/>
      <protection hidden="1"/>
    </xf>
    <xf numFmtId="176" fontId="21" fillId="11" borderId="25" xfId="1" applyNumberFormat="1" applyFont="1" applyFill="1" applyBorder="1" applyAlignment="1" applyProtection="1">
      <alignment vertical="center"/>
      <protection hidden="1"/>
    </xf>
    <xf numFmtId="176" fontId="5" fillId="0" borderId="0" xfId="1" applyNumberFormat="1" applyFont="1" applyAlignment="1" applyProtection="1">
      <alignment vertical="center"/>
      <protection hidden="1"/>
    </xf>
    <xf numFmtId="0" fontId="4" fillId="0" borderId="1" xfId="0" applyFont="1" applyBorder="1" applyProtection="1">
      <alignment vertical="center"/>
      <protection hidden="1"/>
    </xf>
    <xf numFmtId="176" fontId="21" fillId="0" borderId="1" xfId="1" applyNumberFormat="1" applyFont="1" applyBorder="1" applyAlignment="1" applyProtection="1">
      <alignment vertical="center"/>
      <protection hidden="1"/>
    </xf>
    <xf numFmtId="0" fontId="17" fillId="0" borderId="26" xfId="0" applyFont="1" applyBorder="1" applyAlignment="1" applyProtection="1">
      <alignment horizontal="center" vertical="center" shrinkToFit="1"/>
      <protection hidden="1"/>
    </xf>
    <xf numFmtId="176" fontId="21" fillId="11" borderId="27" xfId="1" applyNumberFormat="1" applyFont="1" applyFill="1" applyBorder="1" applyAlignment="1" applyProtection="1">
      <alignment vertical="center"/>
      <protection hidden="1"/>
    </xf>
    <xf numFmtId="0" fontId="4" fillId="0" borderId="22" xfId="0" applyFont="1" applyBorder="1" applyAlignment="1" applyProtection="1">
      <alignment horizontal="center" vertical="center"/>
      <protection hidden="1"/>
    </xf>
    <xf numFmtId="176" fontId="21" fillId="11" borderId="23" xfId="1" applyNumberFormat="1" applyFont="1" applyFill="1" applyBorder="1" applyAlignment="1" applyProtection="1">
      <alignment vertical="center"/>
      <protection hidden="1"/>
    </xf>
    <xf numFmtId="0" fontId="17" fillId="0" borderId="26" xfId="0" applyFont="1" applyBorder="1" applyAlignment="1" applyProtection="1">
      <alignment horizontal="center" vertical="center"/>
      <protection hidden="1"/>
    </xf>
    <xf numFmtId="0" fontId="4" fillId="0" borderId="28" xfId="0" applyFont="1" applyBorder="1" applyProtection="1">
      <alignment vertical="center"/>
      <protection hidden="1"/>
    </xf>
    <xf numFmtId="0" fontId="4" fillId="0" borderId="29" xfId="0" applyFont="1" applyBorder="1" applyAlignment="1" applyProtection="1">
      <alignment horizontal="right" vertical="center"/>
      <protection hidden="1"/>
    </xf>
    <xf numFmtId="180" fontId="21" fillId="11" borderId="23" xfId="0" applyNumberFormat="1" applyFont="1" applyFill="1" applyBorder="1" applyProtection="1">
      <alignment vertical="center"/>
      <protection hidden="1"/>
    </xf>
    <xf numFmtId="0" fontId="4" fillId="0" borderId="0" xfId="0" applyFont="1" applyAlignment="1" applyProtection="1">
      <alignment horizontal="right" vertical="center"/>
      <protection hidden="1"/>
    </xf>
    <xf numFmtId="0" fontId="4" fillId="0" borderId="30" xfId="0" applyFont="1" applyBorder="1" applyProtection="1">
      <alignment vertical="center"/>
      <protection hidden="1"/>
    </xf>
    <xf numFmtId="0" fontId="4" fillId="0" borderId="4" xfId="0" applyFont="1" applyBorder="1" applyAlignment="1" applyProtection="1">
      <alignment horizontal="right" vertical="center"/>
      <protection hidden="1"/>
    </xf>
    <xf numFmtId="180" fontId="21" fillId="11" borderId="25" xfId="0" applyNumberFormat="1" applyFont="1" applyFill="1" applyBorder="1" applyProtection="1">
      <alignment vertical="center"/>
      <protection hidden="1"/>
    </xf>
    <xf numFmtId="0" fontId="4" fillId="0" borderId="31" xfId="0" applyFont="1" applyBorder="1" applyProtection="1">
      <alignment vertical="center"/>
      <protection hidden="1"/>
    </xf>
    <xf numFmtId="0" fontId="4" fillId="0" borderId="32" xfId="0" applyFont="1" applyBorder="1" applyAlignment="1" applyProtection="1">
      <alignment horizontal="right" vertical="center"/>
      <protection hidden="1"/>
    </xf>
    <xf numFmtId="181" fontId="17" fillId="0" borderId="27" xfId="0" applyNumberFormat="1" applyFont="1" applyBorder="1" applyProtection="1">
      <alignment vertical="center"/>
      <protection hidden="1"/>
    </xf>
    <xf numFmtId="188" fontId="4" fillId="0" borderId="1" xfId="0" applyNumberFormat="1" applyFont="1" applyBorder="1" applyAlignment="1" applyProtection="1">
      <alignment horizontal="left" vertical="center"/>
      <protection hidden="1"/>
    </xf>
    <xf numFmtId="0" fontId="5" fillId="0" borderId="0" xfId="0" applyFont="1" applyAlignment="1" applyProtection="1">
      <alignment horizontal="center" vertical="center"/>
      <protection hidden="1"/>
    </xf>
    <xf numFmtId="182" fontId="5" fillId="0" borderId="0" xfId="0" applyNumberFormat="1" applyFont="1" applyAlignment="1" applyProtection="1">
      <alignment horizontal="center" vertical="center"/>
      <protection hidden="1"/>
    </xf>
    <xf numFmtId="0" fontId="4" fillId="5" borderId="35" xfId="0" applyFont="1" applyFill="1" applyBorder="1" applyAlignment="1" applyProtection="1">
      <alignment horizontal="center" vertical="center" wrapText="1"/>
      <protection hidden="1"/>
    </xf>
    <xf numFmtId="0" fontId="4" fillId="6" borderId="36" xfId="0" applyFont="1" applyFill="1" applyBorder="1" applyAlignment="1" applyProtection="1">
      <alignment horizontal="center" vertical="center"/>
      <protection hidden="1"/>
    </xf>
    <xf numFmtId="0" fontId="4" fillId="5" borderId="23" xfId="0" applyFont="1" applyFill="1" applyBorder="1" applyAlignment="1" applyProtection="1">
      <alignment horizontal="left" vertical="center"/>
      <protection hidden="1"/>
    </xf>
    <xf numFmtId="0" fontId="4" fillId="0" borderId="38" xfId="0" applyFont="1" applyFill="1" applyBorder="1" applyAlignment="1" applyProtection="1">
      <alignment horizontal="left" vertical="center"/>
      <protection hidden="1"/>
    </xf>
    <xf numFmtId="176" fontId="4" fillId="13" borderId="29" xfId="0" applyNumberFormat="1" applyFont="1" applyFill="1" applyBorder="1" applyProtection="1">
      <alignment vertical="center"/>
      <protection hidden="1"/>
    </xf>
    <xf numFmtId="176" fontId="4" fillId="13" borderId="39" xfId="0" applyNumberFormat="1" applyFont="1" applyFill="1" applyBorder="1" applyProtection="1">
      <alignment vertical="center"/>
      <protection hidden="1"/>
    </xf>
    <xf numFmtId="176" fontId="4" fillId="13" borderId="23" xfId="0" applyNumberFormat="1" applyFont="1" applyFill="1" applyBorder="1" applyProtection="1">
      <alignment vertical="center"/>
      <protection hidden="1"/>
    </xf>
    <xf numFmtId="0" fontId="4" fillId="5" borderId="25" xfId="0" applyFont="1" applyFill="1" applyBorder="1" applyAlignment="1" applyProtection="1">
      <alignment horizontal="left" vertical="center"/>
      <protection hidden="1"/>
    </xf>
    <xf numFmtId="0" fontId="4" fillId="0" borderId="3" xfId="0" applyFont="1" applyFill="1" applyBorder="1" applyAlignment="1" applyProtection="1">
      <alignment horizontal="left" vertical="center"/>
      <protection hidden="1"/>
    </xf>
    <xf numFmtId="176" fontId="4" fillId="13" borderId="4" xfId="0" applyNumberFormat="1" applyFont="1" applyFill="1" applyBorder="1" applyProtection="1">
      <alignment vertical="center"/>
      <protection hidden="1"/>
    </xf>
    <xf numFmtId="176" fontId="4" fillId="13" borderId="1" xfId="0" applyNumberFormat="1" applyFont="1" applyFill="1" applyBorder="1" applyProtection="1">
      <alignment vertical="center"/>
      <protection hidden="1"/>
    </xf>
    <xf numFmtId="176" fontId="4" fillId="13" borderId="25" xfId="0" applyNumberFormat="1" applyFont="1" applyFill="1" applyBorder="1" applyProtection="1">
      <alignment vertical="center"/>
      <protection hidden="1"/>
    </xf>
    <xf numFmtId="0" fontId="4" fillId="5" borderId="42" xfId="0" applyFont="1" applyFill="1" applyBorder="1" applyAlignment="1" applyProtection="1">
      <alignment horizontal="left" vertical="center"/>
      <protection hidden="1"/>
    </xf>
    <xf numFmtId="0" fontId="4" fillId="0" borderId="43" xfId="0" applyFont="1" applyFill="1" applyBorder="1" applyAlignment="1" applyProtection="1">
      <alignment horizontal="left" vertical="center"/>
      <protection hidden="1"/>
    </xf>
    <xf numFmtId="176" fontId="4" fillId="13" borderId="32" xfId="0" applyNumberFormat="1" applyFont="1" applyFill="1" applyBorder="1" applyProtection="1">
      <alignment vertical="center"/>
      <protection hidden="1"/>
    </xf>
    <xf numFmtId="176" fontId="4" fillId="13" borderId="44" xfId="0" applyNumberFormat="1" applyFont="1" applyFill="1" applyBorder="1" applyProtection="1">
      <alignment vertical="center"/>
      <protection hidden="1"/>
    </xf>
    <xf numFmtId="176" fontId="4" fillId="13" borderId="27" xfId="0" applyNumberFormat="1" applyFont="1" applyFill="1" applyBorder="1" applyProtection="1">
      <alignment vertical="center"/>
      <protection hidden="1"/>
    </xf>
    <xf numFmtId="176" fontId="4" fillId="0" borderId="0" xfId="0" applyNumberFormat="1" applyFont="1" applyProtection="1">
      <alignment vertical="center"/>
      <protection hidden="1"/>
    </xf>
    <xf numFmtId="0" fontId="4" fillId="3" borderId="46" xfId="0" applyFont="1" applyFill="1" applyBorder="1" applyAlignment="1" applyProtection="1">
      <alignment horizontal="left" vertical="center"/>
      <protection hidden="1"/>
    </xf>
    <xf numFmtId="0" fontId="4" fillId="0" borderId="47" xfId="0" applyFont="1" applyFill="1" applyBorder="1" applyAlignment="1" applyProtection="1">
      <alignment horizontal="left" vertical="center"/>
      <protection hidden="1"/>
    </xf>
    <xf numFmtId="176" fontId="4" fillId="13" borderId="48" xfId="0" applyNumberFormat="1" applyFont="1" applyFill="1" applyBorder="1" applyProtection="1">
      <alignment vertical="center"/>
      <protection hidden="1"/>
    </xf>
    <xf numFmtId="176" fontId="4" fillId="13" borderId="49" xfId="0" applyNumberFormat="1" applyFont="1" applyFill="1" applyBorder="1" applyProtection="1">
      <alignment vertical="center"/>
      <protection hidden="1"/>
    </xf>
    <xf numFmtId="176" fontId="4" fillId="13" borderId="46" xfId="0" applyNumberFormat="1" applyFont="1" applyFill="1" applyBorder="1" applyProtection="1">
      <alignment vertical="center"/>
      <protection hidden="1"/>
    </xf>
    <xf numFmtId="0" fontId="4" fillId="3" borderId="25" xfId="0" applyFont="1" applyFill="1" applyBorder="1" applyAlignment="1" applyProtection="1">
      <alignment horizontal="left" vertical="center"/>
      <protection hidden="1"/>
    </xf>
    <xf numFmtId="0" fontId="4" fillId="3" borderId="27" xfId="0" applyFont="1" applyFill="1" applyBorder="1" applyAlignment="1" applyProtection="1">
      <alignment horizontal="left" vertical="center"/>
      <protection hidden="1"/>
    </xf>
    <xf numFmtId="0" fontId="4" fillId="0" borderId="50" xfId="0" applyFont="1" applyFill="1" applyBorder="1" applyAlignment="1" applyProtection="1">
      <alignment horizontal="left" vertical="center"/>
      <protection hidden="1"/>
    </xf>
    <xf numFmtId="176" fontId="4" fillId="13" borderId="51" xfId="0" applyNumberFormat="1" applyFont="1" applyFill="1" applyBorder="1" applyProtection="1">
      <alignment vertical="center"/>
      <protection hidden="1"/>
    </xf>
    <xf numFmtId="176" fontId="4" fillId="13" borderId="21" xfId="0" applyNumberFormat="1" applyFont="1" applyFill="1" applyBorder="1" applyProtection="1">
      <alignment vertical="center"/>
      <protection hidden="1"/>
    </xf>
    <xf numFmtId="176" fontId="4" fillId="13" borderId="52" xfId="0" applyNumberFormat="1" applyFont="1" applyFill="1" applyBorder="1" applyProtection="1">
      <alignment vertical="center"/>
      <protection hidden="1"/>
    </xf>
    <xf numFmtId="176" fontId="4" fillId="7" borderId="34" xfId="0" applyNumberFormat="1" applyFont="1" applyFill="1" applyBorder="1" applyProtection="1">
      <alignment vertical="center"/>
      <protection hidden="1"/>
    </xf>
    <xf numFmtId="0" fontId="17" fillId="8" borderId="58" xfId="0" applyFont="1" applyFill="1" applyBorder="1" applyAlignment="1" applyProtection="1">
      <alignment horizontal="center" vertical="center"/>
      <protection hidden="1"/>
    </xf>
    <xf numFmtId="0" fontId="4" fillId="4" borderId="53" xfId="0" applyFont="1" applyFill="1" applyBorder="1" applyAlignment="1" applyProtection="1">
      <alignment horizontal="center" vertical="center" wrapText="1"/>
      <protection hidden="1"/>
    </xf>
    <xf numFmtId="176" fontId="4" fillId="4" borderId="54" xfId="1" applyNumberFormat="1" applyFont="1" applyFill="1" applyBorder="1" applyProtection="1">
      <alignment vertical="center"/>
      <protection hidden="1"/>
    </xf>
    <xf numFmtId="176" fontId="4" fillId="4" borderId="36" xfId="1" applyNumberFormat="1" applyFont="1" applyFill="1" applyBorder="1" applyProtection="1">
      <alignment vertical="center"/>
      <protection hidden="1"/>
    </xf>
    <xf numFmtId="176" fontId="4" fillId="8" borderId="61" xfId="0" applyNumberFormat="1" applyFont="1" applyFill="1" applyBorder="1" applyProtection="1">
      <alignment vertical="center"/>
      <protection hidden="1"/>
    </xf>
    <xf numFmtId="0" fontId="4" fillId="9" borderId="39" xfId="0" applyFont="1" applyFill="1" applyBorder="1" applyAlignment="1" applyProtection="1">
      <alignment horizontal="left" vertical="center"/>
      <protection hidden="1"/>
    </xf>
    <xf numFmtId="0" fontId="4" fillId="0" borderId="23" xfId="0" applyFont="1" applyBorder="1" applyProtection="1">
      <alignment vertical="center"/>
      <protection hidden="1"/>
    </xf>
    <xf numFmtId="0" fontId="22" fillId="10" borderId="62" xfId="0" applyFont="1" applyFill="1" applyBorder="1" applyAlignment="1" applyProtection="1">
      <alignment horizontal="center" vertical="center"/>
      <protection hidden="1"/>
    </xf>
    <xf numFmtId="0" fontId="4" fillId="9" borderId="1" xfId="0" applyFont="1" applyFill="1" applyBorder="1" applyAlignment="1" applyProtection="1">
      <alignment horizontal="left" vertical="center"/>
      <protection hidden="1"/>
    </xf>
    <xf numFmtId="183" fontId="4" fillId="0" borderId="25" xfId="0" applyNumberFormat="1" applyFont="1" applyBorder="1" applyProtection="1">
      <alignment vertical="center"/>
      <protection hidden="1"/>
    </xf>
    <xf numFmtId="181" fontId="4" fillId="10" borderId="61" xfId="0" applyNumberFormat="1" applyFont="1" applyFill="1" applyBorder="1" applyAlignment="1" applyProtection="1">
      <alignment horizontal="center" vertical="center"/>
      <protection hidden="1"/>
    </xf>
    <xf numFmtId="0" fontId="4" fillId="9" borderId="44" xfId="0" applyFont="1" applyFill="1" applyBorder="1" applyAlignment="1" applyProtection="1">
      <alignment horizontal="left" vertical="center"/>
      <protection hidden="1"/>
    </xf>
    <xf numFmtId="176" fontId="4" fillId="9" borderId="27" xfId="1" applyNumberFormat="1" applyFont="1" applyFill="1" applyBorder="1" applyProtection="1">
      <alignment vertical="center"/>
      <protection hidden="1"/>
    </xf>
    <xf numFmtId="0" fontId="23" fillId="0" borderId="0" xfId="0" applyFont="1" applyProtection="1">
      <alignment vertical="center"/>
      <protection hidden="1"/>
    </xf>
    <xf numFmtId="187" fontId="31" fillId="15" borderId="25" xfId="1" applyNumberFormat="1" applyFont="1" applyFill="1" applyBorder="1" applyAlignment="1" applyProtection="1">
      <alignment vertical="center"/>
      <protection locked="0"/>
    </xf>
    <xf numFmtId="187" fontId="31" fillId="15" borderId="27" xfId="1" applyNumberFormat="1" applyFont="1" applyFill="1" applyBorder="1" applyAlignment="1" applyProtection="1">
      <alignment vertical="center"/>
      <protection locked="0"/>
    </xf>
    <xf numFmtId="187" fontId="31" fillId="15" borderId="23" xfId="1" applyNumberFormat="1" applyFont="1" applyFill="1" applyBorder="1" applyAlignment="1" applyProtection="1">
      <alignment vertical="center"/>
      <protection locked="0"/>
    </xf>
    <xf numFmtId="188" fontId="32" fillId="15" borderId="36" xfId="0" applyNumberFormat="1" applyFont="1" applyFill="1" applyBorder="1" applyAlignment="1" applyProtection="1">
      <alignment horizontal="right" vertical="center"/>
      <protection locked="0"/>
    </xf>
    <xf numFmtId="185" fontId="29" fillId="15" borderId="23" xfId="0" applyNumberFormat="1" applyFont="1" applyFill="1" applyBorder="1" applyAlignment="1" applyProtection="1">
      <alignment horizontal="left" vertical="center"/>
      <protection locked="0"/>
    </xf>
    <xf numFmtId="185" fontId="29" fillId="15" borderId="27" xfId="0" applyNumberFormat="1" applyFont="1" applyFill="1" applyBorder="1" applyAlignment="1" applyProtection="1">
      <alignment horizontal="left" vertical="center"/>
      <protection locked="0"/>
    </xf>
    <xf numFmtId="0" fontId="29" fillId="15" borderId="36" xfId="0" applyFont="1" applyFill="1" applyBorder="1" applyProtection="1">
      <alignment vertical="center"/>
      <protection locked="0"/>
    </xf>
    <xf numFmtId="187" fontId="25" fillId="13" borderId="1" xfId="1" applyNumberFormat="1" applyFont="1" applyFill="1" applyBorder="1" applyAlignment="1" applyProtection="1">
      <alignment vertical="center"/>
      <protection hidden="1"/>
    </xf>
    <xf numFmtId="184" fontId="4" fillId="13" borderId="0" xfId="0" applyNumberFormat="1" applyFont="1" applyFill="1" applyProtection="1">
      <alignment vertical="center"/>
      <protection hidden="1"/>
    </xf>
    <xf numFmtId="0" fontId="0" fillId="13" borderId="0" xfId="0" applyFill="1" applyProtection="1">
      <alignment vertical="center"/>
    </xf>
    <xf numFmtId="0" fontId="0" fillId="13" borderId="63" xfId="0" applyFill="1" applyBorder="1" applyProtection="1">
      <alignment vertical="center"/>
    </xf>
    <xf numFmtId="0" fontId="26" fillId="13" borderId="64" xfId="0" applyFont="1" applyFill="1" applyBorder="1" applyProtection="1">
      <alignment vertical="center"/>
    </xf>
    <xf numFmtId="0" fontId="0" fillId="13" borderId="64" xfId="0" applyFill="1" applyBorder="1" applyProtection="1">
      <alignment vertical="center"/>
    </xf>
    <xf numFmtId="0" fontId="0" fillId="13" borderId="65" xfId="0" applyFill="1" applyBorder="1" applyProtection="1">
      <alignment vertical="center"/>
    </xf>
    <xf numFmtId="0" fontId="0" fillId="13" borderId="66" xfId="0" applyFill="1" applyBorder="1" applyProtection="1">
      <alignment vertical="center"/>
    </xf>
    <xf numFmtId="0" fontId="0" fillId="13" borderId="0" xfId="0" applyFill="1" applyBorder="1" applyProtection="1">
      <alignment vertical="center"/>
    </xf>
    <xf numFmtId="0" fontId="0" fillId="13" borderId="67" xfId="0" applyFill="1" applyBorder="1" applyProtection="1">
      <alignment vertical="center"/>
    </xf>
    <xf numFmtId="0" fontId="4" fillId="13" borderId="28" xfId="0" applyFont="1" applyFill="1" applyBorder="1" applyAlignment="1" applyProtection="1">
      <alignment horizontal="center" vertical="center"/>
    </xf>
    <xf numFmtId="0" fontId="4" fillId="13" borderId="24" xfId="0" applyFont="1" applyFill="1" applyBorder="1" applyAlignment="1" applyProtection="1">
      <alignment horizontal="center" vertical="center"/>
    </xf>
    <xf numFmtId="0" fontId="4" fillId="13" borderId="31" xfId="0" applyFont="1" applyFill="1" applyBorder="1" applyAlignment="1" applyProtection="1">
      <alignment horizontal="center" vertical="center"/>
    </xf>
    <xf numFmtId="0" fontId="17" fillId="13" borderId="26" xfId="0" applyFont="1" applyFill="1" applyBorder="1" applyAlignment="1" applyProtection="1">
      <alignment horizontal="center" vertical="center" shrinkToFit="1"/>
    </xf>
    <xf numFmtId="0" fontId="4" fillId="13" borderId="22" xfId="0" applyFont="1" applyFill="1" applyBorder="1" applyAlignment="1" applyProtection="1">
      <alignment horizontal="center" vertical="center"/>
    </xf>
    <xf numFmtId="0" fontId="17" fillId="13" borderId="26" xfId="0" applyFont="1" applyFill="1" applyBorder="1" applyAlignment="1" applyProtection="1">
      <alignment horizontal="center" vertical="center"/>
    </xf>
    <xf numFmtId="0" fontId="4" fillId="13" borderId="26" xfId="0" applyFont="1" applyFill="1" applyBorder="1" applyAlignment="1" applyProtection="1">
      <alignment horizontal="center" vertical="center"/>
    </xf>
    <xf numFmtId="0" fontId="17" fillId="13" borderId="0" xfId="0" applyFont="1" applyFill="1" applyBorder="1" applyAlignment="1" applyProtection="1">
      <alignment horizontal="center" vertical="center"/>
    </xf>
    <xf numFmtId="0" fontId="17" fillId="13" borderId="53" xfId="0" applyFont="1" applyFill="1" applyBorder="1" applyAlignment="1" applyProtection="1">
      <alignment horizontal="center" vertical="center"/>
    </xf>
    <xf numFmtId="0" fontId="4" fillId="13" borderId="53" xfId="0" applyFont="1" applyFill="1" applyBorder="1" applyAlignment="1" applyProtection="1">
      <alignment horizontal="center" vertical="center"/>
    </xf>
    <xf numFmtId="0" fontId="0" fillId="13" borderId="68" xfId="0" applyFill="1" applyBorder="1" applyProtection="1">
      <alignment vertical="center"/>
    </xf>
    <xf numFmtId="0" fontId="0" fillId="13" borderId="69" xfId="0" applyFill="1" applyBorder="1" applyProtection="1">
      <alignment vertical="center"/>
    </xf>
    <xf numFmtId="0" fontId="0" fillId="13" borderId="70" xfId="0" applyFill="1" applyBorder="1" applyProtection="1">
      <alignment vertical="center"/>
    </xf>
    <xf numFmtId="0" fontId="28" fillId="13" borderId="0" xfId="0" applyFont="1" applyFill="1" applyProtection="1">
      <alignment vertical="center"/>
    </xf>
    <xf numFmtId="0" fontId="4" fillId="13" borderId="0" xfId="0" applyFont="1" applyFill="1" applyAlignment="1" applyProtection="1">
      <alignment horizontal="center" vertical="center" wrapText="1"/>
    </xf>
    <xf numFmtId="0" fontId="0" fillId="13" borderId="0" xfId="0" applyFill="1" applyAlignment="1" applyProtection="1">
      <alignment horizontal="center" vertical="center"/>
    </xf>
    <xf numFmtId="0" fontId="4" fillId="13" borderId="2" xfId="0" applyFont="1" applyFill="1" applyBorder="1" applyProtection="1">
      <alignment vertical="center"/>
    </xf>
    <xf numFmtId="0" fontId="4" fillId="13" borderId="4" xfId="0" applyFont="1" applyFill="1" applyBorder="1" applyProtection="1">
      <alignment vertical="center"/>
    </xf>
    <xf numFmtId="0" fontId="4" fillId="13" borderId="0" xfId="0" applyFont="1" applyFill="1" applyProtection="1">
      <alignment vertical="center"/>
    </xf>
    <xf numFmtId="0" fontId="6" fillId="13" borderId="0" xfId="0" applyFont="1" applyFill="1" applyBorder="1" applyProtection="1">
      <alignment vertical="center"/>
    </xf>
    <xf numFmtId="0" fontId="10" fillId="13" borderId="0" xfId="0" applyFont="1" applyFill="1" applyProtection="1">
      <alignment vertical="center"/>
    </xf>
    <xf numFmtId="189" fontId="10" fillId="0" borderId="1" xfId="0" applyNumberFormat="1" applyFont="1" applyBorder="1" applyAlignment="1" applyProtection="1">
      <alignment horizontal="center" vertical="center"/>
      <protection hidden="1"/>
    </xf>
    <xf numFmtId="189" fontId="10" fillId="0" borderId="21" xfId="0" applyNumberFormat="1" applyFont="1" applyBorder="1" applyAlignment="1" applyProtection="1">
      <alignment horizontal="center" vertical="center"/>
      <protection hidden="1"/>
    </xf>
    <xf numFmtId="189" fontId="10" fillId="0" borderId="21" xfId="0" applyNumberFormat="1" applyFont="1" applyFill="1" applyBorder="1" applyAlignment="1" applyProtection="1">
      <alignment horizontal="center" vertical="center"/>
      <protection hidden="1"/>
    </xf>
    <xf numFmtId="189" fontId="32" fillId="15" borderId="27" xfId="0" applyNumberFormat="1" applyFont="1" applyFill="1" applyBorder="1" applyAlignment="1" applyProtection="1">
      <alignment horizontal="left" vertical="center"/>
      <protection locked="0"/>
    </xf>
    <xf numFmtId="0" fontId="32" fillId="15" borderId="23" xfId="0" applyFont="1" applyFill="1" applyBorder="1" applyProtection="1">
      <alignment vertical="center"/>
      <protection locked="0"/>
    </xf>
    <xf numFmtId="179" fontId="7" fillId="0" borderId="1" xfId="2" applyNumberFormat="1" applyFont="1" applyFill="1" applyBorder="1" applyAlignment="1" applyProtection="1">
      <alignment horizontal="center" vertical="center"/>
      <protection hidden="1"/>
    </xf>
    <xf numFmtId="189" fontId="4" fillId="0" borderId="1" xfId="0" applyNumberFormat="1" applyFont="1" applyBorder="1" applyAlignment="1" applyProtection="1">
      <alignment horizontal="left" vertical="center"/>
      <protection hidden="1"/>
    </xf>
    <xf numFmtId="0" fontId="10" fillId="0" borderId="1" xfId="0" applyFont="1" applyFill="1" applyBorder="1" applyAlignment="1" applyProtection="1">
      <alignment horizontal="center" vertical="center"/>
      <protection hidden="1"/>
    </xf>
    <xf numFmtId="179" fontId="8" fillId="0" borderId="1" xfId="2" applyNumberFormat="1" applyFont="1" applyFill="1" applyBorder="1" applyAlignment="1" applyProtection="1">
      <alignment horizontal="center" vertical="center"/>
      <protection hidden="1"/>
    </xf>
    <xf numFmtId="0" fontId="20" fillId="0" borderId="0" xfId="0" applyFont="1" applyAlignment="1" applyProtection="1">
      <alignment horizontal="right" vertical="center"/>
      <protection hidden="1"/>
    </xf>
    <xf numFmtId="184" fontId="33" fillId="14" borderId="0" xfId="1" applyNumberFormat="1" applyFont="1" applyFill="1" applyProtection="1">
      <alignment vertical="center"/>
      <protection hidden="1"/>
    </xf>
    <xf numFmtId="38" fontId="7" fillId="15" borderId="15" xfId="1" applyFont="1" applyFill="1" applyBorder="1" applyProtection="1">
      <alignment vertical="center"/>
      <protection hidden="1"/>
    </xf>
    <xf numFmtId="38" fontId="7" fillId="15" borderId="13" xfId="1" applyFont="1" applyFill="1" applyBorder="1" applyProtection="1">
      <alignment vertical="center"/>
      <protection hidden="1"/>
    </xf>
    <xf numFmtId="38" fontId="7" fillId="15" borderId="8" xfId="1" applyFont="1" applyFill="1" applyBorder="1" applyProtection="1">
      <alignment vertical="center"/>
      <protection hidden="1"/>
    </xf>
    <xf numFmtId="38" fontId="7" fillId="15" borderId="19" xfId="1" applyFont="1" applyFill="1" applyBorder="1" applyProtection="1">
      <alignment vertical="center"/>
      <protection hidden="1"/>
    </xf>
    <xf numFmtId="38" fontId="7" fillId="15" borderId="1" xfId="1" applyFont="1" applyFill="1" applyBorder="1" applyProtection="1">
      <alignment vertical="center"/>
      <protection hidden="1"/>
    </xf>
    <xf numFmtId="190" fontId="7" fillId="15" borderId="8" xfId="1" applyNumberFormat="1" applyFont="1" applyFill="1" applyBorder="1" applyProtection="1">
      <alignment vertical="center"/>
      <protection hidden="1"/>
    </xf>
    <xf numFmtId="38" fontId="7" fillId="15" borderId="16" xfId="1" applyFont="1" applyFill="1" applyBorder="1" applyProtection="1">
      <alignment vertical="center"/>
      <protection hidden="1"/>
    </xf>
    <xf numFmtId="177" fontId="7" fillId="15" borderId="8" xfId="2" applyNumberFormat="1" applyFont="1" applyFill="1" applyBorder="1" applyProtection="1">
      <alignment vertical="center"/>
      <protection hidden="1"/>
    </xf>
    <xf numFmtId="178" fontId="7" fillId="15" borderId="8" xfId="1" applyNumberFormat="1" applyFont="1" applyFill="1" applyBorder="1" applyProtection="1">
      <alignment vertical="center"/>
      <protection hidden="1"/>
    </xf>
    <xf numFmtId="38" fontId="7" fillId="15" borderId="10" xfId="1" applyFont="1" applyFill="1" applyBorder="1" applyProtection="1">
      <alignment vertical="center"/>
      <protection hidden="1"/>
    </xf>
    <xf numFmtId="0" fontId="10" fillId="0" borderId="1" xfId="0" applyFont="1" applyFill="1" applyBorder="1" applyProtection="1">
      <alignment vertical="center"/>
      <protection hidden="1"/>
    </xf>
    <xf numFmtId="10" fontId="11" fillId="18" borderId="1" xfId="0" applyNumberFormat="1" applyFont="1" applyFill="1" applyBorder="1" applyProtection="1">
      <alignment vertical="center"/>
      <protection hidden="1"/>
    </xf>
    <xf numFmtId="179" fontId="11" fillId="18" borderId="1" xfId="0" applyNumberFormat="1" applyFont="1" applyFill="1" applyBorder="1" applyProtection="1">
      <alignment vertical="center"/>
      <protection hidden="1"/>
    </xf>
    <xf numFmtId="0" fontId="34" fillId="19" borderId="1" xfId="0" applyFont="1" applyFill="1" applyBorder="1" applyAlignment="1">
      <alignment horizontal="center" vertical="center" wrapText="1"/>
    </xf>
    <xf numFmtId="10" fontId="35" fillId="19" borderId="1" xfId="0" applyNumberFormat="1" applyFont="1" applyFill="1" applyBorder="1" applyAlignment="1">
      <alignment horizontal="center" vertical="center" wrapText="1"/>
    </xf>
    <xf numFmtId="10" fontId="34" fillId="19" borderId="1" xfId="0" applyNumberFormat="1" applyFont="1" applyFill="1" applyBorder="1" applyAlignment="1">
      <alignment horizontal="center" vertical="center" wrapText="1"/>
    </xf>
    <xf numFmtId="0" fontId="34" fillId="19" borderId="1" xfId="0" applyFont="1" applyFill="1" applyBorder="1" applyAlignment="1">
      <alignment vertical="center" wrapText="1"/>
    </xf>
    <xf numFmtId="0" fontId="36" fillId="19" borderId="1" xfId="0" applyFont="1" applyFill="1" applyBorder="1" applyAlignment="1">
      <alignment horizontal="center" vertical="center" wrapText="1"/>
    </xf>
    <xf numFmtId="10" fontId="36" fillId="19" borderId="1" xfId="0" applyNumberFormat="1" applyFont="1" applyFill="1" applyBorder="1" applyAlignment="1">
      <alignment horizontal="center" vertical="center" wrapText="1"/>
    </xf>
    <xf numFmtId="0" fontId="37" fillId="19" borderId="1" xfId="0" applyFont="1" applyFill="1" applyBorder="1">
      <alignment vertical="center"/>
    </xf>
    <xf numFmtId="0" fontId="38" fillId="0" borderId="0" xfId="3">
      <alignment vertical="center"/>
    </xf>
    <xf numFmtId="55" fontId="10" fillId="0" borderId="0" xfId="0" applyNumberFormat="1" applyFont="1">
      <alignment vertical="center"/>
    </xf>
    <xf numFmtId="0" fontId="39" fillId="20" borderId="1" xfId="0" applyFont="1" applyFill="1" applyBorder="1" applyAlignment="1" applyProtection="1">
      <alignment horizontal="center" vertical="center"/>
      <protection hidden="1"/>
    </xf>
    <xf numFmtId="0" fontId="20" fillId="13" borderId="22" xfId="0" applyFont="1" applyFill="1" applyBorder="1" applyAlignment="1" applyProtection="1">
      <alignment horizontal="center" vertical="center"/>
      <protection hidden="1"/>
    </xf>
    <xf numFmtId="0" fontId="20" fillId="13" borderId="23" xfId="0" applyFont="1" applyFill="1" applyBorder="1" applyAlignment="1" applyProtection="1">
      <alignment horizontal="center" vertical="center"/>
      <protection hidden="1"/>
    </xf>
    <xf numFmtId="186" fontId="25" fillId="16" borderId="2" xfId="0" applyNumberFormat="1" applyFont="1" applyFill="1" applyBorder="1" applyAlignment="1" applyProtection="1">
      <alignment horizontal="right" vertical="center"/>
      <protection hidden="1"/>
    </xf>
    <xf numFmtId="186" fontId="25" fillId="16" borderId="4" xfId="0" applyNumberFormat="1" applyFont="1" applyFill="1" applyBorder="1" applyAlignment="1" applyProtection="1">
      <alignment horizontal="right" vertical="center"/>
      <protection hidden="1"/>
    </xf>
    <xf numFmtId="186" fontId="4" fillId="17" borderId="2" xfId="0" applyNumberFormat="1" applyFont="1" applyFill="1" applyBorder="1" applyAlignment="1" applyProtection="1">
      <alignment horizontal="right" vertical="center"/>
      <protection hidden="1"/>
    </xf>
    <xf numFmtId="186" fontId="4" fillId="17" borderId="4" xfId="0" applyNumberFormat="1" applyFont="1" applyFill="1" applyBorder="1" applyAlignment="1" applyProtection="1">
      <alignment horizontal="right" vertical="center"/>
      <protection hidden="1"/>
    </xf>
    <xf numFmtId="187" fontId="4" fillId="13" borderId="2" xfId="0" applyNumberFormat="1" applyFont="1" applyFill="1" applyBorder="1" applyAlignment="1" applyProtection="1">
      <alignment horizontal="right" vertical="center"/>
      <protection hidden="1"/>
    </xf>
    <xf numFmtId="187" fontId="4" fillId="13" borderId="4" xfId="0" applyNumberFormat="1" applyFont="1" applyFill="1" applyBorder="1" applyAlignment="1" applyProtection="1">
      <alignment horizontal="right" vertical="center"/>
      <protection hidden="1"/>
    </xf>
    <xf numFmtId="0" fontId="27" fillId="13" borderId="0" xfId="0" applyFont="1" applyFill="1" applyAlignment="1" applyProtection="1">
      <alignment horizontal="center" vertical="center"/>
      <protection hidden="1"/>
    </xf>
    <xf numFmtId="0" fontId="24" fillId="0" borderId="0" xfId="0" applyFont="1" applyProtection="1">
      <alignment vertical="center"/>
      <protection hidden="1"/>
    </xf>
    <xf numFmtId="0" fontId="18" fillId="0" borderId="0" xfId="0" applyFont="1" applyAlignment="1" applyProtection="1">
      <alignment horizontal="center" vertical="center"/>
      <protection hidden="1"/>
    </xf>
    <xf numFmtId="0" fontId="23" fillId="0" borderId="0" xfId="0" applyFont="1" applyAlignment="1" applyProtection="1">
      <alignment horizontal="left" vertical="center"/>
      <protection hidden="1"/>
    </xf>
    <xf numFmtId="0" fontId="4" fillId="3" borderId="45" xfId="0" applyFont="1" applyFill="1" applyBorder="1" applyAlignment="1" applyProtection="1">
      <alignment horizontal="center" vertical="center"/>
      <protection hidden="1"/>
    </xf>
    <xf numFmtId="0" fontId="4" fillId="3" borderId="24" xfId="0" applyFont="1" applyFill="1" applyBorder="1" applyAlignment="1" applyProtection="1">
      <alignment horizontal="center" vertical="center"/>
      <protection hidden="1"/>
    </xf>
    <xf numFmtId="0" fontId="4" fillId="3" borderId="26" xfId="0" applyFont="1" applyFill="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4" fillId="0" borderId="1" xfId="0" applyFont="1" applyBorder="1" applyAlignment="1" applyProtection="1">
      <alignment horizontal="center" vertical="center"/>
      <protection hidden="1"/>
    </xf>
    <xf numFmtId="0" fontId="4" fillId="3" borderId="33" xfId="0" applyFont="1" applyFill="1" applyBorder="1" applyAlignment="1" applyProtection="1">
      <alignment horizontal="center" vertical="center"/>
      <protection hidden="1"/>
    </xf>
    <xf numFmtId="0" fontId="4" fillId="3" borderId="34" xfId="0" applyFont="1" applyFill="1" applyBorder="1" applyAlignment="1" applyProtection="1">
      <alignment horizontal="center" vertical="center"/>
      <protection hidden="1"/>
    </xf>
    <xf numFmtId="0" fontId="4" fillId="4" borderId="33" xfId="0" applyFont="1" applyFill="1" applyBorder="1" applyAlignment="1" applyProtection="1">
      <alignment horizontal="center" vertical="center" wrapText="1"/>
      <protection hidden="1"/>
    </xf>
    <xf numFmtId="0" fontId="4" fillId="4" borderId="34" xfId="0" applyFont="1" applyFill="1" applyBorder="1" applyAlignment="1" applyProtection="1">
      <alignment horizontal="center" vertical="center" wrapText="1"/>
      <protection hidden="1"/>
    </xf>
    <xf numFmtId="0" fontId="4" fillId="5" borderId="37" xfId="0" applyFont="1" applyFill="1" applyBorder="1" applyAlignment="1" applyProtection="1">
      <alignment horizontal="center" vertical="center"/>
      <protection hidden="1"/>
    </xf>
    <xf numFmtId="0" fontId="4" fillId="5" borderId="40" xfId="0" applyFont="1" applyFill="1" applyBorder="1" applyAlignment="1" applyProtection="1">
      <alignment horizontal="center" vertical="center"/>
      <protection hidden="1"/>
    </xf>
    <xf numFmtId="0" fontId="4" fillId="5" borderId="41" xfId="0" applyFont="1" applyFill="1" applyBorder="1" applyAlignment="1" applyProtection="1">
      <alignment horizontal="center" vertical="center"/>
      <protection hidden="1"/>
    </xf>
    <xf numFmtId="0" fontId="17" fillId="7" borderId="53" xfId="0" applyFont="1" applyFill="1" applyBorder="1" applyAlignment="1" applyProtection="1">
      <alignment horizontal="center" vertical="center"/>
      <protection hidden="1"/>
    </xf>
    <xf numFmtId="0" fontId="17" fillId="7" borderId="54" xfId="0" applyFont="1" applyFill="1" applyBorder="1" applyAlignment="1" applyProtection="1">
      <alignment horizontal="center" vertical="center"/>
      <protection hidden="1"/>
    </xf>
    <xf numFmtId="0" fontId="17" fillId="0" borderId="55" xfId="0" applyFont="1" applyFill="1" applyBorder="1" applyAlignment="1" applyProtection="1">
      <alignment horizontal="center" vertical="center"/>
      <protection hidden="1"/>
    </xf>
    <xf numFmtId="0" fontId="17" fillId="0" borderId="56" xfId="0" applyFont="1" applyFill="1" applyBorder="1" applyAlignment="1" applyProtection="1">
      <alignment horizontal="center" vertical="center"/>
      <protection hidden="1"/>
    </xf>
    <xf numFmtId="0" fontId="17" fillId="0" borderId="57" xfId="0" applyFont="1" applyFill="1" applyBorder="1" applyAlignment="1" applyProtection="1">
      <alignment horizontal="center" vertical="center"/>
      <protection hidden="1"/>
    </xf>
    <xf numFmtId="0" fontId="4" fillId="4" borderId="59" xfId="0" applyFont="1" applyFill="1" applyBorder="1" applyAlignment="1" applyProtection="1">
      <alignment horizontal="center" vertical="center"/>
      <protection hidden="1"/>
    </xf>
    <xf numFmtId="0" fontId="4" fillId="4" borderId="60" xfId="0" applyFont="1" applyFill="1" applyBorder="1" applyAlignment="1" applyProtection="1">
      <alignment horizontal="center" vertical="center"/>
      <protection hidden="1"/>
    </xf>
    <xf numFmtId="0" fontId="4" fillId="9" borderId="37" xfId="0" applyFont="1" applyFill="1" applyBorder="1" applyAlignment="1" applyProtection="1">
      <alignment horizontal="center" vertical="center"/>
      <protection hidden="1"/>
    </xf>
    <xf numFmtId="0" fontId="4" fillId="9" borderId="40" xfId="0" applyFont="1" applyFill="1" applyBorder="1" applyAlignment="1" applyProtection="1">
      <alignment horizontal="center" vertical="center"/>
      <protection hidden="1"/>
    </xf>
    <xf numFmtId="0" fontId="4" fillId="9" borderId="41" xfId="0" applyFont="1" applyFill="1" applyBorder="1" applyAlignment="1" applyProtection="1">
      <alignment horizontal="center" vertical="center"/>
      <protection hidden="1"/>
    </xf>
    <xf numFmtId="0" fontId="6" fillId="2" borderId="1" xfId="0" applyFont="1" applyFill="1" applyBorder="1" applyAlignment="1" applyProtection="1">
      <alignment horizontal="right" vertical="center"/>
      <protection hidden="1"/>
    </xf>
    <xf numFmtId="0" fontId="6" fillId="2" borderId="1" xfId="0" applyFont="1" applyFill="1" applyBorder="1" applyAlignment="1" applyProtection="1">
      <alignment horizontal="left" vertical="center"/>
      <protection hidden="1"/>
    </xf>
    <xf numFmtId="0" fontId="6" fillId="2" borderId="1" xfId="0" applyFont="1" applyFill="1" applyBorder="1" applyAlignment="1" applyProtection="1">
      <alignment horizontal="center" vertical="center"/>
      <protection hidden="1"/>
    </xf>
    <xf numFmtId="0" fontId="6" fillId="2" borderId="2" xfId="0" applyFont="1" applyFill="1" applyBorder="1" applyAlignment="1" applyProtection="1">
      <alignment horizontal="center" vertical="center"/>
      <protection hidden="1"/>
    </xf>
    <xf numFmtId="0" fontId="6" fillId="2" borderId="3" xfId="0" applyFont="1" applyFill="1" applyBorder="1" applyAlignment="1" applyProtection="1">
      <alignment horizontal="center" vertical="center"/>
      <protection hidden="1"/>
    </xf>
    <xf numFmtId="0" fontId="6" fillId="2" borderId="4" xfId="0" applyFont="1" applyFill="1" applyBorder="1" applyAlignment="1" applyProtection="1">
      <alignment horizontal="center" vertical="center"/>
      <protection hidden="1"/>
    </xf>
    <xf numFmtId="0" fontId="10" fillId="0" borderId="1" xfId="0" applyFont="1" applyBorder="1" applyAlignment="1" applyProtection="1">
      <alignment horizontal="center" vertical="center"/>
      <protection hidden="1"/>
    </xf>
    <xf numFmtId="0" fontId="10" fillId="0" borderId="2" xfId="0" applyFont="1" applyBorder="1" applyAlignment="1" applyProtection="1">
      <alignment horizontal="center" vertical="center"/>
      <protection hidden="1"/>
    </xf>
    <xf numFmtId="0" fontId="10" fillId="0" borderId="3" xfId="0" applyFont="1" applyBorder="1" applyAlignment="1" applyProtection="1">
      <alignment horizontal="center" vertical="center"/>
      <protection hidden="1"/>
    </xf>
    <xf numFmtId="0" fontId="10" fillId="0" borderId="4" xfId="0" applyFont="1" applyBorder="1" applyAlignment="1" applyProtection="1">
      <alignment horizontal="center" vertical="center"/>
      <protection hidden="1"/>
    </xf>
  </cellXfs>
  <cellStyles count="4">
    <cellStyle name="パーセント" xfId="2" builtinId="5"/>
    <cellStyle name="ハイパーリンク" xfId="3" builtinId="8"/>
    <cellStyle name="桁区切り" xfId="1" builtinId="6"/>
    <cellStyle name="標準" xfId="0" builtinId="0"/>
  </cellStyles>
  <dxfs count="0"/>
  <tableStyles count="0" defaultTableStyle="TableStyleMedium2" defaultPivotStyle="PivotStyleLight16"/>
  <colors>
    <mruColors>
      <color rgb="FF0000FF"/>
      <color rgb="FFFF99FF"/>
      <color rgb="FFFF66FF"/>
      <color rgb="FFFF3399"/>
      <color rgb="FFD60093"/>
      <color rgb="FFFFFFCC"/>
      <color rgb="FF0066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104775</xdr:colOff>
      <xdr:row>14</xdr:row>
      <xdr:rowOff>28575</xdr:rowOff>
    </xdr:from>
    <xdr:to>
      <xdr:col>4</xdr:col>
      <xdr:colOff>476250</xdr:colOff>
      <xdr:row>14</xdr:row>
      <xdr:rowOff>333375</xdr:rowOff>
    </xdr:to>
    <xdr:sp macro="" textlink="">
      <xdr:nvSpPr>
        <xdr:cNvPr id="2" name="右矢印 1">
          <a:extLst>
            <a:ext uri="{FF2B5EF4-FFF2-40B4-BE49-F238E27FC236}">
              <a16:creationId xmlns:a16="http://schemas.microsoft.com/office/drawing/2014/main" id="{00000000-0008-0000-0000-000002000000}"/>
            </a:ext>
          </a:extLst>
        </xdr:cNvPr>
        <xdr:cNvSpPr/>
      </xdr:nvSpPr>
      <xdr:spPr>
        <a:xfrm>
          <a:off x="3905250" y="2695575"/>
          <a:ext cx="371475" cy="304800"/>
        </a:xfrm>
        <a:prstGeom prst="rightArrow">
          <a:avLst/>
        </a:prstGeom>
        <a:solidFill>
          <a:schemeClr val="accent3">
            <a:lumMod val="20000"/>
            <a:lumOff val="80000"/>
          </a:schemeClr>
        </a:solidFill>
        <a:ln>
          <a:solidFill>
            <a:schemeClr val="accent3">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a-agent.co.jp/municipal-tax-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B1:N27"/>
  <sheetViews>
    <sheetView showGridLines="0" tabSelected="1" zoomScale="80" zoomScaleNormal="80" workbookViewId="0">
      <selection activeCell="T13" sqref="T13"/>
    </sheetView>
  </sheetViews>
  <sheetFormatPr defaultRowHeight="13" x14ac:dyDescent="0.2"/>
  <cols>
    <col min="1" max="1" width="3.6328125" customWidth="1"/>
    <col min="2" max="2" width="4.36328125" customWidth="1"/>
    <col min="3" max="3" width="17.08984375" customWidth="1"/>
    <col min="4" max="4" width="23.90625" customWidth="1"/>
    <col min="5" max="5" width="7.90625" customWidth="1"/>
    <col min="6" max="6" width="9.453125" customWidth="1"/>
    <col min="7" max="7" width="17.90625" customWidth="1"/>
    <col min="8" max="8" width="4.6328125" customWidth="1"/>
    <col min="9" max="9" width="3.6328125" customWidth="1"/>
    <col min="13" max="13" width="2.36328125" customWidth="1"/>
  </cols>
  <sheetData>
    <row r="1" spans="2:14" ht="12" customHeight="1" thickBot="1" x14ac:dyDescent="0.25">
      <c r="B1" s="179"/>
      <c r="C1" s="179"/>
      <c r="D1" s="179"/>
      <c r="E1" s="179"/>
      <c r="F1" s="179"/>
      <c r="G1" s="179"/>
      <c r="H1" s="179"/>
      <c r="I1" s="9"/>
      <c r="J1" s="10"/>
      <c r="K1" s="10"/>
      <c r="L1" s="10"/>
      <c r="M1" s="10"/>
      <c r="N1" s="10"/>
    </row>
    <row r="2" spans="2:14" ht="17" thickTop="1" x14ac:dyDescent="0.2">
      <c r="B2" s="180"/>
      <c r="C2" s="181" t="s">
        <v>250</v>
      </c>
      <c r="D2" s="182"/>
      <c r="E2" s="182"/>
      <c r="F2" s="182"/>
      <c r="G2" s="182"/>
      <c r="H2" s="183"/>
      <c r="I2" s="9"/>
      <c r="J2" s="9"/>
      <c r="K2" s="9"/>
      <c r="L2" s="9"/>
      <c r="M2" s="9"/>
      <c r="N2" s="9"/>
    </row>
    <row r="3" spans="2:14" ht="13.5" thickBot="1" x14ac:dyDescent="0.25">
      <c r="B3" s="184"/>
      <c r="C3" s="185"/>
      <c r="D3" s="185"/>
      <c r="E3" s="185"/>
      <c r="F3" s="185"/>
      <c r="G3" s="185"/>
      <c r="H3" s="186"/>
      <c r="I3" s="9"/>
      <c r="J3" s="9"/>
      <c r="K3" s="9"/>
      <c r="L3" s="9"/>
      <c r="M3" s="9"/>
      <c r="N3" s="9"/>
    </row>
    <row r="4" spans="2:14" ht="22.5" customHeight="1" x14ac:dyDescent="0.2">
      <c r="B4" s="184"/>
      <c r="C4" s="242" t="str">
        <f>"給与明細（交通費を"&amp;G10&amp;"場合）"</f>
        <v>給与明細（交通費を総支給に含む場合）</v>
      </c>
      <c r="D4" s="243"/>
      <c r="E4" s="185"/>
      <c r="F4" s="187" t="s">
        <v>249</v>
      </c>
      <c r="G4" s="174">
        <v>45017</v>
      </c>
      <c r="H4" s="186"/>
      <c r="I4" s="9"/>
      <c r="J4" s="9"/>
      <c r="K4" s="9"/>
      <c r="L4" s="9"/>
      <c r="M4" s="9"/>
      <c r="N4" s="9"/>
    </row>
    <row r="5" spans="2:14" ht="21" customHeight="1" thickBot="1" x14ac:dyDescent="0.25">
      <c r="B5" s="184"/>
      <c r="C5" s="188" t="s">
        <v>154</v>
      </c>
      <c r="D5" s="170">
        <v>300000</v>
      </c>
      <c r="E5" s="185"/>
      <c r="F5" s="189" t="s">
        <v>246</v>
      </c>
      <c r="G5" s="175">
        <v>29221</v>
      </c>
      <c r="H5" s="186"/>
      <c r="I5" s="9"/>
      <c r="J5" s="9"/>
      <c r="K5" s="9"/>
      <c r="L5" s="9"/>
      <c r="M5" s="9"/>
      <c r="N5" s="9"/>
    </row>
    <row r="6" spans="2:14" ht="21" customHeight="1" thickBot="1" x14ac:dyDescent="0.25">
      <c r="B6" s="184"/>
      <c r="C6" s="190" t="s">
        <v>156</v>
      </c>
      <c r="D6" s="171">
        <v>0</v>
      </c>
      <c r="E6" s="185"/>
      <c r="F6" s="185"/>
      <c r="G6" s="185"/>
      <c r="H6" s="186"/>
      <c r="I6" s="9"/>
      <c r="J6" s="9"/>
      <c r="K6" s="9"/>
      <c r="L6" s="9"/>
      <c r="M6" s="9"/>
      <c r="N6" s="9"/>
    </row>
    <row r="7" spans="2:14" ht="21" customHeight="1" x14ac:dyDescent="0.2">
      <c r="B7" s="184"/>
      <c r="C7" s="191" t="s">
        <v>158</v>
      </c>
      <c r="D7" s="172">
        <v>1400000</v>
      </c>
      <c r="E7" s="185"/>
      <c r="F7" s="191" t="s">
        <v>254</v>
      </c>
      <c r="G7" s="212" t="s">
        <v>92</v>
      </c>
      <c r="H7" s="186"/>
      <c r="I7" s="9"/>
      <c r="J7" s="9"/>
      <c r="K7" s="9"/>
      <c r="L7" s="9"/>
      <c r="M7" s="9"/>
      <c r="N7" s="9"/>
    </row>
    <row r="8" spans="2:14" ht="21" customHeight="1" thickBot="1" x14ac:dyDescent="0.25">
      <c r="B8" s="184"/>
      <c r="C8" s="192" t="s">
        <v>159</v>
      </c>
      <c r="D8" s="171">
        <v>12500</v>
      </c>
      <c r="E8" s="185"/>
      <c r="F8" s="193" t="s">
        <v>253</v>
      </c>
      <c r="G8" s="211">
        <v>2024</v>
      </c>
      <c r="H8" s="186"/>
      <c r="I8" s="9"/>
      <c r="J8" s="9"/>
      <c r="K8" s="9"/>
      <c r="L8" s="9"/>
      <c r="M8" s="9"/>
      <c r="N8" s="9"/>
    </row>
    <row r="9" spans="2:14" ht="21" customHeight="1" thickBot="1" x14ac:dyDescent="0.25">
      <c r="B9" s="184"/>
      <c r="C9" s="194"/>
      <c r="D9" s="185"/>
      <c r="E9" s="185"/>
      <c r="F9" s="185"/>
      <c r="G9" s="185"/>
      <c r="H9" s="186"/>
      <c r="I9" s="9"/>
      <c r="J9" s="9"/>
      <c r="K9" s="9"/>
      <c r="L9" s="9"/>
      <c r="M9" s="9"/>
      <c r="N9" s="9"/>
    </row>
    <row r="10" spans="2:14" ht="23.25" customHeight="1" thickBot="1" x14ac:dyDescent="0.25">
      <c r="B10" s="184"/>
      <c r="C10" s="195" t="s">
        <v>269</v>
      </c>
      <c r="D10" s="173">
        <v>60</v>
      </c>
      <c r="E10" s="185"/>
      <c r="F10" s="196" t="s">
        <v>259</v>
      </c>
      <c r="G10" s="176" t="s">
        <v>276</v>
      </c>
      <c r="H10" s="186"/>
      <c r="I10" s="9"/>
      <c r="J10" s="9"/>
      <c r="K10" s="9"/>
      <c r="L10" s="9"/>
      <c r="M10" s="9"/>
      <c r="N10" s="9"/>
    </row>
    <row r="11" spans="2:14" ht="13.5" thickBot="1" x14ac:dyDescent="0.25">
      <c r="B11" s="197"/>
      <c r="C11" s="198"/>
      <c r="D11" s="198"/>
      <c r="E11" s="198"/>
      <c r="F11" s="198"/>
      <c r="G11" s="198"/>
      <c r="H11" s="199"/>
      <c r="I11" s="9"/>
      <c r="J11" s="9"/>
      <c r="K11" s="9"/>
      <c r="L11" s="9"/>
      <c r="M11" s="9"/>
      <c r="N11" s="9"/>
    </row>
    <row r="12" spans="2:14" ht="25.5" customHeight="1" thickTop="1" x14ac:dyDescent="0.2">
      <c r="B12" s="179"/>
      <c r="C12" s="179"/>
      <c r="D12" s="179"/>
      <c r="E12" s="179"/>
      <c r="F12" s="179"/>
      <c r="G12" s="179"/>
      <c r="H12" s="179"/>
      <c r="I12" s="9"/>
      <c r="J12" s="9"/>
      <c r="K12" s="9"/>
      <c r="L12" s="9"/>
      <c r="M12" s="9"/>
      <c r="N12" s="9"/>
    </row>
    <row r="13" spans="2:14" ht="25.5" customHeight="1" x14ac:dyDescent="0.2">
      <c r="B13" s="179"/>
      <c r="C13" s="200" t="s">
        <v>255</v>
      </c>
      <c r="D13" s="179"/>
      <c r="E13" s="179"/>
      <c r="F13" s="179"/>
      <c r="G13" s="179"/>
      <c r="H13" s="179"/>
      <c r="I13" s="9"/>
      <c r="J13" s="9"/>
      <c r="K13" s="9"/>
      <c r="L13" s="9"/>
      <c r="M13" s="9"/>
      <c r="N13" s="9"/>
    </row>
    <row r="14" spans="2:14" ht="9.75" customHeight="1" x14ac:dyDescent="0.2">
      <c r="B14" s="179"/>
      <c r="C14" s="179"/>
      <c r="D14" s="179"/>
      <c r="E14" s="179"/>
      <c r="F14" s="179"/>
      <c r="G14" s="179"/>
      <c r="H14" s="179"/>
      <c r="I14" s="9"/>
      <c r="J14" s="9"/>
      <c r="K14" s="9"/>
      <c r="L14" s="9"/>
      <c r="M14" s="9"/>
      <c r="N14" s="9"/>
    </row>
    <row r="15" spans="2:14" ht="27" customHeight="1" x14ac:dyDescent="0.2">
      <c r="B15" s="179"/>
      <c r="C15" s="201" t="s">
        <v>273</v>
      </c>
      <c r="D15" s="177">
        <f>②詳細シート!C34</f>
        <v>300000</v>
      </c>
      <c r="E15" s="202"/>
      <c r="F15" s="248">
        <f>②詳細シート!F34</f>
        <v>280000</v>
      </c>
      <c r="G15" s="249"/>
      <c r="H15" s="179"/>
      <c r="I15" s="9"/>
      <c r="J15" s="9"/>
      <c r="K15" s="9"/>
      <c r="L15" s="9"/>
      <c r="M15" s="9"/>
      <c r="N15" s="9"/>
    </row>
    <row r="16" spans="2:14" x14ac:dyDescent="0.2">
      <c r="B16" s="179"/>
      <c r="C16" s="179"/>
      <c r="D16" s="179"/>
      <c r="E16" s="179"/>
      <c r="F16" s="179"/>
      <c r="G16" s="179"/>
      <c r="H16" s="179"/>
      <c r="I16" s="9"/>
      <c r="J16" s="9"/>
      <c r="K16" s="9"/>
      <c r="L16" s="9"/>
      <c r="M16" s="9"/>
      <c r="N16" s="9"/>
    </row>
    <row r="17" spans="2:14" ht="24.75" customHeight="1" x14ac:dyDescent="0.2">
      <c r="B17" s="179"/>
      <c r="C17" s="250" t="str">
        <f>IF(D15-F15&gt;0,"◎  社会保険料の削減効果があります","★  社会保険料の削減効果がありません。掛金の増額の検討はいかがですか？")</f>
        <v>◎  社会保険料の削減効果があります</v>
      </c>
      <c r="D17" s="250"/>
      <c r="E17" s="250"/>
      <c r="F17" s="250"/>
      <c r="G17" s="250"/>
      <c r="H17" s="179"/>
      <c r="I17" s="9"/>
      <c r="J17" s="9"/>
      <c r="K17" s="9"/>
      <c r="L17" s="9"/>
      <c r="M17" s="9"/>
      <c r="N17" s="9"/>
    </row>
    <row r="18" spans="2:14" x14ac:dyDescent="0.2">
      <c r="B18" s="179"/>
      <c r="C18" s="179"/>
      <c r="D18" s="179"/>
      <c r="E18" s="179"/>
      <c r="F18" s="179"/>
      <c r="G18" s="179"/>
      <c r="H18" s="179"/>
      <c r="I18" s="9"/>
      <c r="J18" s="9"/>
      <c r="K18" s="9"/>
      <c r="L18" s="9"/>
      <c r="M18" s="9"/>
      <c r="N18" s="9"/>
    </row>
    <row r="19" spans="2:14" x14ac:dyDescent="0.2">
      <c r="B19" s="179"/>
      <c r="C19" s="179"/>
      <c r="D19" s="179"/>
      <c r="E19" s="179"/>
      <c r="F19" s="179"/>
      <c r="G19" s="179"/>
      <c r="H19" s="179"/>
      <c r="I19" s="9"/>
      <c r="J19" s="9"/>
      <c r="K19" s="9"/>
      <c r="L19" s="9"/>
      <c r="M19" s="9"/>
      <c r="N19" s="9"/>
    </row>
    <row r="20" spans="2:14" ht="26.25" customHeight="1" x14ac:dyDescent="0.2">
      <c r="B20" s="179"/>
      <c r="C20" s="203" t="s">
        <v>251</v>
      </c>
      <c r="D20" s="204"/>
      <c r="E20" s="244">
        <f>②詳細シート!G29</f>
        <v>36756</v>
      </c>
      <c r="F20" s="245"/>
      <c r="G20" s="179"/>
      <c r="H20" s="179"/>
      <c r="I20" s="9"/>
      <c r="J20" s="9"/>
      <c r="K20" s="9"/>
      <c r="L20" s="9"/>
      <c r="M20" s="9"/>
      <c r="N20" s="9"/>
    </row>
    <row r="21" spans="2:14" ht="26.25" customHeight="1" x14ac:dyDescent="0.2">
      <c r="B21" s="179"/>
      <c r="C21" s="203" t="s">
        <v>252</v>
      </c>
      <c r="D21" s="204"/>
      <c r="E21" s="244">
        <f>②詳細シート!G32</f>
        <v>17100</v>
      </c>
      <c r="F21" s="245"/>
      <c r="G21" s="179"/>
      <c r="H21" s="179"/>
      <c r="I21" s="9"/>
      <c r="J21" s="9"/>
      <c r="K21" s="9"/>
      <c r="L21" s="9"/>
      <c r="M21" s="9"/>
      <c r="N21" s="9"/>
    </row>
    <row r="22" spans="2:14" ht="7.5" customHeight="1" x14ac:dyDescent="0.2">
      <c r="B22" s="179"/>
      <c r="C22" s="205"/>
      <c r="D22" s="205"/>
      <c r="E22" s="179"/>
      <c r="F22" s="179"/>
      <c r="G22" s="179"/>
      <c r="H22" s="179"/>
      <c r="I22" s="9"/>
      <c r="J22" s="9"/>
      <c r="K22" s="9"/>
      <c r="L22" s="9"/>
      <c r="M22" s="9"/>
      <c r="N22" s="9"/>
    </row>
    <row r="23" spans="2:14" ht="27" customHeight="1" x14ac:dyDescent="0.2">
      <c r="B23" s="179"/>
      <c r="C23" s="203" t="s">
        <v>248</v>
      </c>
      <c r="D23" s="204"/>
      <c r="E23" s="246">
        <f>E20+E21</f>
        <v>53856</v>
      </c>
      <c r="F23" s="247"/>
      <c r="G23" s="179"/>
      <c r="H23" s="179"/>
      <c r="I23" s="9"/>
      <c r="J23" s="9"/>
      <c r="K23" s="9"/>
      <c r="L23" s="9"/>
      <c r="M23" s="9"/>
      <c r="N23" s="9"/>
    </row>
    <row r="24" spans="2:14" x14ac:dyDescent="0.2">
      <c r="B24" s="179"/>
      <c r="C24" s="179"/>
      <c r="D24" s="179"/>
      <c r="E24" s="179"/>
      <c r="F24" s="179"/>
      <c r="G24" s="179"/>
      <c r="H24" s="179"/>
      <c r="I24" s="9"/>
      <c r="J24" s="9"/>
      <c r="K24" s="9"/>
      <c r="L24" s="9"/>
      <c r="M24" s="9"/>
      <c r="N24" s="9"/>
    </row>
    <row r="25" spans="2:14" x14ac:dyDescent="0.2">
      <c r="B25" s="179"/>
      <c r="C25" s="206" t="s">
        <v>256</v>
      </c>
      <c r="D25" s="179"/>
      <c r="E25" s="179"/>
      <c r="F25" s="179"/>
      <c r="G25" s="179"/>
      <c r="H25" s="179"/>
      <c r="I25" s="9"/>
      <c r="J25" s="9"/>
      <c r="K25" s="9"/>
      <c r="L25" s="9"/>
      <c r="M25" s="9"/>
      <c r="N25" s="9"/>
    </row>
    <row r="26" spans="2:14" x14ac:dyDescent="0.2">
      <c r="B26" s="179"/>
      <c r="C26" s="179"/>
      <c r="D26" s="207" t="s">
        <v>260</v>
      </c>
      <c r="E26" s="179"/>
      <c r="F26" s="207"/>
      <c r="G26" s="178">
        <f>算定基礎!D95</f>
        <v>11000</v>
      </c>
      <c r="H26" s="179"/>
      <c r="I26" s="9"/>
      <c r="J26" s="9"/>
      <c r="K26" s="9"/>
      <c r="L26" s="9"/>
      <c r="M26" s="9"/>
      <c r="N26" s="9"/>
    </row>
    <row r="27" spans="2:14" x14ac:dyDescent="0.2">
      <c r="B27" s="179"/>
      <c r="C27" s="179"/>
      <c r="D27" s="179"/>
      <c r="E27" s="179"/>
      <c r="F27" s="179"/>
      <c r="G27" s="179"/>
      <c r="H27" s="179"/>
      <c r="I27" s="9"/>
      <c r="J27" s="9"/>
      <c r="K27" s="9"/>
      <c r="L27" s="9"/>
      <c r="M27" s="9"/>
      <c r="N27" s="9"/>
    </row>
  </sheetData>
  <mergeCells count="6">
    <mergeCell ref="C4:D4"/>
    <mergeCell ref="E20:F20"/>
    <mergeCell ref="E21:F21"/>
    <mergeCell ref="E23:F23"/>
    <mergeCell ref="F15:G15"/>
    <mergeCell ref="C17:G17"/>
  </mergeCells>
  <phoneticPr fontId="2"/>
  <dataValidations count="2">
    <dataValidation type="list" allowBlank="1" showInputMessage="1" showErrorMessage="1" sqref="G10">
      <formula1>"総支給に含む,総支給に含まない"</formula1>
    </dataValidation>
    <dataValidation type="list" allowBlank="1" showInputMessage="1" showErrorMessage="1" sqref="D10">
      <formula1>",60,61,62,63,64,65,"</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Title="計算適用年度" prompt="計算に使用する年度をドロップダウンから選択してください。">
          <x14:formula1>
            <xm:f>社保データ!$C$2:$E$2</xm:f>
          </x14:formula1>
          <xm:sqref>G8</xm:sqref>
        </x14:dataValidation>
        <x14:dataValidation type="list" allowBlank="1" showInputMessage="1" showErrorMessage="1" promptTitle="都道府県の選択" prompt="ドロップダウンリストの中から適用する都道府県を選択してください。">
          <x14:formula1>
            <xm:f>社保データ!$B$3:$B$49</xm:f>
          </x14:formula1>
          <xm:sqref>G7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3399"/>
  </sheetPr>
  <dimension ref="A1:J45"/>
  <sheetViews>
    <sheetView showGridLines="0" topLeftCell="A4" zoomScale="85" zoomScaleNormal="85" workbookViewId="0">
      <selection activeCell="I30" sqref="I30"/>
    </sheetView>
  </sheetViews>
  <sheetFormatPr defaultColWidth="9" defaultRowHeight="13" x14ac:dyDescent="0.2"/>
  <cols>
    <col min="1" max="1" width="2.90625" style="1" customWidth="1"/>
    <col min="2" max="2" width="14.36328125" style="1" customWidth="1"/>
    <col min="3" max="3" width="17.08984375" style="1" customWidth="1"/>
    <col min="4" max="4" width="1.6328125" style="1" customWidth="1"/>
    <col min="5" max="7" width="16.90625" style="1" customWidth="1"/>
    <col min="8" max="8" width="1.6328125" style="1" customWidth="1"/>
    <col min="9" max="9" width="14.453125" style="1" customWidth="1"/>
    <col min="10" max="10" width="2.90625" style="1" customWidth="1"/>
    <col min="11" max="16384" width="9" style="1"/>
  </cols>
  <sheetData>
    <row r="1" spans="1:10" customFormat="1" x14ac:dyDescent="0.2">
      <c r="A1" s="28" t="s">
        <v>241</v>
      </c>
      <c r="B1" s="28" t="s">
        <v>242</v>
      </c>
      <c r="C1" s="28" t="s">
        <v>242</v>
      </c>
      <c r="D1" s="28" t="s">
        <v>242</v>
      </c>
      <c r="E1" s="28" t="s">
        <v>242</v>
      </c>
      <c r="F1" s="28" t="s">
        <v>241</v>
      </c>
      <c r="G1" s="28" t="s">
        <v>243</v>
      </c>
      <c r="H1" s="28" t="s">
        <v>244</v>
      </c>
      <c r="I1" s="28" t="s">
        <v>258</v>
      </c>
      <c r="J1" s="96"/>
    </row>
    <row r="2" spans="1:10" ht="6.75" customHeight="1" x14ac:dyDescent="0.2">
      <c r="A2" s="97"/>
      <c r="B2" s="97"/>
      <c r="C2" s="97"/>
      <c r="D2" s="97"/>
      <c r="E2" s="97"/>
      <c r="F2" s="97"/>
      <c r="G2" s="97"/>
      <c r="H2" s="97"/>
      <c r="I2" s="97"/>
      <c r="J2" s="97"/>
    </row>
    <row r="3" spans="1:10" ht="16.5" x14ac:dyDescent="0.2">
      <c r="A3" s="97"/>
      <c r="B3" s="252" t="s">
        <v>151</v>
      </c>
      <c r="C3" s="252"/>
      <c r="D3" s="252"/>
      <c r="E3" s="252"/>
      <c r="F3" s="252"/>
      <c r="G3" s="252"/>
      <c r="H3" s="252"/>
      <c r="I3" s="252"/>
      <c r="J3" s="97"/>
    </row>
    <row r="4" spans="1:10" ht="10.5" customHeight="1" x14ac:dyDescent="0.2">
      <c r="A4" s="97"/>
      <c r="B4" s="98"/>
      <c r="C4" s="97"/>
      <c r="D4" s="99"/>
      <c r="E4" s="97"/>
      <c r="F4" s="97"/>
      <c r="G4" s="97"/>
      <c r="H4" s="97"/>
      <c r="I4" s="97"/>
      <c r="J4" s="97"/>
    </row>
    <row r="5" spans="1:10" ht="17.25" customHeight="1" x14ac:dyDescent="0.2">
      <c r="A5" s="97"/>
      <c r="B5" s="100" t="s">
        <v>152</v>
      </c>
      <c r="C5" s="97"/>
      <c r="D5" s="99"/>
      <c r="E5" s="97"/>
      <c r="F5" s="97"/>
      <c r="G5" s="97"/>
      <c r="H5" s="97"/>
      <c r="I5" s="97"/>
      <c r="J5" s="97"/>
    </row>
    <row r="6" spans="1:10" ht="10.5" customHeight="1" thickBot="1" x14ac:dyDescent="0.25">
      <c r="A6" s="97"/>
      <c r="B6" s="101"/>
      <c r="C6" s="97"/>
      <c r="D6" s="97"/>
      <c r="E6" s="97"/>
      <c r="F6" s="97"/>
      <c r="G6" s="97"/>
      <c r="H6" s="97"/>
      <c r="I6" s="97"/>
      <c r="J6" s="97"/>
    </row>
    <row r="7" spans="1:10" ht="17.25" customHeight="1" x14ac:dyDescent="0.2">
      <c r="A7" s="97"/>
      <c r="B7" s="257" t="str">
        <f>①入力シート!C4</f>
        <v>給与明細（交通費を総支給に含む場合）</v>
      </c>
      <c r="C7" s="258"/>
      <c r="D7" s="102"/>
      <c r="E7" s="259" t="s">
        <v>153</v>
      </c>
      <c r="F7" s="259"/>
      <c r="G7" s="97"/>
      <c r="H7" s="97"/>
      <c r="I7" s="97"/>
      <c r="J7" s="97"/>
    </row>
    <row r="8" spans="1:10" x14ac:dyDescent="0.2">
      <c r="A8" s="97"/>
      <c r="B8" s="103" t="s">
        <v>154</v>
      </c>
      <c r="C8" s="104">
        <f>①入力シート!D5</f>
        <v>300000</v>
      </c>
      <c r="D8" s="105"/>
      <c r="E8" s="106" t="s">
        <v>155</v>
      </c>
      <c r="F8" s="107">
        <f>算定基礎!D13</f>
        <v>5000000</v>
      </c>
      <c r="G8" s="97"/>
      <c r="H8" s="97"/>
      <c r="I8" s="97"/>
      <c r="J8" s="97"/>
    </row>
    <row r="9" spans="1:10" ht="13.5" thickBot="1" x14ac:dyDescent="0.25">
      <c r="A9" s="97"/>
      <c r="B9" s="108" t="s">
        <v>156</v>
      </c>
      <c r="C9" s="109">
        <f>①入力シート!D6</f>
        <v>0</v>
      </c>
      <c r="D9" s="105"/>
      <c r="E9" s="106" t="s">
        <v>157</v>
      </c>
      <c r="F9" s="107">
        <f>$C$10</f>
        <v>1400000</v>
      </c>
      <c r="G9" s="97"/>
      <c r="H9" s="97"/>
      <c r="I9" s="97"/>
      <c r="J9" s="97"/>
    </row>
    <row r="10" spans="1:10" x14ac:dyDescent="0.2">
      <c r="A10" s="97"/>
      <c r="B10" s="110" t="s">
        <v>158</v>
      </c>
      <c r="C10" s="111">
        <f>①入力シート!D7</f>
        <v>1400000</v>
      </c>
      <c r="D10" s="105"/>
      <c r="E10" s="106" t="s">
        <v>261</v>
      </c>
      <c r="F10" s="107">
        <f>$C$9</f>
        <v>0</v>
      </c>
      <c r="G10" s="97"/>
      <c r="H10" s="97"/>
      <c r="I10" s="97"/>
      <c r="J10" s="97"/>
    </row>
    <row r="11" spans="1:10" ht="13.5" thickBot="1" x14ac:dyDescent="0.25">
      <c r="A11" s="97"/>
      <c r="B11" s="112" t="s">
        <v>159</v>
      </c>
      <c r="C11" s="109">
        <f>①入力シート!D8</f>
        <v>12500</v>
      </c>
      <c r="D11" s="105"/>
      <c r="E11" s="106" t="s">
        <v>159</v>
      </c>
      <c r="F11" s="107">
        <f>$C$11</f>
        <v>12500</v>
      </c>
      <c r="G11" s="97"/>
      <c r="H11" s="97"/>
      <c r="I11" s="97"/>
      <c r="J11" s="97"/>
    </row>
    <row r="12" spans="1:10" ht="6.75" customHeight="1" thickBot="1" x14ac:dyDescent="0.25">
      <c r="A12" s="97"/>
      <c r="B12" s="101"/>
      <c r="C12" s="97"/>
      <c r="D12" s="97"/>
      <c r="E12" s="97"/>
      <c r="F12" s="97"/>
      <c r="G12" s="97"/>
      <c r="H12" s="97"/>
      <c r="I12" s="97"/>
      <c r="J12" s="97"/>
    </row>
    <row r="13" spans="1:10" x14ac:dyDescent="0.2">
      <c r="A13" s="97"/>
      <c r="B13" s="97"/>
      <c r="C13" s="113" t="s">
        <v>245</v>
      </c>
      <c r="D13" s="114"/>
      <c r="E13" s="115">
        <f>①入力シート!G4</f>
        <v>45017</v>
      </c>
      <c r="F13" s="116" t="s">
        <v>160</v>
      </c>
      <c r="G13" s="106" t="str">
        <f>①入力シート!G7</f>
        <v>東京都</v>
      </c>
      <c r="H13" s="97"/>
      <c r="I13" s="97"/>
      <c r="J13" s="97"/>
    </row>
    <row r="14" spans="1:10" x14ac:dyDescent="0.2">
      <c r="A14" s="97"/>
      <c r="B14" s="97"/>
      <c r="C14" s="117" t="s">
        <v>246</v>
      </c>
      <c r="D14" s="118"/>
      <c r="E14" s="119">
        <f>①入力シート!G5</f>
        <v>29221</v>
      </c>
      <c r="F14" s="116" t="s">
        <v>161</v>
      </c>
      <c r="G14" s="214">
        <f>①入力シート!G8</f>
        <v>2024</v>
      </c>
      <c r="H14" s="97"/>
      <c r="I14" s="97"/>
      <c r="J14" s="97"/>
    </row>
    <row r="15" spans="1:10" ht="13.5" thickBot="1" x14ac:dyDescent="0.25">
      <c r="A15" s="97"/>
      <c r="B15" s="97"/>
      <c r="C15" s="120" t="s">
        <v>247</v>
      </c>
      <c r="D15" s="121"/>
      <c r="E15" s="122">
        <f>算定基礎!D6</f>
        <v>43</v>
      </c>
      <c r="F15" s="116" t="s">
        <v>270</v>
      </c>
      <c r="G15" s="123">
        <f>①入力シート!D10</f>
        <v>60</v>
      </c>
      <c r="H15" s="97"/>
      <c r="I15" s="97"/>
      <c r="J15" s="97"/>
    </row>
    <row r="16" spans="1:10" hidden="1" x14ac:dyDescent="0.2">
      <c r="A16" s="97"/>
      <c r="B16" s="97"/>
      <c r="C16" s="116" t="s">
        <v>162</v>
      </c>
      <c r="D16" s="116"/>
      <c r="E16" s="124" t="s">
        <v>163</v>
      </c>
      <c r="F16" s="97"/>
      <c r="G16" s="116" t="s">
        <v>164</v>
      </c>
      <c r="H16" s="105"/>
      <c r="I16" s="97"/>
      <c r="J16" s="97"/>
    </row>
    <row r="17" spans="1:10" hidden="1" x14ac:dyDescent="0.2">
      <c r="A17" s="97"/>
      <c r="B17" s="97"/>
      <c r="C17" s="116" t="s">
        <v>165</v>
      </c>
      <c r="D17" s="116"/>
      <c r="E17" s="125">
        <v>0</v>
      </c>
      <c r="F17" s="97"/>
      <c r="G17" s="116" t="s">
        <v>166</v>
      </c>
      <c r="H17" s="105">
        <v>0</v>
      </c>
      <c r="I17" s="97"/>
      <c r="J17" s="97"/>
    </row>
    <row r="18" spans="1:10" hidden="1" x14ac:dyDescent="0.2">
      <c r="A18" s="97"/>
      <c r="B18" s="97"/>
      <c r="C18" s="116" t="s">
        <v>167</v>
      </c>
      <c r="D18" s="116">
        <v>200000</v>
      </c>
      <c r="E18" s="125">
        <v>0</v>
      </c>
      <c r="F18" s="97"/>
      <c r="G18" s="116" t="s">
        <v>168</v>
      </c>
      <c r="H18" s="105">
        <v>0</v>
      </c>
      <c r="I18" s="97"/>
      <c r="J18" s="97"/>
    </row>
    <row r="19" spans="1:10" hidden="1" x14ac:dyDescent="0.2">
      <c r="A19" s="97"/>
      <c r="B19" s="97"/>
      <c r="C19" s="116" t="s">
        <v>169</v>
      </c>
      <c r="D19" s="116"/>
      <c r="E19" s="125">
        <v>0</v>
      </c>
      <c r="F19" s="97"/>
      <c r="G19" s="116" t="s">
        <v>170</v>
      </c>
      <c r="H19" s="105">
        <v>0</v>
      </c>
      <c r="I19" s="97"/>
      <c r="J19" s="97"/>
    </row>
    <row r="20" spans="1:10" hidden="1" x14ac:dyDescent="0.2">
      <c r="A20" s="97"/>
      <c r="B20" s="97"/>
      <c r="C20" s="116" t="s">
        <v>171</v>
      </c>
      <c r="D20" s="116"/>
      <c r="E20" s="125">
        <v>0</v>
      </c>
      <c r="F20" s="97"/>
      <c r="G20" s="116" t="s">
        <v>172</v>
      </c>
      <c r="H20" s="105">
        <v>0</v>
      </c>
      <c r="I20" s="97"/>
      <c r="J20" s="97"/>
    </row>
    <row r="21" spans="1:10" ht="6.75" customHeight="1" x14ac:dyDescent="0.2">
      <c r="A21" s="97"/>
      <c r="B21" s="97"/>
      <c r="C21" s="97"/>
      <c r="D21" s="97"/>
      <c r="E21" s="97"/>
      <c r="F21" s="97"/>
      <c r="G21" s="97"/>
      <c r="H21" s="97"/>
      <c r="I21" s="97"/>
      <c r="J21" s="97"/>
    </row>
    <row r="22" spans="1:10" ht="13.5" thickBot="1" x14ac:dyDescent="0.25">
      <c r="A22" s="97"/>
      <c r="B22" s="97"/>
      <c r="C22" s="97"/>
      <c r="D22" s="97"/>
      <c r="E22" s="97"/>
      <c r="F22" s="97"/>
      <c r="G22" s="116" t="s">
        <v>173</v>
      </c>
      <c r="H22" s="97"/>
      <c r="I22" s="97"/>
      <c r="J22" s="97"/>
    </row>
    <row r="23" spans="1:10" ht="33" customHeight="1" thickBot="1" x14ac:dyDescent="0.25">
      <c r="A23" s="97"/>
      <c r="B23" s="260" t="s">
        <v>174</v>
      </c>
      <c r="C23" s="261"/>
      <c r="D23" s="262" t="s">
        <v>175</v>
      </c>
      <c r="E23" s="263"/>
      <c r="F23" s="126" t="s">
        <v>176</v>
      </c>
      <c r="G23" s="127" t="s">
        <v>177</v>
      </c>
      <c r="H23" s="97"/>
      <c r="I23" s="97"/>
      <c r="J23" s="97"/>
    </row>
    <row r="24" spans="1:10" ht="20.25" customHeight="1" x14ac:dyDescent="0.2">
      <c r="A24" s="97"/>
      <c r="B24" s="264" t="s">
        <v>178</v>
      </c>
      <c r="C24" s="128" t="s">
        <v>18</v>
      </c>
      <c r="D24" s="129"/>
      <c r="E24" s="130">
        <f>算定基礎!D27*12</f>
        <v>329400</v>
      </c>
      <c r="F24" s="131">
        <f>算定基礎!D43*12</f>
        <v>307440</v>
      </c>
      <c r="G24" s="132">
        <f>E24-F24</f>
        <v>21960</v>
      </c>
      <c r="H24" s="97"/>
      <c r="I24" s="97"/>
      <c r="J24" s="97"/>
    </row>
    <row r="25" spans="1:10" ht="20.25" customHeight="1" x14ac:dyDescent="0.2">
      <c r="A25" s="97"/>
      <c r="B25" s="265"/>
      <c r="C25" s="133" t="s">
        <v>179</v>
      </c>
      <c r="D25" s="134"/>
      <c r="E25" s="135">
        <f>算定基礎!D28*12</f>
        <v>179640</v>
      </c>
      <c r="F25" s="136">
        <f>算定基礎!D44*12</f>
        <v>167664</v>
      </c>
      <c r="G25" s="137">
        <f>E25-F25</f>
        <v>11976</v>
      </c>
      <c r="H25" s="97"/>
      <c r="I25" s="97"/>
      <c r="J25" s="97"/>
    </row>
    <row r="26" spans="1:10" ht="20.25" customHeight="1" x14ac:dyDescent="0.2">
      <c r="A26" s="97"/>
      <c r="B26" s="265"/>
      <c r="C26" s="133" t="s">
        <v>180</v>
      </c>
      <c r="D26" s="134"/>
      <c r="E26" s="135">
        <f>算定基礎!D29*12</f>
        <v>28800</v>
      </c>
      <c r="F26" s="136">
        <f>算定基礎!D45*12</f>
        <v>26880</v>
      </c>
      <c r="G26" s="137">
        <f>E26-F26</f>
        <v>1920</v>
      </c>
      <c r="H26" s="97"/>
      <c r="I26" s="97"/>
      <c r="J26" s="97"/>
    </row>
    <row r="27" spans="1:10" ht="20.25" customHeight="1" x14ac:dyDescent="0.2">
      <c r="A27" s="97"/>
      <c r="B27" s="265"/>
      <c r="C27" s="133" t="s">
        <v>181</v>
      </c>
      <c r="D27" s="134"/>
      <c r="E27" s="135">
        <f>算定基礎!D30*12</f>
        <v>21600</v>
      </c>
      <c r="F27" s="136">
        <f>算定基礎!D46*12</f>
        <v>20700</v>
      </c>
      <c r="G27" s="137">
        <f>E27-F27</f>
        <v>900</v>
      </c>
      <c r="H27" s="97"/>
      <c r="I27" s="97"/>
      <c r="J27" s="97"/>
    </row>
    <row r="28" spans="1:10" ht="20.25" customHeight="1" x14ac:dyDescent="0.2">
      <c r="A28" s="97"/>
      <c r="B28" s="265"/>
      <c r="C28" s="133" t="s">
        <v>182</v>
      </c>
      <c r="D28" s="134"/>
      <c r="E28" s="135">
        <f>算定基礎!F31</f>
        <v>217560</v>
      </c>
      <c r="F28" s="136">
        <f>算定基礎!F47</f>
        <v>217560</v>
      </c>
      <c r="G28" s="137">
        <f>E28-F28</f>
        <v>0</v>
      </c>
      <c r="H28" s="97"/>
      <c r="I28" s="97"/>
      <c r="J28" s="97"/>
    </row>
    <row r="29" spans="1:10" ht="20.25" customHeight="1" thickBot="1" x14ac:dyDescent="0.25">
      <c r="A29" s="97"/>
      <c r="B29" s="266"/>
      <c r="C29" s="138" t="s">
        <v>24</v>
      </c>
      <c r="D29" s="139"/>
      <c r="E29" s="140">
        <f>IF(SUM(E24:E28)=算定基礎!D32,SUM(E24:E28),"ERROR")</f>
        <v>777000</v>
      </c>
      <c r="F29" s="141">
        <f>IF(SUM(F24:F28)=算定基礎!D48,SUM(F24:F28),"ERROR")</f>
        <v>740244</v>
      </c>
      <c r="G29" s="142">
        <f>SUM(G24:G28)</f>
        <v>36756</v>
      </c>
      <c r="H29" s="97"/>
      <c r="I29" s="143"/>
      <c r="J29" s="97"/>
    </row>
    <row r="30" spans="1:10" ht="20.25" customHeight="1" x14ac:dyDescent="0.2">
      <c r="A30" s="97"/>
      <c r="B30" s="254" t="s">
        <v>183</v>
      </c>
      <c r="C30" s="144" t="s">
        <v>30</v>
      </c>
      <c r="D30" s="145"/>
      <c r="E30" s="146">
        <f>算定基礎!D65</f>
        <v>135500</v>
      </c>
      <c r="F30" s="147">
        <f>算定基礎!D80</f>
        <v>126900</v>
      </c>
      <c r="G30" s="148">
        <f>E30-F30</f>
        <v>8600</v>
      </c>
      <c r="H30" s="97"/>
      <c r="I30" s="97"/>
      <c r="J30" s="97"/>
    </row>
    <row r="31" spans="1:10" ht="20.25" customHeight="1" x14ac:dyDescent="0.2">
      <c r="A31" s="97"/>
      <c r="B31" s="255"/>
      <c r="C31" s="149" t="s">
        <v>31</v>
      </c>
      <c r="D31" s="134"/>
      <c r="E31" s="135">
        <f>算定基礎!D71</f>
        <v>237800</v>
      </c>
      <c r="F31" s="136">
        <f>算定基礎!D86</f>
        <v>229300</v>
      </c>
      <c r="G31" s="137">
        <f>E31-F31</f>
        <v>8500</v>
      </c>
      <c r="H31" s="97"/>
      <c r="I31" s="97"/>
      <c r="J31" s="97"/>
    </row>
    <row r="32" spans="1:10" ht="20.25" customHeight="1" thickBot="1" x14ac:dyDescent="0.25">
      <c r="A32" s="97"/>
      <c r="B32" s="256"/>
      <c r="C32" s="150" t="s">
        <v>24</v>
      </c>
      <c r="D32" s="151"/>
      <c r="E32" s="152">
        <f>IF(SUM(E30:E31)=算定基礎!D72,SUM(E30:E31),"ERROR")</f>
        <v>373300</v>
      </c>
      <c r="F32" s="153">
        <f>IF(SUM(F30:F31)=算定基礎!D87,SUM(F30:F31),"ERROR")</f>
        <v>356200</v>
      </c>
      <c r="G32" s="154">
        <f>G30+G31</f>
        <v>17100</v>
      </c>
      <c r="H32" s="97"/>
      <c r="I32" s="97"/>
      <c r="J32" s="97"/>
    </row>
    <row r="33" spans="1:10" ht="22.5" customHeight="1" thickBot="1" x14ac:dyDescent="0.25">
      <c r="A33" s="97"/>
      <c r="B33" s="267" t="s">
        <v>184</v>
      </c>
      <c r="C33" s="268"/>
      <c r="D33" s="269"/>
      <c r="E33" s="270"/>
      <c r="F33" s="271"/>
      <c r="G33" s="155">
        <f>G29+G32</f>
        <v>53856</v>
      </c>
      <c r="H33" s="97"/>
      <c r="I33" s="156" t="s">
        <v>185</v>
      </c>
      <c r="J33" s="97"/>
    </row>
    <row r="34" spans="1:10" ht="26.5" customHeight="1" thickBot="1" x14ac:dyDescent="0.25">
      <c r="A34" s="97"/>
      <c r="B34" s="157" t="s">
        <v>272</v>
      </c>
      <c r="C34" s="158">
        <f>算定基礎!D20</f>
        <v>300000</v>
      </c>
      <c r="D34" s="272" t="s">
        <v>186</v>
      </c>
      <c r="E34" s="273"/>
      <c r="F34" s="159">
        <f>算定基礎!D24</f>
        <v>280000</v>
      </c>
      <c r="G34" s="97"/>
      <c r="H34" s="97"/>
      <c r="I34" s="160">
        <f>G33*G37/12</f>
        <v>902088</v>
      </c>
      <c r="J34" s="97"/>
    </row>
    <row r="35" spans="1:10" ht="13.5" customHeight="1" thickBot="1" x14ac:dyDescent="0.25">
      <c r="A35" s="97"/>
      <c r="B35" s="97"/>
      <c r="C35" s="97"/>
      <c r="D35" s="97"/>
      <c r="E35" s="97"/>
      <c r="F35" s="97"/>
      <c r="G35" s="97"/>
      <c r="H35" s="97"/>
      <c r="I35" s="97"/>
      <c r="J35" s="97"/>
    </row>
    <row r="36" spans="1:10" ht="20.25" customHeight="1" x14ac:dyDescent="0.2">
      <c r="A36" s="97"/>
      <c r="B36" s="97"/>
      <c r="C36" s="97"/>
      <c r="D36" s="97"/>
      <c r="E36" s="274" t="s">
        <v>187</v>
      </c>
      <c r="F36" s="161" t="s">
        <v>188</v>
      </c>
      <c r="G36" s="162">
        <v>5.4809999999999999</v>
      </c>
      <c r="H36" s="97"/>
      <c r="I36" s="163" t="s">
        <v>189</v>
      </c>
      <c r="J36" s="97"/>
    </row>
    <row r="37" spans="1:10" ht="20.25" customHeight="1" thickBot="1" x14ac:dyDescent="0.25">
      <c r="A37" s="97"/>
      <c r="B37" s="97"/>
      <c r="C37" s="97"/>
      <c r="D37" s="97"/>
      <c r="E37" s="275"/>
      <c r="F37" s="164" t="s">
        <v>190</v>
      </c>
      <c r="G37" s="165">
        <f>DATEDIF(E13,DATE(YEAR(E14)+①入力シート!D10,MONTH(E14),DAY(E14)),"M")</f>
        <v>201</v>
      </c>
      <c r="H37" s="97"/>
      <c r="I37" s="166">
        <f>IF(G38=0,"年金減額なし",ROUNDUP(I34/G38,0)+65)</f>
        <v>106</v>
      </c>
      <c r="J37" s="97"/>
    </row>
    <row r="38" spans="1:10" ht="20.25" customHeight="1" thickBot="1" x14ac:dyDescent="0.25">
      <c r="A38" s="97"/>
      <c r="B38" s="97"/>
      <c r="C38" s="97"/>
      <c r="D38" s="97"/>
      <c r="E38" s="276"/>
      <c r="F38" s="167" t="s">
        <v>191</v>
      </c>
      <c r="G38" s="168">
        <f>ROUND((算定基礎!D19-算定基礎!D23)*G36/1000*G37,0)</f>
        <v>22034</v>
      </c>
      <c r="H38" s="97"/>
      <c r="I38" s="97"/>
      <c r="J38" s="97"/>
    </row>
    <row r="39" spans="1:10" x14ac:dyDescent="0.2">
      <c r="A39" s="97"/>
      <c r="B39" s="169" t="s">
        <v>192</v>
      </c>
      <c r="C39" s="169"/>
      <c r="D39" s="169"/>
      <c r="E39" s="169"/>
      <c r="F39" s="169"/>
      <c r="G39" s="169"/>
      <c r="H39" s="169"/>
      <c r="I39" s="169"/>
      <c r="J39" s="169"/>
    </row>
    <row r="40" spans="1:10" x14ac:dyDescent="0.2">
      <c r="A40" s="97"/>
      <c r="B40" s="253" t="s">
        <v>193</v>
      </c>
      <c r="C40" s="253"/>
      <c r="D40" s="253"/>
      <c r="E40" s="253"/>
      <c r="F40" s="253"/>
      <c r="G40" s="253"/>
      <c r="H40" s="253"/>
      <c r="I40" s="253"/>
      <c r="J40" s="253"/>
    </row>
    <row r="41" spans="1:10" x14ac:dyDescent="0.2">
      <c r="A41" s="97"/>
      <c r="B41" s="169" t="str">
        <f>REPLACEB("２．社会保険関係の料率は、厚生年金保険料率：17.828％、",45,6,(基礎データ!V4+基礎データ!W4)*100)&amp;REPLACEB(REPLACE("健康保険料率：9.96％（協会健保 東京都）、",19,3,G13),15,4,(基礎データ!V6+基礎データ!W6)*100)&amp;REPLACEB("介護保険料率：1.58％、",15,4,(基礎データ!V7+基礎データ!W7)*100)</f>
        <v>２．社会保険関係の料率は、厚生年金保険料率：18.3％、健康保険料率：9.98％（協会健保 東京都）、介護保険料率：1.6％、</v>
      </c>
      <c r="C41" s="169"/>
      <c r="D41" s="169"/>
      <c r="E41" s="169"/>
      <c r="F41" s="169"/>
      <c r="G41" s="169"/>
      <c r="H41" s="169"/>
      <c r="I41" s="169"/>
      <c r="J41" s="169"/>
    </row>
    <row r="42" spans="1:10" x14ac:dyDescent="0.2">
      <c r="A42" s="97"/>
      <c r="B42" s="169" t="str">
        <f>REPLACEB("　　雇用保険料率：0.4％（従業員）、",19,3,基礎データ!V8*100)&amp;REPLACEB("雇用保険料率：0.7％（企業）を使用しています。",15,3,基礎データ!W8*100)</f>
        <v>　　雇用保険料率：0.6％（従業員）、雇用保険料率：0.95％（企業）を使用しています。</v>
      </c>
      <c r="C42" s="169"/>
      <c r="D42" s="169"/>
      <c r="E42" s="169"/>
      <c r="F42" s="169"/>
      <c r="G42" s="169"/>
      <c r="H42" s="169"/>
      <c r="I42" s="169"/>
      <c r="J42" s="169"/>
    </row>
    <row r="43" spans="1:10" x14ac:dyDescent="0.2">
      <c r="A43" s="97"/>
      <c r="B43" s="169" t="s">
        <v>194</v>
      </c>
      <c r="C43" s="169"/>
      <c r="D43" s="169"/>
      <c r="E43" s="169"/>
      <c r="F43" s="169"/>
      <c r="G43" s="169"/>
      <c r="H43" s="169"/>
      <c r="I43" s="169"/>
      <c r="J43" s="169"/>
    </row>
    <row r="44" spans="1:10" x14ac:dyDescent="0.2">
      <c r="A44" s="97"/>
      <c r="B44" s="169" t="s">
        <v>195</v>
      </c>
      <c r="C44" s="169"/>
      <c r="D44" s="169"/>
      <c r="E44" s="169"/>
      <c r="F44" s="169"/>
      <c r="G44" s="169"/>
      <c r="H44" s="169"/>
      <c r="I44" s="169"/>
      <c r="J44" s="169"/>
    </row>
    <row r="45" spans="1:10" x14ac:dyDescent="0.2">
      <c r="A45" s="97"/>
      <c r="B45" s="251" t="s">
        <v>196</v>
      </c>
      <c r="C45" s="251"/>
      <c r="D45" s="251"/>
      <c r="E45" s="251"/>
      <c r="F45" s="251"/>
      <c r="G45" s="251"/>
      <c r="H45" s="169"/>
      <c r="I45" s="169"/>
      <c r="J45" s="169"/>
    </row>
  </sheetData>
  <mergeCells count="13">
    <mergeCell ref="B45:G45"/>
    <mergeCell ref="B3:I3"/>
    <mergeCell ref="B40:J40"/>
    <mergeCell ref="B30:B32"/>
    <mergeCell ref="B7:C7"/>
    <mergeCell ref="E7:F7"/>
    <mergeCell ref="B23:C23"/>
    <mergeCell ref="D23:E23"/>
    <mergeCell ref="B24:B29"/>
    <mergeCell ref="B33:C33"/>
    <mergeCell ref="D33:F33"/>
    <mergeCell ref="D34:E34"/>
    <mergeCell ref="E36:E38"/>
  </mergeCells>
  <phoneticPr fontId="2"/>
  <dataValidations count="5">
    <dataValidation type="list" allowBlank="1" showInputMessage="1" showErrorMessage="1" promptTitle="老人扶養親族（同居外）の人数" prompt="70歳以上の親族のうち、居住者及びその配偶者の直系尊属以外の者で、居住者又はその配偶者と同居していない者の人数を選択" sqref="E20">
      <formula1>"0,1,2,3,4,5"</formula1>
    </dataValidation>
    <dataValidation type="list" allowBlank="1" showInputMessage="1" showErrorMessage="1" promptTitle="老人扶養親族（同居）の人数" prompt="70歳以上の親族のうち、居住者及びその配偶者の直系尊属で、居住者又はその配偶者と同居する者の人数を選択" sqref="E19">
      <formula1>"0,1,2,3,4,5"</formula1>
    </dataValidation>
    <dataValidation type="list" allowBlank="1" showInputMessage="1" showErrorMessage="1" promptTitle="扶養控除対象者の人数" prompt="1998年1月2日以後に生まれた扶養家族の人数を選択（ただし、1998年1月2日～1995年1月1日生まれの者を除く。）" sqref="E17">
      <formula1>"0,1,2,3,4,5"</formula1>
    </dataValidation>
    <dataValidation type="list" allowBlank="1" showInputMessage="1" showErrorMessage="1" promptTitle="控除対象配偶者の有無" prompt="年収38万円以下の配偶者の有無を選択してください。" sqref="E16">
      <formula1>"有,無"</formula1>
    </dataValidation>
    <dataValidation type="list" allowBlank="1" showInputMessage="1" showErrorMessage="1" promptTitle="特定扶養控除対象者の人数" prompt="1998年1月2日以後に生まれた扶養家族のうち、1998年1月2日～1995年1月1日生まれの者の人数を選択" sqref="E18">
      <formula1>"0,1,2,3,4,5"</formula1>
    </dataValidation>
  </dataValidations>
  <pageMargins left="0.31496062992125984" right="0.11811023622047245" top="0.74803149606299213" bottom="0.74803149606299213" header="0.31496062992125984" footer="0.31496062992125984"/>
  <pageSetup paperSize="9" scale="9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95"/>
  <sheetViews>
    <sheetView topLeftCell="A62" zoomScaleNormal="100" workbookViewId="0">
      <selection activeCell="D74" sqref="D74"/>
    </sheetView>
  </sheetViews>
  <sheetFormatPr defaultColWidth="9" defaultRowHeight="11" x14ac:dyDescent="0.2"/>
  <cols>
    <col min="1" max="1" width="5.90625" style="3" customWidth="1"/>
    <col min="2" max="2" width="4.90625" style="3" customWidth="1"/>
    <col min="3" max="3" width="17.6328125" style="3" bestFit="1" customWidth="1"/>
    <col min="4" max="4" width="14.36328125" style="8" bestFit="1" customWidth="1"/>
    <col min="5" max="6" width="14" style="3" customWidth="1"/>
    <col min="7" max="7" width="14" style="3" hidden="1" customWidth="1"/>
    <col min="8" max="12" width="14" style="3" customWidth="1"/>
    <col min="13" max="16384" width="9" style="3"/>
  </cols>
  <sheetData>
    <row r="1" spans="1:12" x14ac:dyDescent="0.2">
      <c r="A1" s="13" t="s">
        <v>197</v>
      </c>
      <c r="B1" s="13"/>
      <c r="C1" s="13"/>
      <c r="D1" s="14"/>
      <c r="E1" s="13"/>
      <c r="F1" s="13"/>
      <c r="G1" s="13"/>
    </row>
    <row r="2" spans="1:12" x14ac:dyDescent="0.2">
      <c r="A2" s="13"/>
      <c r="B2" s="13"/>
      <c r="C2" s="13"/>
      <c r="D2" s="14"/>
      <c r="E2" s="13"/>
      <c r="F2" s="13"/>
      <c r="G2" s="13"/>
    </row>
    <row r="3" spans="1:12" x14ac:dyDescent="0.2">
      <c r="A3" s="13" t="s">
        <v>198</v>
      </c>
      <c r="B3" s="13"/>
      <c r="C3" s="13"/>
      <c r="D3" s="14"/>
      <c r="E3" s="13"/>
      <c r="F3" s="13"/>
      <c r="G3" s="13"/>
    </row>
    <row r="4" spans="1:12" x14ac:dyDescent="0.2">
      <c r="A4" s="13"/>
      <c r="B4" s="13"/>
      <c r="C4" s="15" t="s">
        <v>199</v>
      </c>
      <c r="D4" s="11">
        <f>①入力シート!G4</f>
        <v>45017</v>
      </c>
      <c r="E4" s="13"/>
      <c r="F4" s="13"/>
      <c r="G4" s="13"/>
    </row>
    <row r="5" spans="1:12" x14ac:dyDescent="0.2">
      <c r="A5" s="13"/>
      <c r="B5" s="13"/>
      <c r="C5" s="15" t="s">
        <v>200</v>
      </c>
      <c r="D5" s="11">
        <f>①入力シート!G5</f>
        <v>29221</v>
      </c>
      <c r="E5" s="13"/>
      <c r="F5" s="13"/>
      <c r="G5" s="13"/>
    </row>
    <row r="6" spans="1:12" x14ac:dyDescent="0.2">
      <c r="A6" s="13"/>
      <c r="B6" s="13"/>
      <c r="C6" s="15" t="s">
        <v>201</v>
      </c>
      <c r="D6" s="12">
        <f>IF(MONTH(D4)-MONTH(D5)&lt;0,YEAR(D4)-YEAR(D5)-1,IF(MONTH(D4)-MONTH(D5)=0,IF(DAY(D4)-DAY(D5)+1&gt;=0,YEAR(D4)-YEAR(D5),YEAR(D4)-YEAR(D5)-1),IF(MONTH(D4)-MONTH(D5)&gt;0,YEAR(D4)-YEAR(D5),"")))</f>
        <v>43</v>
      </c>
      <c r="E6" s="13"/>
      <c r="G6" s="16" t="s">
        <v>202</v>
      </c>
    </row>
    <row r="7" spans="1:12" ht="13" hidden="1" x14ac:dyDescent="0.2">
      <c r="A7" s="13"/>
      <c r="B7" s="13"/>
      <c r="C7" s="15" t="s">
        <v>162</v>
      </c>
      <c r="D7" s="13"/>
      <c r="E7" s="13"/>
      <c r="F7" s="13"/>
      <c r="G7" s="15" t="s">
        <v>164</v>
      </c>
      <c r="H7"/>
    </row>
    <row r="8" spans="1:12" ht="13" hidden="1" x14ac:dyDescent="0.2">
      <c r="A8" s="13"/>
      <c r="B8" s="13"/>
      <c r="C8" s="15" t="s">
        <v>165</v>
      </c>
      <c r="D8" s="13"/>
      <c r="E8" s="13"/>
      <c r="F8" s="13"/>
      <c r="G8" s="15" t="s">
        <v>166</v>
      </c>
      <c r="H8"/>
    </row>
    <row r="9" spans="1:12" ht="13" hidden="1" x14ac:dyDescent="0.2">
      <c r="A9" s="13"/>
      <c r="B9" s="13"/>
      <c r="C9" s="15" t="s">
        <v>167</v>
      </c>
      <c r="D9" s="13"/>
      <c r="E9" s="13"/>
      <c r="F9" s="13"/>
      <c r="G9" s="15" t="s">
        <v>168</v>
      </c>
      <c r="H9"/>
    </row>
    <row r="10" spans="1:12" ht="13" hidden="1" x14ac:dyDescent="0.2">
      <c r="A10" s="13"/>
      <c r="B10" s="13"/>
      <c r="C10" s="15" t="s">
        <v>169</v>
      </c>
      <c r="D10" s="13"/>
      <c r="E10" s="13"/>
      <c r="F10" s="13"/>
      <c r="G10" s="15" t="s">
        <v>170</v>
      </c>
      <c r="H10"/>
    </row>
    <row r="11" spans="1:12" ht="13" hidden="1" x14ac:dyDescent="0.2">
      <c r="A11" s="13"/>
      <c r="B11" s="13"/>
      <c r="C11" s="15" t="s">
        <v>171</v>
      </c>
      <c r="D11" s="13"/>
      <c r="E11" s="13"/>
      <c r="F11" s="13"/>
      <c r="G11" s="15" t="s">
        <v>172</v>
      </c>
      <c r="H11"/>
    </row>
    <row r="12" spans="1:12" x14ac:dyDescent="0.2">
      <c r="A12" s="13"/>
      <c r="B12" s="13"/>
      <c r="C12" s="15"/>
      <c r="D12" s="13"/>
      <c r="E12" s="13"/>
      <c r="F12" s="13"/>
      <c r="G12" s="13"/>
    </row>
    <row r="13" spans="1:12" x14ac:dyDescent="0.2">
      <c r="A13" s="13"/>
      <c r="B13" s="13"/>
      <c r="C13" s="15" t="s">
        <v>203</v>
      </c>
      <c r="D13" s="17">
        <f>IF(①入力シート!G10="総支給に含む",(①入力シート!$D$5-①入力シート!$D$6)*12+①入力シート!$D$7,①入力シート!$D$5*12+①入力シート!$D$7)</f>
        <v>5000000</v>
      </c>
      <c r="E13" s="18"/>
      <c r="F13" s="18"/>
      <c r="G13" s="18"/>
      <c r="H13" s="6"/>
      <c r="I13" s="6"/>
      <c r="J13" s="6"/>
      <c r="K13" s="6"/>
      <c r="L13" s="6"/>
    </row>
    <row r="14" spans="1:12" x14ac:dyDescent="0.2">
      <c r="A14" s="13"/>
      <c r="B14" s="13"/>
      <c r="C14" s="15" t="s">
        <v>204</v>
      </c>
      <c r="D14" s="17">
        <f>①入力シート!$D$7</f>
        <v>1400000</v>
      </c>
      <c r="E14" s="19"/>
      <c r="F14" s="19"/>
      <c r="G14" s="19"/>
      <c r="H14" s="5"/>
      <c r="I14" s="5"/>
      <c r="J14" s="5"/>
      <c r="K14" s="5"/>
      <c r="L14" s="5"/>
    </row>
    <row r="15" spans="1:12" x14ac:dyDescent="0.2">
      <c r="A15" s="13"/>
      <c r="B15" s="13"/>
      <c r="C15" s="15" t="s">
        <v>205</v>
      </c>
      <c r="D15" s="17">
        <f>①入力シート!$D$8</f>
        <v>12500</v>
      </c>
      <c r="E15" s="19"/>
      <c r="F15" s="19"/>
      <c r="G15" s="19"/>
      <c r="H15" s="5"/>
      <c r="I15" s="5"/>
      <c r="J15" s="5"/>
      <c r="K15" s="5"/>
      <c r="L15" s="5"/>
    </row>
    <row r="16" spans="1:12" x14ac:dyDescent="0.2">
      <c r="A16" s="13"/>
      <c r="B16" s="13"/>
      <c r="C16" s="15" t="s">
        <v>206</v>
      </c>
      <c r="D16" s="17">
        <f>D13-D15*12</f>
        <v>4850000</v>
      </c>
      <c r="E16" s="19"/>
      <c r="F16" s="19"/>
      <c r="G16" s="19"/>
      <c r="H16" s="5"/>
      <c r="I16" s="5"/>
      <c r="J16" s="5"/>
      <c r="K16" s="5"/>
      <c r="L16" s="5"/>
    </row>
    <row r="17" spans="1:12" ht="6.75" customHeight="1" x14ac:dyDescent="0.2">
      <c r="A17" s="13"/>
      <c r="B17" s="13"/>
      <c r="C17" s="15"/>
      <c r="D17" s="17"/>
      <c r="E17" s="18"/>
      <c r="F17" s="18"/>
      <c r="G17" s="18"/>
      <c r="H17" s="6"/>
      <c r="I17" s="6"/>
      <c r="J17" s="6"/>
      <c r="K17" s="6"/>
      <c r="L17" s="6"/>
    </row>
    <row r="18" spans="1:12" x14ac:dyDescent="0.2">
      <c r="A18" s="13"/>
      <c r="B18" s="13">
        <v>1</v>
      </c>
      <c r="C18" s="15" t="s">
        <v>207</v>
      </c>
      <c r="D18" s="17">
        <f>ROUND((D13-D14)/12,0)+①入力シート!$D$6</f>
        <v>300000</v>
      </c>
      <c r="E18" s="20"/>
      <c r="F18" s="20"/>
      <c r="G18" s="20"/>
      <c r="H18" s="7"/>
      <c r="I18" s="7"/>
      <c r="J18" s="7"/>
      <c r="K18" s="7"/>
      <c r="L18" s="7"/>
    </row>
    <row r="19" spans="1:12" x14ac:dyDescent="0.2">
      <c r="A19" s="13"/>
      <c r="B19" s="13">
        <v>2</v>
      </c>
      <c r="C19" s="15" t="s">
        <v>208</v>
      </c>
      <c r="D19" s="17">
        <f>VLOOKUP(D18,基礎データ!$O$4:$S$53,4)</f>
        <v>300000</v>
      </c>
      <c r="E19" s="20"/>
      <c r="F19" s="20"/>
      <c r="G19" s="20"/>
      <c r="H19" s="7"/>
      <c r="I19" s="7"/>
      <c r="J19" s="7"/>
      <c r="K19" s="7"/>
      <c r="L19" s="7"/>
    </row>
    <row r="20" spans="1:12" x14ac:dyDescent="0.2">
      <c r="A20" s="13"/>
      <c r="B20" s="13">
        <v>3</v>
      </c>
      <c r="C20" s="15" t="s">
        <v>209</v>
      </c>
      <c r="D20" s="17">
        <f>VLOOKUP(D18,基礎データ!$O$4:$S$53,5)</f>
        <v>300000</v>
      </c>
      <c r="E20" s="20"/>
      <c r="F20" s="20"/>
      <c r="G20" s="20"/>
      <c r="H20" s="7"/>
      <c r="I20" s="7"/>
      <c r="J20" s="7"/>
      <c r="K20" s="7"/>
      <c r="L20" s="7"/>
    </row>
    <row r="21" spans="1:12" ht="8.25" customHeight="1" x14ac:dyDescent="0.2">
      <c r="A21" s="13"/>
      <c r="B21" s="13">
        <v>4</v>
      </c>
      <c r="C21" s="15"/>
      <c r="D21" s="17"/>
      <c r="E21" s="20"/>
      <c r="F21" s="20"/>
      <c r="G21" s="20"/>
      <c r="H21" s="7"/>
      <c r="I21" s="7"/>
      <c r="J21" s="7"/>
      <c r="K21" s="7"/>
      <c r="L21" s="7"/>
    </row>
    <row r="22" spans="1:12" x14ac:dyDescent="0.2">
      <c r="A22" s="13"/>
      <c r="B22" s="13">
        <v>5</v>
      </c>
      <c r="C22" s="15" t="s">
        <v>210</v>
      </c>
      <c r="D22" s="17">
        <f>ROUND((D13-D14)/12-D15,0)+①入力シート!$D$6</f>
        <v>287500</v>
      </c>
      <c r="E22" s="20"/>
      <c r="F22" s="20"/>
      <c r="G22" s="20"/>
      <c r="H22" s="7"/>
      <c r="I22" s="7"/>
      <c r="J22" s="7"/>
      <c r="K22" s="7"/>
      <c r="L22" s="7"/>
    </row>
    <row r="23" spans="1:12" x14ac:dyDescent="0.2">
      <c r="A23" s="13"/>
      <c r="B23" s="13">
        <v>6</v>
      </c>
      <c r="C23" s="15" t="s">
        <v>208</v>
      </c>
      <c r="D23" s="17">
        <f>VLOOKUP(D22,基礎データ!$O$4:$S$53,4)</f>
        <v>280000</v>
      </c>
      <c r="E23" s="20"/>
      <c r="F23" s="20"/>
      <c r="G23" s="20"/>
      <c r="H23" s="7"/>
      <c r="I23" s="7"/>
      <c r="J23" s="7"/>
      <c r="K23" s="7"/>
      <c r="L23" s="7"/>
    </row>
    <row r="24" spans="1:12" x14ac:dyDescent="0.2">
      <c r="A24" s="13"/>
      <c r="B24" s="13">
        <v>7</v>
      </c>
      <c r="C24" s="15" t="s">
        <v>209</v>
      </c>
      <c r="D24" s="17">
        <f>VLOOKUP(D22,基礎データ!$O$4:$S$53,5)</f>
        <v>280000</v>
      </c>
      <c r="E24" s="20"/>
      <c r="F24" s="20"/>
      <c r="G24" s="20"/>
      <c r="H24" s="7"/>
      <c r="I24" s="7"/>
      <c r="J24" s="7"/>
      <c r="K24" s="7"/>
      <c r="L24" s="7"/>
    </row>
    <row r="25" spans="1:12" x14ac:dyDescent="0.2">
      <c r="A25" s="13"/>
      <c r="B25" s="13">
        <v>8</v>
      </c>
      <c r="C25" s="13"/>
      <c r="D25" s="17"/>
      <c r="E25" s="13"/>
      <c r="F25" s="13"/>
      <c r="G25" s="13"/>
    </row>
    <row r="26" spans="1:12" x14ac:dyDescent="0.2">
      <c r="A26" s="13"/>
      <c r="B26" s="13">
        <v>9</v>
      </c>
      <c r="C26" s="21" t="s">
        <v>211</v>
      </c>
      <c r="D26" s="17"/>
      <c r="E26" s="13"/>
      <c r="F26" s="13"/>
      <c r="G26" s="13"/>
    </row>
    <row r="27" spans="1:12" x14ac:dyDescent="0.2">
      <c r="A27" s="13"/>
      <c r="B27" s="13">
        <v>10</v>
      </c>
      <c r="C27" s="15" t="s">
        <v>212</v>
      </c>
      <c r="D27" s="17">
        <f>ROUNDDOWN(D19*基礎データ!$V$4,0)</f>
        <v>27450</v>
      </c>
      <c r="E27" s="20"/>
      <c r="F27" s="20"/>
      <c r="G27" s="20"/>
      <c r="H27" s="7"/>
      <c r="I27" s="7"/>
      <c r="J27" s="7"/>
      <c r="K27" s="7"/>
      <c r="L27" s="7"/>
    </row>
    <row r="28" spans="1:12" x14ac:dyDescent="0.2">
      <c r="A28" s="13"/>
      <c r="B28" s="13">
        <v>11</v>
      </c>
      <c r="C28" s="22" t="s">
        <v>213</v>
      </c>
      <c r="D28" s="17">
        <f>ROUNDDOWN(D20*基礎データ!$V$6,0)</f>
        <v>14970</v>
      </c>
      <c r="E28" s="20"/>
      <c r="F28" s="20"/>
      <c r="G28" s="20"/>
      <c r="H28" s="7"/>
      <c r="I28" s="7"/>
      <c r="J28" s="7"/>
      <c r="K28" s="7"/>
      <c r="L28" s="7"/>
    </row>
    <row r="29" spans="1:12" x14ac:dyDescent="0.2">
      <c r="A29" s="13"/>
      <c r="B29" s="13">
        <v>12</v>
      </c>
      <c r="C29" s="15" t="s">
        <v>214</v>
      </c>
      <c r="D29" s="17">
        <f>IF(D6&gt;=40,ROUNDDOWN(D20*基礎データ!$V$7,0),0)</f>
        <v>2400</v>
      </c>
      <c r="E29" s="20"/>
      <c r="F29" s="20"/>
      <c r="G29" s="20"/>
      <c r="H29" s="7"/>
      <c r="I29" s="7"/>
      <c r="J29" s="7"/>
      <c r="K29" s="7"/>
      <c r="L29" s="7"/>
    </row>
    <row r="30" spans="1:12" x14ac:dyDescent="0.2">
      <c r="A30" s="13"/>
      <c r="B30" s="13">
        <v>13</v>
      </c>
      <c r="C30" s="15" t="s">
        <v>215</v>
      </c>
      <c r="D30" s="17">
        <f>ROUND(D18*基礎データ!$V$8,0)</f>
        <v>1800</v>
      </c>
      <c r="E30" s="20"/>
      <c r="F30" s="20"/>
      <c r="G30" s="20"/>
      <c r="H30" s="7"/>
      <c r="I30" s="7"/>
      <c r="J30" s="7"/>
      <c r="K30" s="7"/>
      <c r="L30" s="7"/>
    </row>
    <row r="31" spans="1:12" x14ac:dyDescent="0.2">
      <c r="A31" s="13"/>
      <c r="B31" s="13"/>
      <c r="C31" s="15" t="s">
        <v>216</v>
      </c>
      <c r="D31" s="23"/>
      <c r="E31" s="20"/>
      <c r="F31" s="24">
        <f>IF(ROUNDDOWN(D14/2/1000,0)*1000&gt;=1500000,1500000,ROUNDDOWN(D14/2/1000,0)*1000)*基礎データ!$V$4*2+IF(ROUNDDOWN(D14/2/1000,0)*1000&gt;=2865000,2865000,ROUNDDOWN(D14/2/1000,0)*1000)*(基礎データ!$V$6+IF(算定基礎!$D$6&gt;=40,基礎データ!$V$7,0))*2+D14/2*基礎データ!$V$8*2</f>
        <v>217560</v>
      </c>
      <c r="G31" s="20"/>
      <c r="H31" s="7"/>
      <c r="I31" s="7"/>
      <c r="J31" s="7"/>
      <c r="K31" s="7"/>
      <c r="L31" s="7"/>
    </row>
    <row r="32" spans="1:12" x14ac:dyDescent="0.2">
      <c r="A32" s="13"/>
      <c r="B32" s="13">
        <v>14</v>
      </c>
      <c r="C32" s="15" t="s">
        <v>217</v>
      </c>
      <c r="D32" s="17">
        <f>SUM(D27:D30)*12+F31</f>
        <v>777000</v>
      </c>
      <c r="E32" s="20"/>
      <c r="F32" s="20"/>
      <c r="G32" s="20"/>
      <c r="H32" s="7"/>
      <c r="I32" s="7"/>
      <c r="J32" s="7"/>
      <c r="K32" s="7"/>
      <c r="L32" s="7"/>
    </row>
    <row r="33" spans="1:12" ht="15" customHeight="1" x14ac:dyDescent="0.2">
      <c r="A33" s="13"/>
      <c r="B33" s="13">
        <v>15</v>
      </c>
      <c r="C33" s="15"/>
      <c r="D33" s="23"/>
      <c r="E33" s="20"/>
      <c r="F33" s="20"/>
      <c r="G33" s="20"/>
      <c r="H33" s="7"/>
      <c r="I33" s="7"/>
      <c r="J33" s="7"/>
      <c r="K33" s="7"/>
      <c r="L33" s="7"/>
    </row>
    <row r="34" spans="1:12" x14ac:dyDescent="0.2">
      <c r="A34" s="13"/>
      <c r="B34" s="13">
        <v>16</v>
      </c>
      <c r="C34" s="15" t="s">
        <v>218</v>
      </c>
      <c r="D34" s="17">
        <f>ROUNDDOWN(D19*基礎データ!$W$4,0)</f>
        <v>27450</v>
      </c>
      <c r="E34" s="20"/>
      <c r="F34" s="20"/>
      <c r="G34" s="20"/>
      <c r="H34" s="7"/>
      <c r="I34" s="7"/>
      <c r="J34" s="7"/>
      <c r="K34" s="7"/>
      <c r="L34" s="7"/>
    </row>
    <row r="35" spans="1:12" x14ac:dyDescent="0.2">
      <c r="A35" s="13"/>
      <c r="B35" s="13"/>
      <c r="C35" s="217" t="s">
        <v>219</v>
      </c>
      <c r="D35" s="17">
        <f>ROUNDDOWN(D19*基礎データ!$W$5,0)</f>
        <v>1080</v>
      </c>
      <c r="E35" s="20"/>
      <c r="F35" s="20"/>
      <c r="G35" s="20"/>
      <c r="H35" s="7"/>
      <c r="I35" s="7"/>
      <c r="J35" s="7"/>
      <c r="K35" s="7"/>
      <c r="L35" s="7"/>
    </row>
    <row r="36" spans="1:12" x14ac:dyDescent="0.2">
      <c r="A36" s="13"/>
      <c r="B36" s="13">
        <v>17</v>
      </c>
      <c r="C36" s="22" t="s">
        <v>220</v>
      </c>
      <c r="D36" s="17">
        <f>ROUNDDOWN(D20*基礎データ!$W$6,0)</f>
        <v>14970</v>
      </c>
      <c r="E36" s="20"/>
      <c r="F36" s="20"/>
      <c r="G36" s="20"/>
      <c r="H36" s="7"/>
      <c r="I36" s="7"/>
      <c r="J36" s="7"/>
      <c r="K36" s="7"/>
      <c r="L36" s="7"/>
    </row>
    <row r="37" spans="1:12" x14ac:dyDescent="0.2">
      <c r="A37" s="13"/>
      <c r="B37" s="13">
        <v>18</v>
      </c>
      <c r="C37" s="15" t="s">
        <v>221</v>
      </c>
      <c r="D37" s="17">
        <f>IF(D6&gt;=40,ROUNDDOWN(D20*基礎データ!$W$7,0),0)</f>
        <v>2400</v>
      </c>
      <c r="E37" s="20"/>
      <c r="F37" s="20"/>
      <c r="G37" s="20"/>
      <c r="H37" s="7"/>
      <c r="I37" s="7"/>
      <c r="J37" s="7"/>
      <c r="K37" s="7"/>
      <c r="L37" s="7"/>
    </row>
    <row r="38" spans="1:12" x14ac:dyDescent="0.2">
      <c r="A38" s="13"/>
      <c r="B38" s="13">
        <v>19</v>
      </c>
      <c r="C38" s="15" t="s">
        <v>222</v>
      </c>
      <c r="D38" s="17">
        <f>ROUND(D18*基礎データ!$W$8,0)</f>
        <v>2850</v>
      </c>
      <c r="E38" s="20"/>
      <c r="F38" s="20"/>
      <c r="G38" s="20"/>
      <c r="H38" s="7"/>
      <c r="I38" s="7"/>
      <c r="J38" s="7"/>
      <c r="K38" s="7"/>
      <c r="L38" s="7"/>
    </row>
    <row r="39" spans="1:12" x14ac:dyDescent="0.2">
      <c r="A39" s="13"/>
      <c r="B39" s="13"/>
      <c r="C39" s="15" t="s">
        <v>223</v>
      </c>
      <c r="D39" s="23"/>
      <c r="E39" s="20"/>
      <c r="F39" s="24">
        <f>IF(ROUNDDOWN(D14/2/1000,0)*1000&gt;=1500000,1500000,ROUNDDOWN(D14/2/1000,0)*1000)*(基礎データ!$W$4+基礎データ!$W$5)*2+IF(ROUNDDOWN(D14/2/1000,0)*1000&gt;=2865000,2865000,ROUNDDOWN(D14/2/1000,0)*1000)*(基礎データ!$W$6+IF(算定基礎!$D$6&gt;=40,基礎データ!$W$7,0))*2+D14/2*基礎データ!$W$8*2</f>
        <v>227500</v>
      </c>
      <c r="G39" s="20"/>
      <c r="H39" s="7"/>
      <c r="I39" s="7"/>
      <c r="J39" s="7"/>
      <c r="K39" s="7"/>
      <c r="L39" s="7"/>
    </row>
    <row r="40" spans="1:12" x14ac:dyDescent="0.2">
      <c r="A40" s="13"/>
      <c r="B40" s="13">
        <v>20</v>
      </c>
      <c r="C40" s="15" t="s">
        <v>224</v>
      </c>
      <c r="D40" s="17">
        <f>SUM(D34:D38)*12+F39</f>
        <v>812500</v>
      </c>
      <c r="E40" s="25"/>
      <c r="F40" s="25"/>
      <c r="G40" s="25"/>
      <c r="H40" s="4"/>
      <c r="I40" s="4"/>
      <c r="J40" s="4"/>
      <c r="K40" s="4"/>
      <c r="L40" s="4"/>
    </row>
    <row r="41" spans="1:12" x14ac:dyDescent="0.2">
      <c r="A41" s="13"/>
      <c r="B41" s="13">
        <v>21</v>
      </c>
      <c r="C41" s="13"/>
      <c r="D41" s="23"/>
      <c r="E41" s="13"/>
      <c r="F41" s="13"/>
      <c r="G41" s="13"/>
    </row>
    <row r="42" spans="1:12" x14ac:dyDescent="0.2">
      <c r="A42" s="13"/>
      <c r="B42" s="13">
        <v>22</v>
      </c>
      <c r="C42" s="21" t="s">
        <v>225</v>
      </c>
      <c r="D42" s="23"/>
      <c r="E42" s="13"/>
      <c r="F42" s="13"/>
      <c r="G42" s="13"/>
    </row>
    <row r="43" spans="1:12" x14ac:dyDescent="0.2">
      <c r="A43" s="13"/>
      <c r="B43" s="13">
        <v>23</v>
      </c>
      <c r="C43" s="15" t="s">
        <v>212</v>
      </c>
      <c r="D43" s="17">
        <f>ROUNDDOWN(D23*基礎データ!$V$4,0)</f>
        <v>25620</v>
      </c>
      <c r="E43" s="20"/>
      <c r="F43" s="20"/>
      <c r="G43" s="20"/>
      <c r="H43" s="7"/>
      <c r="I43" s="7"/>
      <c r="J43" s="7"/>
      <c r="K43" s="7"/>
      <c r="L43" s="7"/>
    </row>
    <row r="44" spans="1:12" x14ac:dyDescent="0.2">
      <c r="A44" s="13"/>
      <c r="B44" s="13">
        <v>24</v>
      </c>
      <c r="C44" s="22" t="s">
        <v>213</v>
      </c>
      <c r="D44" s="17">
        <f>ROUNDDOWN(D24*基礎データ!$V$6,0)</f>
        <v>13972</v>
      </c>
      <c r="E44" s="20"/>
      <c r="F44" s="20"/>
      <c r="G44" s="20"/>
      <c r="H44" s="7"/>
      <c r="I44" s="7"/>
      <c r="J44" s="7"/>
      <c r="K44" s="7"/>
      <c r="L44" s="7"/>
    </row>
    <row r="45" spans="1:12" x14ac:dyDescent="0.2">
      <c r="A45" s="13"/>
      <c r="B45" s="13">
        <v>25</v>
      </c>
      <c r="C45" s="15" t="s">
        <v>214</v>
      </c>
      <c r="D45" s="17">
        <f>IF(D6&gt;=40,ROUNDDOWN(D24*基礎データ!$V$7,0),0)</f>
        <v>2240</v>
      </c>
      <c r="E45" s="20"/>
      <c r="F45" s="20"/>
      <c r="G45" s="20"/>
      <c r="H45" s="7"/>
      <c r="I45" s="7"/>
      <c r="J45" s="7"/>
      <c r="K45" s="7"/>
      <c r="L45" s="7"/>
    </row>
    <row r="46" spans="1:12" x14ac:dyDescent="0.2">
      <c r="A46" s="13"/>
      <c r="B46" s="13">
        <v>26</v>
      </c>
      <c r="C46" s="15" t="s">
        <v>215</v>
      </c>
      <c r="D46" s="17">
        <f>ROUND(D22*基礎データ!$V$8,0)</f>
        <v>1725</v>
      </c>
      <c r="E46" s="20"/>
      <c r="F46" s="20"/>
      <c r="G46" s="20"/>
      <c r="H46" s="7"/>
      <c r="I46" s="7"/>
      <c r="J46" s="7"/>
      <c r="K46" s="7"/>
      <c r="L46" s="7"/>
    </row>
    <row r="47" spans="1:12" x14ac:dyDescent="0.2">
      <c r="A47" s="13"/>
      <c r="B47" s="13"/>
      <c r="C47" s="15" t="s">
        <v>216</v>
      </c>
      <c r="D47" s="23"/>
      <c r="E47" s="20"/>
      <c r="F47" s="24">
        <f>IF(ROUNDDOWN(D14/2/1000,0)*1000&gt;=1500000,1500000,ROUNDDOWN(D14/2/1000,0)*1000)*基礎データ!$V$4*2+IF(ROUNDDOWN(D14/2/1000,0)*1000&gt;=2865000,2865000,ROUNDDOWN(D14/2/1000,0)*1000)*(基礎データ!$V$6+IF(算定基礎!$D$6&gt;=40,基礎データ!$V$7,0))*2+D14/2*基礎データ!$V$8*2</f>
        <v>217560</v>
      </c>
      <c r="G47" s="20"/>
      <c r="H47" s="7"/>
      <c r="I47" s="7"/>
      <c r="J47" s="7"/>
      <c r="K47" s="7"/>
      <c r="L47" s="7"/>
    </row>
    <row r="48" spans="1:12" x14ac:dyDescent="0.2">
      <c r="A48" s="13"/>
      <c r="B48" s="13">
        <v>27</v>
      </c>
      <c r="C48" s="15" t="s">
        <v>217</v>
      </c>
      <c r="D48" s="17">
        <f>SUM(D43:D46)*12+F47</f>
        <v>740244</v>
      </c>
      <c r="E48" s="20"/>
      <c r="F48" s="20"/>
      <c r="G48" s="20"/>
      <c r="H48" s="7"/>
      <c r="I48" s="7"/>
      <c r="J48" s="7"/>
      <c r="K48" s="7"/>
      <c r="L48" s="7"/>
    </row>
    <row r="49" spans="1:12" x14ac:dyDescent="0.2">
      <c r="A49" s="13"/>
      <c r="B49" s="13">
        <v>28</v>
      </c>
      <c r="C49" s="15"/>
      <c r="D49" s="23"/>
      <c r="E49" s="20"/>
      <c r="F49" s="20"/>
      <c r="G49" s="20"/>
      <c r="H49" s="7"/>
      <c r="I49" s="7"/>
      <c r="J49" s="7"/>
      <c r="K49" s="7"/>
      <c r="L49" s="7"/>
    </row>
    <row r="50" spans="1:12" x14ac:dyDescent="0.2">
      <c r="A50" s="13"/>
      <c r="B50" s="13">
        <v>29</v>
      </c>
      <c r="C50" s="15" t="s">
        <v>218</v>
      </c>
      <c r="D50" s="17">
        <f>ROUNDDOWN(D23*基礎データ!$W$4,0)</f>
        <v>25620</v>
      </c>
      <c r="E50" s="20"/>
      <c r="F50" s="20"/>
      <c r="G50" s="20"/>
      <c r="H50" s="7"/>
      <c r="I50" s="7"/>
      <c r="J50" s="7"/>
      <c r="K50" s="7"/>
      <c r="L50" s="7"/>
    </row>
    <row r="51" spans="1:12" x14ac:dyDescent="0.2">
      <c r="A51" s="13"/>
      <c r="B51" s="13"/>
      <c r="C51" s="217" t="s">
        <v>219</v>
      </c>
      <c r="D51" s="17">
        <f>ROUNDDOWN(D23*基礎データ!$W$5,0)</f>
        <v>1008</v>
      </c>
      <c r="E51" s="20"/>
      <c r="F51" s="20"/>
      <c r="G51" s="20"/>
      <c r="H51" s="7"/>
      <c r="I51" s="7"/>
      <c r="J51" s="7"/>
      <c r="K51" s="7"/>
      <c r="L51" s="7"/>
    </row>
    <row r="52" spans="1:12" x14ac:dyDescent="0.2">
      <c r="A52" s="13"/>
      <c r="B52" s="13">
        <v>30</v>
      </c>
      <c r="C52" s="22" t="s">
        <v>220</v>
      </c>
      <c r="D52" s="17">
        <f>ROUNDDOWN(D24*基礎データ!$W$6,0)</f>
        <v>13972</v>
      </c>
      <c r="E52" s="20"/>
      <c r="F52" s="20"/>
      <c r="G52" s="20"/>
      <c r="H52" s="7"/>
      <c r="I52" s="7"/>
      <c r="J52" s="7"/>
      <c r="K52" s="7"/>
      <c r="L52" s="7"/>
    </row>
    <row r="53" spans="1:12" x14ac:dyDescent="0.2">
      <c r="A53" s="13"/>
      <c r="B53" s="13">
        <v>31</v>
      </c>
      <c r="C53" s="15" t="s">
        <v>221</v>
      </c>
      <c r="D53" s="17">
        <f>IF(D6&gt;=40,ROUNDDOWN(D24*基礎データ!$W$7,0),0)</f>
        <v>2240</v>
      </c>
      <c r="E53" s="20"/>
      <c r="F53" s="20"/>
      <c r="G53" s="20"/>
      <c r="H53" s="7"/>
      <c r="I53" s="7"/>
      <c r="J53" s="7"/>
      <c r="K53" s="7"/>
      <c r="L53" s="7"/>
    </row>
    <row r="54" spans="1:12" x14ac:dyDescent="0.2">
      <c r="A54" s="13"/>
      <c r="B54" s="13">
        <v>32</v>
      </c>
      <c r="C54" s="15" t="s">
        <v>222</v>
      </c>
      <c r="D54" s="17">
        <f>ROUND(D22*基礎データ!$W$8,0)</f>
        <v>2731</v>
      </c>
      <c r="E54" s="20"/>
      <c r="F54" s="20"/>
      <c r="G54" s="20"/>
      <c r="H54" s="7"/>
      <c r="I54" s="7"/>
      <c r="J54" s="7"/>
      <c r="K54" s="7"/>
      <c r="L54" s="7"/>
    </row>
    <row r="55" spans="1:12" x14ac:dyDescent="0.2">
      <c r="A55" s="13"/>
      <c r="B55" s="13"/>
      <c r="C55" s="15" t="s">
        <v>226</v>
      </c>
      <c r="D55" s="23"/>
      <c r="E55" s="20"/>
      <c r="F55" s="24">
        <f>IF(ROUNDDOWN(D14/2/1000,0)*1000&gt;=1500000,1500000,ROUNDDOWN(D14/2/1000,0)*1000)*(基礎データ!$W$4+基礎データ!$W$5)*2+IF(ROUNDDOWN(D14/2/1000,0)*1000&gt;=2865000,2865000,ROUNDDOWN(D14/2/1000,0)*1000)*(基礎データ!$W$6+IF(算定基礎!$D$6&gt;=40,基礎データ!$W$7,0))*2+D14/2*基礎データ!$W$8*2</f>
        <v>227500</v>
      </c>
      <c r="G55" s="20"/>
      <c r="H55" s="7"/>
      <c r="I55" s="7"/>
      <c r="J55" s="7"/>
      <c r="K55" s="7"/>
      <c r="L55" s="7"/>
    </row>
    <row r="56" spans="1:12" x14ac:dyDescent="0.2">
      <c r="A56" s="13"/>
      <c r="B56" s="13">
        <v>33</v>
      </c>
      <c r="C56" s="15" t="s">
        <v>224</v>
      </c>
      <c r="D56" s="17">
        <f>SUM(D50:D54)*12+F55</f>
        <v>774352</v>
      </c>
      <c r="E56" s="25"/>
      <c r="F56" s="25"/>
      <c r="G56" s="25"/>
      <c r="H56" s="4"/>
      <c r="I56" s="4"/>
      <c r="J56" s="4"/>
      <c r="K56" s="4"/>
      <c r="L56" s="4"/>
    </row>
    <row r="57" spans="1:12" x14ac:dyDescent="0.2">
      <c r="A57" s="13"/>
      <c r="B57" s="13">
        <v>34</v>
      </c>
      <c r="C57" s="13"/>
      <c r="D57" s="23"/>
      <c r="E57" s="13"/>
      <c r="F57" s="13"/>
      <c r="G57" s="13"/>
    </row>
    <row r="58" spans="1:12" x14ac:dyDescent="0.2">
      <c r="A58" s="13"/>
      <c r="B58" s="13">
        <v>35</v>
      </c>
      <c r="C58" s="21" t="s">
        <v>211</v>
      </c>
      <c r="D58" s="23"/>
      <c r="E58" s="13"/>
      <c r="F58" s="13"/>
      <c r="G58" s="13"/>
    </row>
    <row r="59" spans="1:12" x14ac:dyDescent="0.2">
      <c r="A59" s="13"/>
      <c r="B59" s="13">
        <v>36</v>
      </c>
      <c r="C59" s="15" t="s">
        <v>227</v>
      </c>
      <c r="D59" s="17">
        <f>ROUNDDOWN(D13*VLOOKUP(D13,基礎データ!$B$4:$G$15,4)/1000,0)*1000*VLOOKUP(D13,基礎データ!$B$4:$G$15,5)-VLOOKUP(D13,基礎データ!$B$4:$G$15,6)</f>
        <v>3560000</v>
      </c>
      <c r="E59" s="20"/>
      <c r="F59" s="20"/>
      <c r="G59" s="20"/>
      <c r="H59" s="7"/>
      <c r="I59" s="7"/>
      <c r="J59" s="7"/>
      <c r="K59" s="7"/>
      <c r="L59" s="7"/>
    </row>
    <row r="60" spans="1:12" x14ac:dyDescent="0.2">
      <c r="A60" s="13"/>
      <c r="B60" s="13">
        <v>37</v>
      </c>
      <c r="C60" s="15" t="s">
        <v>228</v>
      </c>
      <c r="D60" s="17">
        <f>D32</f>
        <v>777000</v>
      </c>
      <c r="E60" s="25"/>
      <c r="F60" s="25"/>
      <c r="G60" s="25"/>
      <c r="H60" s="4"/>
      <c r="I60" s="4"/>
      <c r="J60" s="4"/>
      <c r="K60" s="4"/>
      <c r="L60" s="4"/>
    </row>
    <row r="61" spans="1:12" x14ac:dyDescent="0.2">
      <c r="A61" s="13"/>
      <c r="B61" s="13">
        <v>38</v>
      </c>
      <c r="C61" s="15" t="s">
        <v>229</v>
      </c>
      <c r="D61" s="17">
        <f>基礎データ!$L$33</f>
        <v>480000</v>
      </c>
      <c r="E61" s="25"/>
      <c r="F61" s="25"/>
      <c r="G61" s="25"/>
      <c r="H61" s="4"/>
      <c r="I61" s="4"/>
      <c r="J61" s="4"/>
      <c r="K61" s="4"/>
      <c r="L61" s="4"/>
    </row>
    <row r="62" spans="1:12" x14ac:dyDescent="0.2">
      <c r="A62" s="13"/>
      <c r="B62" s="13"/>
      <c r="C62" s="15" t="s">
        <v>230</v>
      </c>
      <c r="D62" s="23"/>
      <c r="E62" s="25"/>
      <c r="F62" s="25"/>
      <c r="G62" s="25"/>
      <c r="H62" s="4"/>
      <c r="I62" s="4"/>
      <c r="J62" s="4"/>
      <c r="K62" s="4"/>
      <c r="L62" s="4"/>
    </row>
    <row r="63" spans="1:12" x14ac:dyDescent="0.2">
      <c r="A63" s="13"/>
      <c r="B63" s="13">
        <v>39</v>
      </c>
      <c r="C63" s="15" t="s">
        <v>231</v>
      </c>
      <c r="D63" s="17">
        <f>IF(D59-D60-D61-D62&gt;=0,ROUNDDOWN((D59-D60-D61-D62)/1000,0)*1000,0)</f>
        <v>2303000</v>
      </c>
      <c r="E63" s="25"/>
      <c r="F63" s="25"/>
      <c r="G63" s="25"/>
      <c r="H63" s="4"/>
      <c r="I63" s="4"/>
      <c r="J63" s="4"/>
      <c r="K63" s="4"/>
      <c r="L63" s="4"/>
    </row>
    <row r="64" spans="1:12" x14ac:dyDescent="0.2">
      <c r="A64" s="13"/>
      <c r="B64" s="13"/>
      <c r="C64" s="15" t="s">
        <v>232</v>
      </c>
      <c r="D64" s="17">
        <f>ROUNDDOWN((ROUNDDOWN(D63*VLOOKUP(D63,基礎データ!$I$4:$M$9,4),0)-VLOOKUP(D63,基礎データ!$I$4:$M$9,5))*(1+基礎データ!$L$10),0)</f>
        <v>135588</v>
      </c>
      <c r="E64" s="25"/>
      <c r="F64" s="25"/>
      <c r="G64" s="25"/>
      <c r="H64" s="4"/>
      <c r="I64" s="4"/>
      <c r="J64" s="4"/>
      <c r="K64" s="4"/>
      <c r="L64" s="4"/>
    </row>
    <row r="65" spans="1:12" x14ac:dyDescent="0.2">
      <c r="A65" s="13"/>
      <c r="B65" s="13">
        <v>40</v>
      </c>
      <c r="C65" s="15" t="s">
        <v>233</v>
      </c>
      <c r="D65" s="17">
        <f>ROUNDDOWN(D64/100,0)*100</f>
        <v>135500</v>
      </c>
      <c r="E65" s="25"/>
      <c r="F65" s="25"/>
      <c r="G65" s="25"/>
      <c r="H65" s="4"/>
      <c r="I65" s="4"/>
      <c r="J65" s="4"/>
      <c r="K65" s="4"/>
      <c r="L65" s="4"/>
    </row>
    <row r="66" spans="1:12" x14ac:dyDescent="0.2">
      <c r="A66" s="13"/>
      <c r="B66" s="13">
        <v>41</v>
      </c>
      <c r="C66" s="15" t="s">
        <v>234</v>
      </c>
      <c r="D66" s="17">
        <f>基礎データ!$M$33</f>
        <v>430000</v>
      </c>
      <c r="E66" s="25"/>
      <c r="F66" s="25"/>
      <c r="G66" s="25"/>
      <c r="H66" s="4"/>
      <c r="I66" s="4"/>
      <c r="J66" s="4"/>
      <c r="K66" s="4"/>
      <c r="L66" s="4"/>
    </row>
    <row r="67" spans="1:12" x14ac:dyDescent="0.2">
      <c r="A67" s="13"/>
      <c r="B67" s="13"/>
      <c r="C67" s="15" t="s">
        <v>235</v>
      </c>
      <c r="D67" s="23"/>
      <c r="E67" s="25"/>
      <c r="F67" s="25"/>
      <c r="G67" s="25"/>
      <c r="H67" s="4"/>
      <c r="I67" s="4"/>
      <c r="J67" s="4"/>
      <c r="K67" s="4"/>
      <c r="L67" s="4"/>
    </row>
    <row r="68" spans="1:12" x14ac:dyDescent="0.2">
      <c r="A68" s="13"/>
      <c r="B68" s="13">
        <v>42</v>
      </c>
      <c r="C68" s="15" t="s">
        <v>236</v>
      </c>
      <c r="D68" s="17">
        <f>IF(D59-D60-D66-D67&gt;=0,ROUNDDOWN((D59-D60-D66-D67)/1000,0)*1000,0)</f>
        <v>2353000</v>
      </c>
      <c r="E68" s="25"/>
      <c r="F68" s="25"/>
      <c r="G68" s="25"/>
      <c r="H68" s="4"/>
      <c r="I68" s="4"/>
      <c r="J68" s="4"/>
      <c r="K68" s="4"/>
      <c r="L68" s="4"/>
    </row>
    <row r="69" spans="1:12" x14ac:dyDescent="0.2">
      <c r="A69" s="13"/>
      <c r="B69" s="13">
        <v>43</v>
      </c>
      <c r="C69" s="15" t="s">
        <v>237</v>
      </c>
      <c r="D69" s="17">
        <f>ROUNDDOWN(D68*基礎データ!$L$13/100,0)*100</f>
        <v>235300</v>
      </c>
      <c r="E69" s="25"/>
      <c r="F69" s="25"/>
      <c r="G69" s="25"/>
      <c r="H69" s="4"/>
      <c r="I69" s="4"/>
      <c r="J69" s="4"/>
      <c r="K69" s="4"/>
      <c r="L69" s="4"/>
    </row>
    <row r="70" spans="1:12" x14ac:dyDescent="0.2">
      <c r="A70" s="13"/>
      <c r="B70" s="13">
        <v>44</v>
      </c>
      <c r="C70" s="15" t="s">
        <v>238</v>
      </c>
      <c r="D70" s="17">
        <f>IF(D68&gt;2000000,IF(基礎データ!$L$36-(D68-2000000)&lt;50000,50000,基礎データ!$L$36-(D68-2000000)),MIN(D68,基礎データ!$L$36))*0.05</f>
        <v>2500</v>
      </c>
      <c r="E70" s="25"/>
      <c r="F70" s="25"/>
      <c r="G70" s="25"/>
      <c r="H70" s="4"/>
      <c r="I70" s="4"/>
      <c r="J70" s="4"/>
      <c r="K70" s="4"/>
      <c r="L70" s="4"/>
    </row>
    <row r="71" spans="1:12" x14ac:dyDescent="0.2">
      <c r="A71" s="13"/>
      <c r="B71" s="13">
        <v>45</v>
      </c>
      <c r="C71" s="15" t="s">
        <v>239</v>
      </c>
      <c r="D71" s="17">
        <f>D69-D70+基礎データ!$M$14</f>
        <v>237800</v>
      </c>
      <c r="E71" s="25"/>
      <c r="F71" s="25"/>
      <c r="G71" s="25"/>
      <c r="H71" s="4"/>
      <c r="I71" s="4"/>
      <c r="J71" s="4"/>
      <c r="K71" s="4"/>
      <c r="L71" s="4"/>
    </row>
    <row r="72" spans="1:12" x14ac:dyDescent="0.2">
      <c r="A72" s="13"/>
      <c r="B72" s="13">
        <v>46</v>
      </c>
      <c r="C72" s="15" t="s">
        <v>240</v>
      </c>
      <c r="D72" s="17">
        <f>D65+D71</f>
        <v>373300</v>
      </c>
      <c r="E72" s="25"/>
      <c r="F72" s="25"/>
      <c r="G72" s="25"/>
      <c r="H72" s="4"/>
      <c r="I72" s="4"/>
      <c r="J72" s="4"/>
      <c r="K72" s="4"/>
      <c r="L72" s="4"/>
    </row>
    <row r="73" spans="1:12" x14ac:dyDescent="0.2">
      <c r="A73" s="13"/>
      <c r="B73" s="13">
        <v>47</v>
      </c>
      <c r="C73" s="21" t="s">
        <v>225</v>
      </c>
      <c r="D73" s="26"/>
      <c r="E73" s="13"/>
      <c r="F73" s="25"/>
      <c r="G73" s="25"/>
      <c r="H73" s="4"/>
    </row>
    <row r="74" spans="1:12" x14ac:dyDescent="0.2">
      <c r="A74" s="13"/>
      <c r="B74" s="13">
        <v>48</v>
      </c>
      <c r="C74" s="15" t="s">
        <v>227</v>
      </c>
      <c r="D74" s="27">
        <f>ROUNDDOWN(D16*VLOOKUP(D16,基礎データ!$B$4:$G$15,4)/1000,0)*1000*VLOOKUP(D16,基礎データ!$B$4:$G$15,5)-VLOOKUP(D16,基礎データ!$B$4:$G$15,6)</f>
        <v>3438400</v>
      </c>
      <c r="E74" s="20"/>
      <c r="F74" s="25"/>
      <c r="G74" s="25"/>
      <c r="H74" s="4"/>
      <c r="I74" s="7"/>
      <c r="J74" s="7"/>
      <c r="K74" s="7"/>
      <c r="L74" s="7"/>
    </row>
    <row r="75" spans="1:12" x14ac:dyDescent="0.2">
      <c r="A75" s="13"/>
      <c r="B75" s="13">
        <v>49</v>
      </c>
      <c r="C75" s="15" t="s">
        <v>228</v>
      </c>
      <c r="D75" s="27">
        <f>D48</f>
        <v>740244</v>
      </c>
      <c r="E75" s="25"/>
      <c r="F75" s="25"/>
      <c r="G75" s="25"/>
      <c r="H75" s="4"/>
      <c r="I75" s="4"/>
      <c r="J75" s="4"/>
      <c r="K75" s="4"/>
      <c r="L75" s="4"/>
    </row>
    <row r="76" spans="1:12" x14ac:dyDescent="0.2">
      <c r="A76" s="13"/>
      <c r="B76" s="13">
        <v>50</v>
      </c>
      <c r="C76" s="15" t="s">
        <v>229</v>
      </c>
      <c r="D76" s="27">
        <f>基礎データ!$L$33</f>
        <v>480000</v>
      </c>
      <c r="E76" s="25"/>
      <c r="F76" s="25"/>
      <c r="G76" s="25"/>
      <c r="H76" s="4"/>
      <c r="I76" s="4"/>
      <c r="J76" s="4"/>
      <c r="K76" s="4"/>
      <c r="L76" s="4"/>
    </row>
    <row r="77" spans="1:12" x14ac:dyDescent="0.2">
      <c r="A77" s="13"/>
      <c r="B77" s="13"/>
      <c r="C77" s="15" t="s">
        <v>230</v>
      </c>
      <c r="D77" s="26"/>
      <c r="E77" s="25"/>
      <c r="F77" s="25"/>
      <c r="G77" s="25"/>
      <c r="H77" s="4"/>
      <c r="I77" s="4"/>
      <c r="J77" s="4"/>
      <c r="K77" s="4"/>
      <c r="L77" s="4"/>
    </row>
    <row r="78" spans="1:12" x14ac:dyDescent="0.2">
      <c r="A78" s="13"/>
      <c r="B78" s="13">
        <v>51</v>
      </c>
      <c r="C78" s="15" t="s">
        <v>231</v>
      </c>
      <c r="D78" s="27">
        <f>IF(D74-D75-D76-D77&gt;=0,ROUNDDOWN((D74-D75-D76-D77)/1000,0)*1000,0)</f>
        <v>2218000</v>
      </c>
      <c r="E78" s="25"/>
      <c r="F78" s="25"/>
      <c r="G78" s="25"/>
      <c r="H78" s="4"/>
      <c r="I78" s="4"/>
      <c r="J78" s="4"/>
      <c r="K78" s="4"/>
      <c r="L78" s="4"/>
    </row>
    <row r="79" spans="1:12" x14ac:dyDescent="0.2">
      <c r="A79" s="13"/>
      <c r="B79" s="13"/>
      <c r="C79" s="15" t="s">
        <v>232</v>
      </c>
      <c r="D79" s="27">
        <f>ROUNDDOWN((ROUNDDOWN(D78*VLOOKUP(D78,基礎データ!$I$4:$M$9,4),0)-VLOOKUP(D78,基礎データ!$I$4:$M$9,5))*(1+基礎データ!$L$10),0)</f>
        <v>126910</v>
      </c>
      <c r="E79" s="25"/>
      <c r="F79" s="25"/>
      <c r="G79" s="25"/>
      <c r="H79" s="4"/>
      <c r="I79" s="4"/>
      <c r="J79" s="4"/>
      <c r="K79" s="4"/>
      <c r="L79" s="4"/>
    </row>
    <row r="80" spans="1:12" x14ac:dyDescent="0.2">
      <c r="A80" s="13"/>
      <c r="B80" s="13">
        <v>52</v>
      </c>
      <c r="C80" s="15" t="s">
        <v>233</v>
      </c>
      <c r="D80" s="27">
        <f>ROUNDDOWN(D79/100,0)*100</f>
        <v>126900</v>
      </c>
      <c r="E80" s="25"/>
      <c r="F80" s="25"/>
      <c r="G80" s="25"/>
      <c r="H80" s="4"/>
      <c r="I80" s="4"/>
      <c r="J80" s="4"/>
      <c r="K80" s="4"/>
      <c r="L80" s="4"/>
    </row>
    <row r="81" spans="1:12" x14ac:dyDescent="0.2">
      <c r="A81" s="13"/>
      <c r="B81" s="13">
        <v>53</v>
      </c>
      <c r="C81" s="15" t="s">
        <v>234</v>
      </c>
      <c r="D81" s="27">
        <f>基礎データ!$M$33</f>
        <v>430000</v>
      </c>
      <c r="E81" s="25"/>
      <c r="F81" s="25"/>
      <c r="G81" s="25"/>
      <c r="H81" s="4"/>
      <c r="I81" s="4"/>
      <c r="J81" s="4"/>
      <c r="K81" s="4"/>
      <c r="L81" s="4"/>
    </row>
    <row r="82" spans="1:12" x14ac:dyDescent="0.2">
      <c r="A82" s="13"/>
      <c r="B82" s="13"/>
      <c r="C82" s="15" t="s">
        <v>235</v>
      </c>
      <c r="D82" s="26"/>
      <c r="E82" s="25"/>
      <c r="F82" s="25"/>
      <c r="G82" s="25"/>
      <c r="H82" s="4"/>
      <c r="I82" s="4"/>
      <c r="J82" s="4"/>
      <c r="K82" s="4"/>
      <c r="L82" s="4"/>
    </row>
    <row r="83" spans="1:12" x14ac:dyDescent="0.2">
      <c r="A83" s="13"/>
      <c r="B83" s="13">
        <v>54</v>
      </c>
      <c r="C83" s="15" t="s">
        <v>236</v>
      </c>
      <c r="D83" s="27">
        <f>IF(D74-D75-D81-D82&gt;=0,ROUNDDOWN((D74-D75-D81-D82)/1000,0)*1000,0)</f>
        <v>2268000</v>
      </c>
      <c r="E83" s="25"/>
      <c r="F83" s="25"/>
      <c r="G83" s="25"/>
      <c r="H83" s="4"/>
      <c r="I83" s="4"/>
      <c r="J83" s="4"/>
      <c r="K83" s="4"/>
      <c r="L83" s="4"/>
    </row>
    <row r="84" spans="1:12" x14ac:dyDescent="0.2">
      <c r="A84" s="13"/>
      <c r="B84" s="13">
        <v>55</v>
      </c>
      <c r="C84" s="15" t="s">
        <v>237</v>
      </c>
      <c r="D84" s="27">
        <f>ROUNDDOWN(D83*基礎データ!$L$13/100,0)*100</f>
        <v>226800</v>
      </c>
      <c r="E84" s="25"/>
      <c r="F84" s="25"/>
      <c r="G84" s="25"/>
      <c r="H84" s="4"/>
      <c r="I84" s="4"/>
      <c r="J84" s="4"/>
      <c r="K84" s="4"/>
      <c r="L84" s="4"/>
    </row>
    <row r="85" spans="1:12" x14ac:dyDescent="0.2">
      <c r="A85" s="13"/>
      <c r="B85" s="13">
        <v>56</v>
      </c>
      <c r="C85" s="15" t="s">
        <v>238</v>
      </c>
      <c r="D85" s="27">
        <f>IF(D83&gt;2000000,IF(基礎データ!$L$36-(D83-2000000)&lt;50000,50000,基礎データ!$L$36-(D83-2000000)),MIN(D83,基礎データ!$L$36))*0.05</f>
        <v>2500</v>
      </c>
      <c r="E85" s="25"/>
      <c r="F85" s="25"/>
      <c r="G85" s="25"/>
      <c r="H85" s="4"/>
      <c r="I85" s="4"/>
      <c r="J85" s="4"/>
      <c r="K85" s="4"/>
      <c r="L85" s="4"/>
    </row>
    <row r="86" spans="1:12" x14ac:dyDescent="0.2">
      <c r="A86" s="13"/>
      <c r="B86" s="13">
        <v>57</v>
      </c>
      <c r="C86" s="15" t="s">
        <v>239</v>
      </c>
      <c r="D86" s="27">
        <f>D84-D85+基礎データ!$M$14</f>
        <v>229300</v>
      </c>
      <c r="E86" s="25"/>
      <c r="F86" s="25"/>
      <c r="G86" s="25"/>
      <c r="H86" s="4"/>
      <c r="I86" s="4"/>
      <c r="J86" s="4"/>
      <c r="K86" s="4"/>
      <c r="L86" s="4"/>
    </row>
    <row r="87" spans="1:12" x14ac:dyDescent="0.2">
      <c r="A87" s="13"/>
      <c r="B87" s="13">
        <v>58</v>
      </c>
      <c r="C87" s="15" t="s">
        <v>240</v>
      </c>
      <c r="D87" s="27">
        <f>D80+D86</f>
        <v>356200</v>
      </c>
      <c r="E87" s="25"/>
      <c r="F87" s="25"/>
      <c r="G87" s="25"/>
      <c r="H87" s="4"/>
      <c r="I87" s="4"/>
      <c r="J87" s="4"/>
      <c r="K87" s="4"/>
      <c r="L87" s="4"/>
    </row>
    <row r="88" spans="1:12" x14ac:dyDescent="0.2">
      <c r="A88" s="13"/>
      <c r="B88" s="13"/>
      <c r="C88" s="21" t="s">
        <v>262</v>
      </c>
      <c r="D88" s="14"/>
      <c r="E88" s="13"/>
      <c r="F88" s="13"/>
      <c r="G88" s="13"/>
    </row>
    <row r="89" spans="1:12" x14ac:dyDescent="0.2">
      <c r="A89" s="13"/>
      <c r="B89" s="13"/>
      <c r="C89" s="15" t="s">
        <v>263</v>
      </c>
      <c r="D89" s="27">
        <f>IF(①入力シート!$G$10="総支給に含まない",①入力シート!$D$5+①入力シート!$D$6,①入力シート!$D$5)</f>
        <v>300000</v>
      </c>
      <c r="E89" s="13"/>
      <c r="F89" s="13"/>
      <c r="G89" s="13"/>
    </row>
    <row r="90" spans="1:12" x14ac:dyDescent="0.2">
      <c r="A90" s="13"/>
      <c r="B90" s="13"/>
      <c r="C90" s="15" t="s">
        <v>264</v>
      </c>
      <c r="D90" s="218">
        <f>VLOOKUP($D$89,基礎データ!$O$4:$S$53,4)</f>
        <v>300000</v>
      </c>
      <c r="E90" s="13"/>
      <c r="F90" s="13"/>
      <c r="G90" s="13"/>
    </row>
    <row r="91" spans="1:12" x14ac:dyDescent="0.2">
      <c r="A91" s="13"/>
      <c r="B91" s="13"/>
      <c r="C91" s="15" t="s">
        <v>265</v>
      </c>
      <c r="D91" s="218">
        <f>VLOOKUP($D$89,基礎データ!$O$4:$S$53,5)</f>
        <v>300000</v>
      </c>
      <c r="E91" s="13"/>
      <c r="F91" s="13"/>
      <c r="G91" s="13"/>
    </row>
    <row r="92" spans="1:12" x14ac:dyDescent="0.2">
      <c r="A92" s="13"/>
      <c r="B92" s="13"/>
      <c r="C92" s="15" t="s">
        <v>266</v>
      </c>
      <c r="D92" s="218">
        <f>IF(OR($D$90=62000,88000),VLOOKUP($D$91,基礎データ!$AB$4:$AC$53,2),VLOOKUP(算定基礎!$D$90,基礎データ!$AA$4:$AC$53,3))</f>
        <v>290000</v>
      </c>
      <c r="E92" s="13"/>
      <c r="F92" s="13"/>
      <c r="G92" s="13"/>
    </row>
    <row r="93" spans="1:12" x14ac:dyDescent="0.2">
      <c r="A93" s="13"/>
      <c r="B93" s="13"/>
      <c r="C93" s="15" t="s">
        <v>267</v>
      </c>
      <c r="D93" s="27">
        <f>$D$89-$D$92</f>
        <v>10000</v>
      </c>
      <c r="E93" s="13"/>
      <c r="F93" s="13"/>
      <c r="G93" s="13"/>
    </row>
    <row r="94" spans="1:12" x14ac:dyDescent="0.2">
      <c r="A94" s="13"/>
      <c r="B94" s="13"/>
      <c r="C94" s="15" t="s">
        <v>268</v>
      </c>
      <c r="D94" s="27">
        <f>IF($D$93&lt;1000,1000,ROUNDUP($D$93+1,-3))</f>
        <v>11000</v>
      </c>
      <c r="E94" s="13"/>
      <c r="F94" s="13"/>
      <c r="G94" s="13"/>
    </row>
    <row r="95" spans="1:12" x14ac:dyDescent="0.2">
      <c r="A95" s="13"/>
      <c r="B95" s="13"/>
      <c r="C95" s="15" t="s">
        <v>271</v>
      </c>
      <c r="D95" s="218">
        <f>IF($D$94&gt;=55000,55000,$D$94)</f>
        <v>11000</v>
      </c>
      <c r="E95" s="13"/>
      <c r="F95" s="13"/>
      <c r="G95" s="13"/>
    </row>
  </sheetData>
  <phoneticPr fontId="2"/>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C53"/>
  <sheetViews>
    <sheetView workbookViewId="0">
      <selection activeCell="D74" sqref="D74"/>
    </sheetView>
  </sheetViews>
  <sheetFormatPr defaultColWidth="9" defaultRowHeight="9.5" x14ac:dyDescent="0.2"/>
  <cols>
    <col min="1" max="1" width="2.6328125" style="2" customWidth="1"/>
    <col min="2" max="2" width="10.08984375" style="2" customWidth="1"/>
    <col min="3" max="3" width="4.453125" style="2" customWidth="1"/>
    <col min="4" max="5" width="10.08984375" style="2" customWidth="1"/>
    <col min="6" max="6" width="7.6328125" style="2" customWidth="1"/>
    <col min="7" max="7" width="10.08984375" style="2" customWidth="1"/>
    <col min="8" max="8" width="0.90625" style="2" customWidth="1"/>
    <col min="9" max="9" width="9.90625" style="2" customWidth="1"/>
    <col min="10" max="10" width="4.453125" style="2" customWidth="1"/>
    <col min="11" max="11" width="10.6328125" style="2" customWidth="1"/>
    <col min="12" max="12" width="9.90625" style="2" customWidth="1"/>
    <col min="13" max="13" width="10" style="2" customWidth="1"/>
    <col min="14" max="14" width="0.90625" style="2" customWidth="1"/>
    <col min="15" max="15" width="8.90625" style="2" customWidth="1"/>
    <col min="16" max="16" width="4.453125" style="2" customWidth="1"/>
    <col min="17" max="17" width="9.453125" style="2" customWidth="1"/>
    <col min="18" max="19" width="9.90625" style="2" customWidth="1"/>
    <col min="20" max="20" width="0.90625" style="2" customWidth="1"/>
    <col min="21" max="21" width="15.90625" style="2" customWidth="1"/>
    <col min="22" max="23" width="9" style="2"/>
    <col min="24" max="24" width="26.453125" style="2" customWidth="1"/>
    <col min="25" max="25" width="0.90625" style="2" customWidth="1"/>
    <col min="26" max="26" width="9" style="2"/>
    <col min="27" max="28" width="9.90625" style="2" customWidth="1"/>
    <col min="29" max="29" width="8.90625" style="2" customWidth="1"/>
    <col min="30" max="16384" width="9" style="2"/>
  </cols>
  <sheetData>
    <row r="1" spans="1:29" x14ac:dyDescent="0.2">
      <c r="A1" s="39">
        <v>1</v>
      </c>
      <c r="B1" s="39">
        <v>2</v>
      </c>
      <c r="C1" s="39">
        <v>3</v>
      </c>
      <c r="D1" s="39">
        <v>4</v>
      </c>
      <c r="E1" s="39">
        <v>5</v>
      </c>
      <c r="F1" s="39">
        <v>6</v>
      </c>
      <c r="G1" s="39">
        <v>7</v>
      </c>
      <c r="H1" s="39">
        <v>8</v>
      </c>
      <c r="I1" s="39">
        <v>9</v>
      </c>
      <c r="J1" s="39">
        <v>10</v>
      </c>
      <c r="K1" s="39">
        <v>11</v>
      </c>
      <c r="L1" s="39">
        <v>12</v>
      </c>
      <c r="M1" s="39">
        <v>13</v>
      </c>
      <c r="N1" s="39">
        <v>14</v>
      </c>
      <c r="O1" s="39">
        <v>15</v>
      </c>
      <c r="P1" s="39">
        <v>16</v>
      </c>
      <c r="Q1" s="39">
        <v>17</v>
      </c>
      <c r="R1" s="39">
        <v>18</v>
      </c>
      <c r="S1" s="39">
        <v>19</v>
      </c>
      <c r="T1" s="39">
        <v>20</v>
      </c>
      <c r="U1" s="39">
        <v>21</v>
      </c>
      <c r="V1" s="39">
        <v>22</v>
      </c>
      <c r="W1" s="39">
        <v>23</v>
      </c>
      <c r="X1" s="39">
        <v>24</v>
      </c>
      <c r="Y1" s="39">
        <v>25</v>
      </c>
      <c r="Z1" s="39">
        <v>26</v>
      </c>
      <c r="AA1" s="39">
        <v>27</v>
      </c>
      <c r="AB1" s="39">
        <v>28</v>
      </c>
      <c r="AC1" s="39">
        <v>29</v>
      </c>
    </row>
    <row r="2" spans="1:29" x14ac:dyDescent="0.2">
      <c r="A2" s="39"/>
      <c r="B2" s="39" t="s">
        <v>0</v>
      </c>
      <c r="C2" s="39"/>
      <c r="D2" s="39"/>
      <c r="E2" s="39"/>
      <c r="F2" s="39"/>
      <c r="G2" s="39"/>
      <c r="H2" s="39"/>
      <c r="I2" s="39" t="s">
        <v>1</v>
      </c>
      <c r="J2" s="39"/>
      <c r="K2" s="39"/>
      <c r="L2" s="39"/>
      <c r="M2" s="39"/>
      <c r="N2" s="39"/>
      <c r="O2" s="39" t="s">
        <v>2</v>
      </c>
      <c r="P2" s="39"/>
      <c r="Q2" s="39"/>
      <c r="R2" s="39"/>
      <c r="S2" s="39"/>
      <c r="T2" s="39"/>
      <c r="U2" s="39" t="str">
        <f>REPLACE("社会保険料率表（東京都）",9,3,②詳細シート!$G$13)</f>
        <v>社会保険料率表（東京都）</v>
      </c>
      <c r="V2" s="39"/>
      <c r="W2" s="39"/>
      <c r="X2" s="39"/>
      <c r="Y2" s="39"/>
      <c r="Z2" s="39"/>
      <c r="AA2" s="39"/>
      <c r="AB2" s="39"/>
      <c r="AC2" s="39"/>
    </row>
    <row r="3" spans="1:29" x14ac:dyDescent="0.2">
      <c r="A3" s="39"/>
      <c r="B3" s="279" t="s">
        <v>3</v>
      </c>
      <c r="C3" s="279"/>
      <c r="D3" s="279"/>
      <c r="E3" s="40" t="s">
        <v>4</v>
      </c>
      <c r="F3" s="40" t="s">
        <v>5</v>
      </c>
      <c r="G3" s="40" t="s">
        <v>6</v>
      </c>
      <c r="H3" s="39"/>
      <c r="I3" s="279" t="s">
        <v>7</v>
      </c>
      <c r="J3" s="279"/>
      <c r="K3" s="279"/>
      <c r="L3" s="40" t="s">
        <v>5</v>
      </c>
      <c r="M3" s="40" t="s">
        <v>8</v>
      </c>
      <c r="N3" s="39"/>
      <c r="O3" s="280" t="s">
        <v>9</v>
      </c>
      <c r="P3" s="281"/>
      <c r="Q3" s="282"/>
      <c r="R3" s="40" t="s">
        <v>10</v>
      </c>
      <c r="S3" s="40" t="s">
        <v>11</v>
      </c>
      <c r="T3" s="39"/>
      <c r="U3" s="41" t="s">
        <v>12</v>
      </c>
      <c r="V3" s="42" t="s">
        <v>13</v>
      </c>
      <c r="W3" s="42" t="s">
        <v>14</v>
      </c>
      <c r="X3" s="41" t="s">
        <v>15</v>
      </c>
      <c r="Y3" s="39"/>
      <c r="Z3" s="39"/>
      <c r="AA3" s="43" t="s">
        <v>10</v>
      </c>
      <c r="AB3" s="43" t="s">
        <v>11</v>
      </c>
      <c r="AC3" s="44" t="s">
        <v>257</v>
      </c>
    </row>
    <row r="4" spans="1:29" x14ac:dyDescent="0.2">
      <c r="A4" s="39"/>
      <c r="B4" s="45">
        <v>0</v>
      </c>
      <c r="C4" s="46" t="s">
        <v>16</v>
      </c>
      <c r="D4" s="47">
        <v>551000</v>
      </c>
      <c r="E4" s="48">
        <v>1</v>
      </c>
      <c r="F4" s="49">
        <v>0</v>
      </c>
      <c r="G4" s="228">
        <v>550000</v>
      </c>
      <c r="H4" s="51"/>
      <c r="I4" s="45">
        <v>0</v>
      </c>
      <c r="J4" s="52" t="s">
        <v>17</v>
      </c>
      <c r="K4" s="53">
        <f>I5</f>
        <v>1950000</v>
      </c>
      <c r="L4" s="54">
        <v>0.05</v>
      </c>
      <c r="M4" s="50">
        <v>0</v>
      </c>
      <c r="N4" s="39"/>
      <c r="O4" s="55">
        <v>0</v>
      </c>
      <c r="P4" s="56" t="s">
        <v>17</v>
      </c>
      <c r="Q4" s="47">
        <f>O5</f>
        <v>63000</v>
      </c>
      <c r="R4" s="57">
        <v>88000</v>
      </c>
      <c r="S4" s="57">
        <v>58000</v>
      </c>
      <c r="T4" s="39"/>
      <c r="U4" s="58" t="s">
        <v>18</v>
      </c>
      <c r="V4" s="213">
        <f>VLOOKUP(V$3,社保データ!$G$3:$J$5,①入力シート!$G$8-社保データ!$H$26,FALSE)</f>
        <v>9.1499999999999998E-2</v>
      </c>
      <c r="W4" s="213">
        <f>VLOOKUP(W$3,社保データ!$G$3:$J$5,①入力シート!$G$8-社保データ!$H$26,FALSE)</f>
        <v>9.1499999999999998E-2</v>
      </c>
      <c r="X4" s="59" t="str">
        <f>REPLACEB("H27年9月改定",1,3,MIDB(②詳細シート!$G$14,1,4))</f>
        <v>2024年9月改定</v>
      </c>
      <c r="Y4" s="39"/>
      <c r="Z4" s="39"/>
      <c r="AA4" s="57">
        <v>88000</v>
      </c>
      <c r="AB4" s="57">
        <v>58000</v>
      </c>
      <c r="AC4" s="57">
        <v>0</v>
      </c>
    </row>
    <row r="5" spans="1:29" x14ac:dyDescent="0.2">
      <c r="A5" s="39"/>
      <c r="B5" s="60">
        <v>551000</v>
      </c>
      <c r="C5" s="61" t="s">
        <v>16</v>
      </c>
      <c r="D5" s="62">
        <f t="shared" ref="D5:D12" si="0">B6</f>
        <v>1619000</v>
      </c>
      <c r="E5" s="226">
        <v>0.25</v>
      </c>
      <c r="F5" s="227">
        <v>2.4</v>
      </c>
      <c r="G5" s="224">
        <v>-100000</v>
      </c>
      <c r="H5" s="51"/>
      <c r="I5" s="60">
        <v>1950000</v>
      </c>
      <c r="J5" s="65" t="s">
        <v>19</v>
      </c>
      <c r="K5" s="66">
        <f t="shared" ref="K5:K8" si="1">I6</f>
        <v>3300000</v>
      </c>
      <c r="L5" s="67">
        <v>0.1</v>
      </c>
      <c r="M5" s="64">
        <v>97500</v>
      </c>
      <c r="N5" s="39"/>
      <c r="O5" s="60">
        <v>63000</v>
      </c>
      <c r="P5" s="61" t="s">
        <v>17</v>
      </c>
      <c r="Q5" s="62">
        <f t="shared" ref="Q5:Q45" si="2">O6</f>
        <v>73000</v>
      </c>
      <c r="R5" s="64">
        <v>88000</v>
      </c>
      <c r="S5" s="64">
        <v>68000</v>
      </c>
      <c r="T5" s="39"/>
      <c r="U5" s="68" t="s">
        <v>20</v>
      </c>
      <c r="V5" s="216">
        <v>0</v>
      </c>
      <c r="W5" s="213">
        <f>VLOOKUP(W$3,社保データ!$G$20:$J$20,①入力シート!$G$8-社保データ!$H$26,FALSE)</f>
        <v>3.5999999999999999E-3</v>
      </c>
      <c r="X5" s="69"/>
      <c r="Y5" s="39"/>
      <c r="Z5" s="39"/>
      <c r="AA5" s="64">
        <v>88000</v>
      </c>
      <c r="AB5" s="64">
        <v>68000</v>
      </c>
      <c r="AC5" s="64">
        <v>63000</v>
      </c>
    </row>
    <row r="6" spans="1:29" x14ac:dyDescent="0.2">
      <c r="A6" s="39"/>
      <c r="B6" s="60">
        <v>1619000</v>
      </c>
      <c r="C6" s="61" t="s">
        <v>16</v>
      </c>
      <c r="D6" s="62">
        <f t="shared" si="0"/>
        <v>1620000</v>
      </c>
      <c r="E6" s="226">
        <v>0.25</v>
      </c>
      <c r="F6" s="227">
        <v>2.4</v>
      </c>
      <c r="G6" s="224">
        <v>-100000</v>
      </c>
      <c r="H6" s="51"/>
      <c r="I6" s="60">
        <v>3300000</v>
      </c>
      <c r="J6" s="65" t="s">
        <v>17</v>
      </c>
      <c r="K6" s="66">
        <f t="shared" si="1"/>
        <v>6950000</v>
      </c>
      <c r="L6" s="67">
        <v>0.2</v>
      </c>
      <c r="M6" s="64">
        <v>427500</v>
      </c>
      <c r="N6" s="39"/>
      <c r="O6" s="60">
        <v>73000</v>
      </c>
      <c r="P6" s="61" t="s">
        <v>17</v>
      </c>
      <c r="Q6" s="62">
        <f t="shared" si="2"/>
        <v>83000</v>
      </c>
      <c r="R6" s="64">
        <v>88000</v>
      </c>
      <c r="S6" s="64">
        <v>78000</v>
      </c>
      <c r="T6" s="39"/>
      <c r="U6" s="58" t="s">
        <v>21</v>
      </c>
      <c r="V6" s="213">
        <f>VLOOKUP(②詳細シート!$G$13,社保データ!$B$3:$E$49,①入力シート!$G$8-社保データ!$H$26,FALSE)/2</f>
        <v>4.99E-2</v>
      </c>
      <c r="W6" s="213">
        <f>V6</f>
        <v>4.99E-2</v>
      </c>
      <c r="X6" s="59" t="str">
        <f>REPLACEB("H28年4月改定（協会ケンポ）",1,3,MIDB(②詳細シート!$G$14,1,4))</f>
        <v>2024年4月改定（協会ケンポ）</v>
      </c>
      <c r="Y6" s="39"/>
      <c r="Z6" s="39"/>
      <c r="AA6" s="64">
        <v>88000</v>
      </c>
      <c r="AB6" s="64">
        <v>78000</v>
      </c>
      <c r="AC6" s="64">
        <v>73000</v>
      </c>
    </row>
    <row r="7" spans="1:29" x14ac:dyDescent="0.2">
      <c r="A7" s="39"/>
      <c r="B7" s="60">
        <v>1620000</v>
      </c>
      <c r="C7" s="61" t="s">
        <v>16</v>
      </c>
      <c r="D7" s="62">
        <f t="shared" si="0"/>
        <v>1622000</v>
      </c>
      <c r="E7" s="226">
        <v>0.25</v>
      </c>
      <c r="F7" s="227">
        <v>2.4</v>
      </c>
      <c r="G7" s="224">
        <v>-100000</v>
      </c>
      <c r="H7" s="51"/>
      <c r="I7" s="60">
        <v>6950000</v>
      </c>
      <c r="J7" s="65" t="s">
        <v>17</v>
      </c>
      <c r="K7" s="66">
        <f t="shared" si="1"/>
        <v>9000000</v>
      </c>
      <c r="L7" s="67">
        <v>0.23</v>
      </c>
      <c r="M7" s="64">
        <v>636000</v>
      </c>
      <c r="N7" s="39"/>
      <c r="O7" s="60">
        <v>83000</v>
      </c>
      <c r="P7" s="61" t="s">
        <v>17</v>
      </c>
      <c r="Q7" s="62">
        <f t="shared" si="2"/>
        <v>93000</v>
      </c>
      <c r="R7" s="64">
        <v>88000</v>
      </c>
      <c r="S7" s="64">
        <v>88000</v>
      </c>
      <c r="T7" s="39"/>
      <c r="U7" s="58" t="s">
        <v>22</v>
      </c>
      <c r="V7" s="213">
        <f>VLOOKUP(V$3,社保データ!$G$9:$J$11,①入力シート!$G$8-社保データ!$H$26,FALSE)</f>
        <v>8.0000000000000002E-3</v>
      </c>
      <c r="W7" s="213">
        <f>VLOOKUP(W$3,社保データ!$G$9:$J$11,①入力シート!$G$8-社保データ!$H$26,FALSE)</f>
        <v>8.0000000000000002E-3</v>
      </c>
      <c r="X7" s="59" t="str">
        <f>REPLACEB("H28年4月適用",1,3,MIDB(②詳細シート!$G$14,1,4))</f>
        <v>2024年4月適用</v>
      </c>
      <c r="Y7" s="39"/>
      <c r="Z7" s="39"/>
      <c r="AA7" s="64">
        <v>88000</v>
      </c>
      <c r="AB7" s="64">
        <v>88000</v>
      </c>
      <c r="AC7" s="64">
        <v>83000</v>
      </c>
    </row>
    <row r="8" spans="1:29" x14ac:dyDescent="0.2">
      <c r="A8" s="39"/>
      <c r="B8" s="60">
        <v>1622000</v>
      </c>
      <c r="C8" s="61" t="s">
        <v>16</v>
      </c>
      <c r="D8" s="62">
        <f t="shared" si="0"/>
        <v>1624000</v>
      </c>
      <c r="E8" s="226">
        <v>0.25</v>
      </c>
      <c r="F8" s="227">
        <v>2.4</v>
      </c>
      <c r="G8" s="224">
        <v>-100000</v>
      </c>
      <c r="H8" s="51"/>
      <c r="I8" s="60">
        <v>9000000</v>
      </c>
      <c r="J8" s="65" t="s">
        <v>17</v>
      </c>
      <c r="K8" s="66">
        <f t="shared" si="1"/>
        <v>18000000</v>
      </c>
      <c r="L8" s="67">
        <v>0.33</v>
      </c>
      <c r="M8" s="64">
        <v>1536000</v>
      </c>
      <c r="N8" s="39"/>
      <c r="O8" s="60">
        <v>93000</v>
      </c>
      <c r="P8" s="61" t="s">
        <v>17</v>
      </c>
      <c r="Q8" s="62">
        <f t="shared" si="2"/>
        <v>101000</v>
      </c>
      <c r="R8" s="64">
        <v>98000</v>
      </c>
      <c r="S8" s="64">
        <v>98000</v>
      </c>
      <c r="T8" s="39"/>
      <c r="U8" s="58" t="s">
        <v>23</v>
      </c>
      <c r="V8" s="213">
        <f>VLOOKUP(V$3,社保データ!$G$15:$J$16,①入力シート!$G$8-社保データ!$H$26,FALSE)</f>
        <v>6.0000000000000001E-3</v>
      </c>
      <c r="W8" s="213">
        <f>VLOOKUP(W$3,社保データ!$G$15:$J$16,①入力シート!$G$8-社保データ!$H$26,FALSE)</f>
        <v>9.4999999999999998E-3</v>
      </c>
      <c r="X8" s="59" t="str">
        <f>REPLACEB("H28年4月改定（一般の事業）",1,3,MIDB(②詳細シート!$G$14,1,4))</f>
        <v>2024年4月改定（一般の事業）</v>
      </c>
      <c r="Y8" s="39"/>
      <c r="Z8" s="39"/>
      <c r="AA8" s="64">
        <v>98000</v>
      </c>
      <c r="AB8" s="64">
        <v>98000</v>
      </c>
      <c r="AC8" s="64">
        <v>93000</v>
      </c>
    </row>
    <row r="9" spans="1:29" x14ac:dyDescent="0.2">
      <c r="A9" s="39"/>
      <c r="B9" s="60">
        <v>1624000</v>
      </c>
      <c r="C9" s="61" t="s">
        <v>16</v>
      </c>
      <c r="D9" s="62">
        <f t="shared" si="0"/>
        <v>1628000</v>
      </c>
      <c r="E9" s="226">
        <v>0.25</v>
      </c>
      <c r="F9" s="227">
        <v>2.4</v>
      </c>
      <c r="G9" s="224">
        <v>-100000</v>
      </c>
      <c r="H9" s="51"/>
      <c r="I9" s="70">
        <v>18000000</v>
      </c>
      <c r="J9" s="71" t="s">
        <v>17</v>
      </c>
      <c r="K9" s="72"/>
      <c r="L9" s="73">
        <v>0.4</v>
      </c>
      <c r="M9" s="74">
        <v>2796000</v>
      </c>
      <c r="N9" s="39"/>
      <c r="O9" s="60">
        <v>101000</v>
      </c>
      <c r="P9" s="61" t="s">
        <v>17</v>
      </c>
      <c r="Q9" s="62">
        <f t="shared" si="2"/>
        <v>107000</v>
      </c>
      <c r="R9" s="64">
        <v>104000</v>
      </c>
      <c r="S9" s="64">
        <v>104000</v>
      </c>
      <c r="T9" s="39"/>
      <c r="U9" s="75" t="s">
        <v>24</v>
      </c>
      <c r="V9" s="76">
        <f>SUM(V4:V8)</f>
        <v>0.15540000000000001</v>
      </c>
      <c r="W9" s="76">
        <f>SUM(W4:W8)</f>
        <v>0.16250000000000003</v>
      </c>
      <c r="X9" s="69"/>
      <c r="Y9" s="39"/>
      <c r="Z9" s="39"/>
      <c r="AA9" s="64">
        <v>104000</v>
      </c>
      <c r="AB9" s="64">
        <v>104000</v>
      </c>
      <c r="AC9" s="64">
        <v>101000</v>
      </c>
    </row>
    <row r="10" spans="1:29" x14ac:dyDescent="0.2">
      <c r="A10" s="39"/>
      <c r="B10" s="60">
        <v>1628000</v>
      </c>
      <c r="C10" s="61" t="s">
        <v>16</v>
      </c>
      <c r="D10" s="62">
        <f t="shared" si="0"/>
        <v>1800000</v>
      </c>
      <c r="E10" s="48">
        <v>0.25</v>
      </c>
      <c r="F10" s="63">
        <v>2.4</v>
      </c>
      <c r="G10" s="224">
        <v>-100000</v>
      </c>
      <c r="H10" s="51"/>
      <c r="I10" s="280" t="s">
        <v>25</v>
      </c>
      <c r="J10" s="281"/>
      <c r="K10" s="282"/>
      <c r="L10" s="73">
        <v>2.1000000000000001E-2</v>
      </c>
      <c r="M10" s="77"/>
      <c r="N10" s="39"/>
      <c r="O10" s="60">
        <v>107000</v>
      </c>
      <c r="P10" s="61" t="s">
        <v>17</v>
      </c>
      <c r="Q10" s="62">
        <f t="shared" si="2"/>
        <v>114000</v>
      </c>
      <c r="R10" s="64">
        <v>110000</v>
      </c>
      <c r="S10" s="64">
        <v>110000</v>
      </c>
      <c r="T10" s="39"/>
      <c r="U10" s="39"/>
      <c r="V10" s="39"/>
      <c r="W10" s="39"/>
      <c r="X10" s="39"/>
      <c r="Y10" s="39"/>
      <c r="Z10" s="39"/>
      <c r="AA10" s="64">
        <v>110000</v>
      </c>
      <c r="AB10" s="64">
        <v>110000</v>
      </c>
      <c r="AC10" s="64">
        <v>107000</v>
      </c>
    </row>
    <row r="11" spans="1:29" x14ac:dyDescent="0.2">
      <c r="A11" s="39"/>
      <c r="B11" s="60">
        <v>1800000</v>
      </c>
      <c r="C11" s="61" t="s">
        <v>16</v>
      </c>
      <c r="D11" s="62">
        <f t="shared" si="0"/>
        <v>3600000</v>
      </c>
      <c r="E11" s="48">
        <v>0.25</v>
      </c>
      <c r="F11" s="63">
        <v>2.8</v>
      </c>
      <c r="G11" s="221">
        <v>80000</v>
      </c>
      <c r="H11" s="39"/>
      <c r="I11" s="39"/>
      <c r="J11" s="39"/>
      <c r="K11" s="39"/>
      <c r="L11" s="39"/>
      <c r="M11" s="39"/>
      <c r="N11" s="39"/>
      <c r="O11" s="60">
        <v>114000</v>
      </c>
      <c r="P11" s="61" t="s">
        <v>17</v>
      </c>
      <c r="Q11" s="62">
        <f t="shared" si="2"/>
        <v>122000</v>
      </c>
      <c r="R11" s="64">
        <v>118000</v>
      </c>
      <c r="S11" s="64">
        <v>118000</v>
      </c>
      <c r="T11" s="39"/>
      <c r="U11" s="39"/>
      <c r="V11" s="39"/>
      <c r="W11" s="39"/>
      <c r="X11" s="39"/>
      <c r="Y11" s="39"/>
      <c r="Z11" s="39"/>
      <c r="AA11" s="64">
        <v>118000</v>
      </c>
      <c r="AB11" s="64">
        <v>118000</v>
      </c>
      <c r="AC11" s="64">
        <v>114000</v>
      </c>
    </row>
    <row r="12" spans="1:29" x14ac:dyDescent="0.2">
      <c r="A12" s="39"/>
      <c r="B12" s="60">
        <v>3600000</v>
      </c>
      <c r="C12" s="61" t="s">
        <v>16</v>
      </c>
      <c r="D12" s="62">
        <f t="shared" si="0"/>
        <v>6600000</v>
      </c>
      <c r="E12" s="48">
        <v>0.25</v>
      </c>
      <c r="F12" s="63">
        <v>3.2</v>
      </c>
      <c r="G12" s="221">
        <v>440000</v>
      </c>
      <c r="H12" s="39"/>
      <c r="I12" s="39"/>
      <c r="J12" s="39" t="str">
        <f>REPLACE("住民税率（東京都）",6,3,②詳細シート!$G$13)</f>
        <v>住民税率（東京都）</v>
      </c>
      <c r="K12" s="39"/>
      <c r="L12" s="39"/>
      <c r="M12" s="39"/>
      <c r="N12" s="39"/>
      <c r="O12" s="60">
        <v>122000</v>
      </c>
      <c r="P12" s="61" t="s">
        <v>17</v>
      </c>
      <c r="Q12" s="62">
        <f t="shared" si="2"/>
        <v>130000</v>
      </c>
      <c r="R12" s="64">
        <v>126000</v>
      </c>
      <c r="S12" s="64">
        <v>126000</v>
      </c>
      <c r="T12" s="39"/>
      <c r="U12" s="39"/>
      <c r="V12" s="39"/>
      <c r="W12" s="39"/>
      <c r="X12" s="39"/>
      <c r="Y12" s="39"/>
      <c r="Z12" s="39"/>
      <c r="AA12" s="64">
        <v>126000</v>
      </c>
      <c r="AB12" s="64">
        <v>126000</v>
      </c>
      <c r="AC12" s="64">
        <v>122000</v>
      </c>
    </row>
    <row r="13" spans="1:29" x14ac:dyDescent="0.2">
      <c r="A13" s="39"/>
      <c r="B13" s="60">
        <v>6600000</v>
      </c>
      <c r="C13" s="61" t="s">
        <v>16</v>
      </c>
      <c r="D13" s="219">
        <v>8500000</v>
      </c>
      <c r="E13" s="48">
        <v>1</v>
      </c>
      <c r="F13" s="63">
        <v>0.9</v>
      </c>
      <c r="G13" s="221">
        <v>1100000</v>
      </c>
      <c r="H13" s="39"/>
      <c r="I13" s="39"/>
      <c r="J13" s="39"/>
      <c r="K13" s="78" t="s">
        <v>26</v>
      </c>
      <c r="L13" s="79">
        <f>VLOOKUP(②詳細シート!$G$13,社保データ!$L$4:$R$50,7,FALSE)</f>
        <v>0.1</v>
      </c>
      <c r="M13" s="80"/>
      <c r="N13" s="39"/>
      <c r="O13" s="60">
        <v>130000</v>
      </c>
      <c r="P13" s="61" t="s">
        <v>17</v>
      </c>
      <c r="Q13" s="62">
        <f t="shared" si="2"/>
        <v>138000</v>
      </c>
      <c r="R13" s="64">
        <v>134000</v>
      </c>
      <c r="S13" s="64">
        <v>134000</v>
      </c>
      <c r="T13" s="39"/>
      <c r="U13" s="39"/>
      <c r="V13" s="39"/>
      <c r="W13" s="39"/>
      <c r="X13" s="39"/>
      <c r="Y13" s="39"/>
      <c r="Z13" s="39"/>
      <c r="AA13" s="64">
        <v>134000</v>
      </c>
      <c r="AB13" s="64">
        <v>134000</v>
      </c>
      <c r="AC13" s="64">
        <v>130000</v>
      </c>
    </row>
    <row r="14" spans="1:29" x14ac:dyDescent="0.2">
      <c r="A14" s="39"/>
      <c r="B14" s="220">
        <v>8500000</v>
      </c>
      <c r="C14" s="61" t="s">
        <v>16</v>
      </c>
      <c r="D14" s="219">
        <v>999999999</v>
      </c>
      <c r="E14" s="48">
        <v>1</v>
      </c>
      <c r="F14" s="63">
        <v>1</v>
      </c>
      <c r="G14" s="221">
        <v>1950000</v>
      </c>
      <c r="H14" s="39"/>
      <c r="I14" s="39"/>
      <c r="J14" s="39"/>
      <c r="K14" s="78" t="s">
        <v>27</v>
      </c>
      <c r="L14" s="80"/>
      <c r="M14" s="81">
        <f>VLOOKUP(②詳細シート!$G$13,社保データ!$L$4:$R$50,4,FALSE)</f>
        <v>5000</v>
      </c>
      <c r="N14" s="39"/>
      <c r="O14" s="60">
        <v>138000</v>
      </c>
      <c r="P14" s="61" t="s">
        <v>17</v>
      </c>
      <c r="Q14" s="62">
        <f t="shared" si="2"/>
        <v>146000</v>
      </c>
      <c r="R14" s="64">
        <v>142000</v>
      </c>
      <c r="S14" s="64">
        <v>142000</v>
      </c>
      <c r="T14" s="39"/>
      <c r="U14" s="39"/>
      <c r="V14" s="39"/>
      <c r="W14" s="39"/>
      <c r="X14" s="39"/>
      <c r="Y14" s="39"/>
      <c r="Z14" s="39"/>
      <c r="AA14" s="64">
        <v>142000</v>
      </c>
      <c r="AB14" s="64">
        <v>142000</v>
      </c>
      <c r="AC14" s="64">
        <v>138000</v>
      </c>
    </row>
    <row r="15" spans="1:29" x14ac:dyDescent="0.2">
      <c r="A15" s="39"/>
      <c r="B15" s="225">
        <v>999999999</v>
      </c>
      <c r="C15" s="82" t="s">
        <v>16</v>
      </c>
      <c r="D15" s="83"/>
      <c r="E15" s="84">
        <v>1</v>
      </c>
      <c r="F15" s="85">
        <v>1</v>
      </c>
      <c r="G15" s="222">
        <v>1950000</v>
      </c>
      <c r="H15" s="39"/>
      <c r="I15" s="39"/>
      <c r="J15" s="39"/>
      <c r="K15" s="39"/>
      <c r="L15" s="39"/>
      <c r="M15" s="39"/>
      <c r="N15" s="39"/>
      <c r="O15" s="60">
        <v>146000</v>
      </c>
      <c r="P15" s="61" t="s">
        <v>17</v>
      </c>
      <c r="Q15" s="62">
        <f t="shared" si="2"/>
        <v>155000</v>
      </c>
      <c r="R15" s="64">
        <v>150000</v>
      </c>
      <c r="S15" s="64">
        <v>150000</v>
      </c>
      <c r="T15" s="39"/>
      <c r="U15" s="39"/>
      <c r="V15" s="39"/>
      <c r="W15" s="39"/>
      <c r="X15" s="39"/>
      <c r="Y15" s="39"/>
      <c r="Z15" s="39"/>
      <c r="AA15" s="64">
        <v>150000</v>
      </c>
      <c r="AB15" s="64">
        <v>150000</v>
      </c>
      <c r="AC15" s="64">
        <v>146000</v>
      </c>
    </row>
    <row r="16" spans="1:29" x14ac:dyDescent="0.2">
      <c r="A16" s="39"/>
      <c r="B16" s="39"/>
      <c r="C16" s="39"/>
      <c r="D16" s="39"/>
      <c r="E16" s="39"/>
      <c r="F16" s="39"/>
      <c r="G16" s="39"/>
      <c r="H16" s="39"/>
      <c r="I16" s="39"/>
      <c r="J16" s="39" t="s">
        <v>28</v>
      </c>
      <c r="K16" s="39"/>
      <c r="L16" s="39"/>
      <c r="M16" s="39"/>
      <c r="N16" s="39"/>
      <c r="O16" s="60">
        <v>155000</v>
      </c>
      <c r="P16" s="61" t="s">
        <v>17</v>
      </c>
      <c r="Q16" s="62">
        <f t="shared" si="2"/>
        <v>165000</v>
      </c>
      <c r="R16" s="64">
        <v>160000</v>
      </c>
      <c r="S16" s="64">
        <v>160000</v>
      </c>
      <c r="T16" s="39"/>
      <c r="U16" s="39"/>
      <c r="V16" s="39"/>
      <c r="W16" s="39"/>
      <c r="X16" s="39"/>
      <c r="Y16" s="39"/>
      <c r="Z16" s="39"/>
      <c r="AA16" s="64">
        <v>160000</v>
      </c>
      <c r="AB16" s="64">
        <v>160000</v>
      </c>
      <c r="AC16" s="64">
        <v>155000</v>
      </c>
    </row>
    <row r="17" spans="1:29" x14ac:dyDescent="0.2">
      <c r="A17" s="39"/>
      <c r="B17" s="86" t="s">
        <v>29</v>
      </c>
      <c r="C17" s="39"/>
      <c r="D17" s="87"/>
      <c r="E17" s="39"/>
      <c r="F17" s="39"/>
      <c r="G17" s="39"/>
      <c r="H17" s="39"/>
      <c r="I17" s="39"/>
      <c r="J17" s="279"/>
      <c r="K17" s="279"/>
      <c r="L17" s="40" t="s">
        <v>30</v>
      </c>
      <c r="M17" s="40" t="s">
        <v>31</v>
      </c>
      <c r="N17" s="39"/>
      <c r="O17" s="60">
        <v>165000</v>
      </c>
      <c r="P17" s="61" t="s">
        <v>17</v>
      </c>
      <c r="Q17" s="62">
        <f t="shared" si="2"/>
        <v>175000</v>
      </c>
      <c r="R17" s="64">
        <v>170000</v>
      </c>
      <c r="S17" s="64">
        <v>170000</v>
      </c>
      <c r="T17" s="39"/>
      <c r="U17" s="39"/>
      <c r="V17" s="39"/>
      <c r="W17" s="39"/>
      <c r="X17" s="39"/>
      <c r="Y17" s="39"/>
      <c r="Z17" s="39"/>
      <c r="AA17" s="64">
        <v>170000</v>
      </c>
      <c r="AB17" s="64">
        <v>170000</v>
      </c>
      <c r="AC17" s="64">
        <v>165000</v>
      </c>
    </row>
    <row r="18" spans="1:29" x14ac:dyDescent="0.2">
      <c r="A18" s="39"/>
      <c r="B18" s="277" t="s">
        <v>32</v>
      </c>
      <c r="C18" s="277"/>
      <c r="D18" s="277"/>
      <c r="E18" s="88"/>
      <c r="F18" s="39"/>
      <c r="G18" s="95"/>
      <c r="H18" s="39"/>
      <c r="I18" s="39"/>
      <c r="J18" s="278" t="s">
        <v>33</v>
      </c>
      <c r="K18" s="278"/>
      <c r="L18" s="223">
        <v>480000</v>
      </c>
      <c r="M18" s="223">
        <v>430000</v>
      </c>
      <c r="N18" s="39"/>
      <c r="O18" s="60">
        <v>175000</v>
      </c>
      <c r="P18" s="61" t="s">
        <v>17</v>
      </c>
      <c r="Q18" s="62">
        <f t="shared" si="2"/>
        <v>185000</v>
      </c>
      <c r="R18" s="64">
        <v>180000</v>
      </c>
      <c r="S18" s="64">
        <v>180000</v>
      </c>
      <c r="T18" s="39"/>
      <c r="U18" s="39"/>
      <c r="V18" s="39"/>
      <c r="W18" s="39"/>
      <c r="X18" s="39"/>
      <c r="Y18" s="39"/>
      <c r="Z18" s="39"/>
      <c r="AA18" s="64">
        <v>180000</v>
      </c>
      <c r="AB18" s="64">
        <v>180000</v>
      </c>
      <c r="AC18" s="64">
        <v>175000</v>
      </c>
    </row>
    <row r="19" spans="1:29" x14ac:dyDescent="0.2">
      <c r="A19" s="39"/>
      <c r="B19" s="277" t="s">
        <v>34</v>
      </c>
      <c r="C19" s="277"/>
      <c r="D19" s="277"/>
      <c r="E19" s="88"/>
      <c r="F19" s="90"/>
      <c r="G19" s="39"/>
      <c r="H19" s="39"/>
      <c r="I19" s="39"/>
      <c r="J19" s="278" t="s">
        <v>35</v>
      </c>
      <c r="K19" s="278"/>
      <c r="L19" s="89">
        <v>380000</v>
      </c>
      <c r="M19" s="89">
        <v>330000</v>
      </c>
      <c r="N19" s="39"/>
      <c r="O19" s="60">
        <v>185000</v>
      </c>
      <c r="P19" s="61" t="s">
        <v>19</v>
      </c>
      <c r="Q19" s="62">
        <f t="shared" si="2"/>
        <v>195000</v>
      </c>
      <c r="R19" s="64">
        <v>190000</v>
      </c>
      <c r="S19" s="64">
        <v>190000</v>
      </c>
      <c r="T19" s="39"/>
      <c r="U19" s="39"/>
      <c r="V19" s="39"/>
      <c r="W19" s="39"/>
      <c r="X19" s="39"/>
      <c r="Y19" s="39"/>
      <c r="Z19" s="39"/>
      <c r="AA19" s="64">
        <v>190000</v>
      </c>
      <c r="AB19" s="64">
        <v>190000</v>
      </c>
      <c r="AC19" s="64">
        <v>185000</v>
      </c>
    </row>
    <row r="20" spans="1:29" x14ac:dyDescent="0.2">
      <c r="A20" s="39"/>
      <c r="B20" s="277" t="s">
        <v>36</v>
      </c>
      <c r="C20" s="277"/>
      <c r="D20" s="277"/>
      <c r="E20" s="88"/>
      <c r="F20" s="39"/>
      <c r="G20" s="39"/>
      <c r="H20" s="39"/>
      <c r="I20" s="39"/>
      <c r="J20" s="278" t="s">
        <v>37</v>
      </c>
      <c r="K20" s="278"/>
      <c r="L20" s="89">
        <v>380000</v>
      </c>
      <c r="M20" s="89">
        <v>330000</v>
      </c>
      <c r="N20" s="39"/>
      <c r="O20" s="60">
        <v>195000</v>
      </c>
      <c r="P20" s="61" t="s">
        <v>17</v>
      </c>
      <c r="Q20" s="62">
        <f t="shared" si="2"/>
        <v>210000</v>
      </c>
      <c r="R20" s="64">
        <v>200000</v>
      </c>
      <c r="S20" s="64">
        <v>200000</v>
      </c>
      <c r="T20" s="39"/>
      <c r="U20" s="39"/>
      <c r="V20" s="39"/>
      <c r="W20" s="39"/>
      <c r="X20" s="39"/>
      <c r="Y20" s="39"/>
      <c r="Z20" s="39"/>
      <c r="AA20" s="64">
        <v>200000</v>
      </c>
      <c r="AB20" s="64">
        <v>200000</v>
      </c>
      <c r="AC20" s="64">
        <v>195000</v>
      </c>
    </row>
    <row r="21" spans="1:29" x14ac:dyDescent="0.2">
      <c r="A21" s="39"/>
      <c r="B21" s="277" t="s">
        <v>38</v>
      </c>
      <c r="C21" s="277"/>
      <c r="D21" s="277"/>
      <c r="E21" s="88"/>
      <c r="F21" s="39"/>
      <c r="G21" s="39"/>
      <c r="H21" s="39"/>
      <c r="I21" s="39"/>
      <c r="J21" s="278" t="s">
        <v>39</v>
      </c>
      <c r="K21" s="278"/>
      <c r="L21" s="89">
        <v>630000</v>
      </c>
      <c r="M21" s="89">
        <v>450000</v>
      </c>
      <c r="N21" s="39"/>
      <c r="O21" s="60">
        <v>210000</v>
      </c>
      <c r="P21" s="61" t="s">
        <v>17</v>
      </c>
      <c r="Q21" s="62">
        <f t="shared" si="2"/>
        <v>230000</v>
      </c>
      <c r="R21" s="64">
        <v>220000</v>
      </c>
      <c r="S21" s="64">
        <v>220000</v>
      </c>
      <c r="T21" s="39"/>
      <c r="U21" s="39"/>
      <c r="V21" s="39"/>
      <c r="W21" s="39"/>
      <c r="X21" s="39"/>
      <c r="Y21" s="39"/>
      <c r="Z21" s="39"/>
      <c r="AA21" s="64">
        <v>220000</v>
      </c>
      <c r="AB21" s="64">
        <v>220000</v>
      </c>
      <c r="AC21" s="64">
        <v>210000</v>
      </c>
    </row>
    <row r="22" spans="1:29" x14ac:dyDescent="0.2">
      <c r="A22" s="39"/>
      <c r="B22" s="277" t="s">
        <v>40</v>
      </c>
      <c r="C22" s="277"/>
      <c r="D22" s="277"/>
      <c r="E22" s="88"/>
      <c r="F22" s="39"/>
      <c r="G22" s="39"/>
      <c r="H22" s="39"/>
      <c r="I22" s="39"/>
      <c r="J22" s="278" t="s">
        <v>41</v>
      </c>
      <c r="K22" s="278"/>
      <c r="L22" s="89">
        <v>580000</v>
      </c>
      <c r="M22" s="89">
        <v>450000</v>
      </c>
      <c r="N22" s="39"/>
      <c r="O22" s="60">
        <v>230000</v>
      </c>
      <c r="P22" s="61" t="s">
        <v>17</v>
      </c>
      <c r="Q22" s="62">
        <f t="shared" si="2"/>
        <v>250000</v>
      </c>
      <c r="R22" s="64">
        <v>240000</v>
      </c>
      <c r="S22" s="64">
        <v>240000</v>
      </c>
      <c r="T22" s="39"/>
      <c r="U22" s="39"/>
      <c r="V22" s="39"/>
      <c r="W22" s="39"/>
      <c r="X22" s="39"/>
      <c r="Y22" s="39"/>
      <c r="Z22" s="39"/>
      <c r="AA22" s="64">
        <v>240000</v>
      </c>
      <c r="AB22" s="64">
        <v>240000</v>
      </c>
      <c r="AC22" s="64">
        <v>230000</v>
      </c>
    </row>
    <row r="23" spans="1:29" x14ac:dyDescent="0.2">
      <c r="A23" s="39"/>
      <c r="B23" s="39"/>
      <c r="C23" s="39"/>
      <c r="D23" s="39"/>
      <c r="E23" s="86"/>
      <c r="F23" s="39"/>
      <c r="G23" s="39"/>
      <c r="H23" s="39"/>
      <c r="I23" s="39"/>
      <c r="J23" s="278" t="s">
        <v>42</v>
      </c>
      <c r="K23" s="278"/>
      <c r="L23" s="89">
        <v>480000</v>
      </c>
      <c r="M23" s="89">
        <v>380000</v>
      </c>
      <c r="N23" s="39"/>
      <c r="O23" s="60">
        <v>250000</v>
      </c>
      <c r="P23" s="61" t="s">
        <v>17</v>
      </c>
      <c r="Q23" s="62">
        <f t="shared" si="2"/>
        <v>270000</v>
      </c>
      <c r="R23" s="64">
        <v>260000</v>
      </c>
      <c r="S23" s="64">
        <v>260000</v>
      </c>
      <c r="T23" s="39"/>
      <c r="U23" s="39"/>
      <c r="V23" s="39"/>
      <c r="W23" s="39"/>
      <c r="X23" s="39"/>
      <c r="Y23" s="39"/>
      <c r="Z23" s="39"/>
      <c r="AA23" s="64">
        <v>260000</v>
      </c>
      <c r="AB23" s="64">
        <v>260000</v>
      </c>
      <c r="AC23" s="64">
        <v>250000</v>
      </c>
    </row>
    <row r="24" spans="1:29" x14ac:dyDescent="0.2">
      <c r="A24" s="39"/>
      <c r="B24" s="39" t="s">
        <v>43</v>
      </c>
      <c r="C24" s="39"/>
      <c r="D24" s="91"/>
      <c r="E24" s="39"/>
      <c r="F24" s="39"/>
      <c r="G24" s="39"/>
      <c r="H24" s="39"/>
      <c r="I24" s="39"/>
      <c r="J24" s="39"/>
      <c r="K24" s="39"/>
      <c r="L24" s="39"/>
      <c r="M24" s="39"/>
      <c r="N24" s="39"/>
      <c r="O24" s="60">
        <v>270000</v>
      </c>
      <c r="P24" s="61" t="s">
        <v>17</v>
      </c>
      <c r="Q24" s="62">
        <f t="shared" si="2"/>
        <v>290000</v>
      </c>
      <c r="R24" s="64">
        <v>280000</v>
      </c>
      <c r="S24" s="64">
        <v>280000</v>
      </c>
      <c r="T24" s="39"/>
      <c r="U24" s="39"/>
      <c r="V24" s="39"/>
      <c r="W24" s="39"/>
      <c r="X24" s="39"/>
      <c r="Y24" s="39"/>
      <c r="Z24" s="39"/>
      <c r="AA24" s="64">
        <v>280000</v>
      </c>
      <c r="AB24" s="64">
        <v>280000</v>
      </c>
      <c r="AC24" s="64">
        <v>270000</v>
      </c>
    </row>
    <row r="25" spans="1:29" x14ac:dyDescent="0.2">
      <c r="A25" s="39"/>
      <c r="B25" s="279"/>
      <c r="C25" s="279"/>
      <c r="D25" s="40" t="s">
        <v>30</v>
      </c>
      <c r="E25" s="40" t="s">
        <v>31</v>
      </c>
      <c r="F25" s="39"/>
      <c r="G25" s="39"/>
      <c r="H25" s="39"/>
      <c r="I25" s="39"/>
      <c r="J25" s="39" t="s">
        <v>44</v>
      </c>
      <c r="K25" s="39"/>
      <c r="L25" s="39"/>
      <c r="M25" s="39"/>
      <c r="N25" s="39"/>
      <c r="O25" s="60">
        <v>290000</v>
      </c>
      <c r="P25" s="61" t="s">
        <v>17</v>
      </c>
      <c r="Q25" s="62">
        <f t="shared" si="2"/>
        <v>310000</v>
      </c>
      <c r="R25" s="64">
        <v>300000</v>
      </c>
      <c r="S25" s="64">
        <v>300000</v>
      </c>
      <c r="T25" s="39"/>
      <c r="U25" s="39"/>
      <c r="V25" s="39"/>
      <c r="W25" s="39"/>
      <c r="X25" s="39"/>
      <c r="Y25" s="39"/>
      <c r="Z25" s="39"/>
      <c r="AA25" s="64">
        <v>300000</v>
      </c>
      <c r="AB25" s="64">
        <v>300000</v>
      </c>
      <c r="AC25" s="64">
        <v>290000</v>
      </c>
    </row>
    <row r="26" spans="1:29" x14ac:dyDescent="0.2">
      <c r="A26" s="39"/>
      <c r="B26" s="277" t="s">
        <v>45</v>
      </c>
      <c r="C26" s="277"/>
      <c r="D26" s="92">
        <f>MIN(40000,IF(E18&lt;=20000,E18,IF(AND(E18&gt;20000,E18&lt;=40000),E18/2+10000,E18/4+20000)))</f>
        <v>40000</v>
      </c>
      <c r="E26" s="93">
        <f>MIN(28000,IF(E18&lt;=12000,E18,IF(AND(E18&gt;12000,E18&lt;=32000),E18/2+6000,E18/4+14000)))</f>
        <v>28000</v>
      </c>
      <c r="F26" s="39"/>
      <c r="G26" s="39"/>
      <c r="H26" s="39"/>
      <c r="I26" s="39"/>
      <c r="J26" s="279"/>
      <c r="K26" s="279"/>
      <c r="L26" s="40" t="s">
        <v>30</v>
      </c>
      <c r="M26" s="40" t="s">
        <v>31</v>
      </c>
      <c r="N26" s="39"/>
      <c r="O26" s="60">
        <v>310000</v>
      </c>
      <c r="P26" s="61" t="s">
        <v>17</v>
      </c>
      <c r="Q26" s="62">
        <f t="shared" si="2"/>
        <v>330000</v>
      </c>
      <c r="R26" s="64">
        <v>320000</v>
      </c>
      <c r="S26" s="64">
        <v>320000</v>
      </c>
      <c r="T26" s="39"/>
      <c r="U26" s="39"/>
      <c r="V26" s="39"/>
      <c r="W26" s="39"/>
      <c r="X26" s="39"/>
      <c r="Y26" s="39"/>
      <c r="Z26" s="39"/>
      <c r="AA26" s="64">
        <v>320000</v>
      </c>
      <c r="AB26" s="64">
        <v>320000</v>
      </c>
      <c r="AC26" s="64">
        <v>310000</v>
      </c>
    </row>
    <row r="27" spans="1:29" x14ac:dyDescent="0.2">
      <c r="A27" s="39"/>
      <c r="B27" s="277" t="s">
        <v>46</v>
      </c>
      <c r="C27" s="277"/>
      <c r="D27" s="92">
        <f>MIN(50000,IF(E19&lt;=25000,E19,IF(AND(E19&gt;25000,E19&lt;=50000),E19/2+12500,E19/4+25000)))</f>
        <v>50000</v>
      </c>
      <c r="E27" s="93">
        <f>MIN(35000,IF(E19&lt;=15000,E19,IF(AND(E19&gt;15000,E19&lt;=40000),E19/2+7500,E19/4+17500)))</f>
        <v>35000</v>
      </c>
      <c r="F27" s="39"/>
      <c r="G27" s="39"/>
      <c r="H27" s="39"/>
      <c r="I27" s="39"/>
      <c r="J27" s="278" t="s">
        <v>33</v>
      </c>
      <c r="K27" s="278"/>
      <c r="L27" s="89">
        <f>L18</f>
        <v>480000</v>
      </c>
      <c r="M27" s="89">
        <f>M18</f>
        <v>430000</v>
      </c>
      <c r="N27" s="39"/>
      <c r="O27" s="60">
        <v>330000</v>
      </c>
      <c r="P27" s="61" t="s">
        <v>17</v>
      </c>
      <c r="Q27" s="62">
        <f t="shared" si="2"/>
        <v>350000</v>
      </c>
      <c r="R27" s="64">
        <v>340000</v>
      </c>
      <c r="S27" s="64">
        <v>340000</v>
      </c>
      <c r="T27" s="39"/>
      <c r="U27" s="39"/>
      <c r="V27" s="39"/>
      <c r="W27" s="39"/>
      <c r="X27" s="39"/>
      <c r="Y27" s="39"/>
      <c r="Z27" s="39"/>
      <c r="AA27" s="64">
        <v>340000</v>
      </c>
      <c r="AB27" s="64">
        <v>340000</v>
      </c>
      <c r="AC27" s="64">
        <v>330000</v>
      </c>
    </row>
    <row r="28" spans="1:29" x14ac:dyDescent="0.2">
      <c r="A28" s="39"/>
      <c r="B28" s="277" t="s">
        <v>47</v>
      </c>
      <c r="C28" s="277"/>
      <c r="D28" s="92">
        <f>MIN(40000,IF(E20&lt;=20000,E20,IF(AND(E20&gt;20000,E20&lt;=40000),E20/2+10000,E20/4+20000)))</f>
        <v>40000</v>
      </c>
      <c r="E28" s="93">
        <f>MIN(28000,IF(E20&lt;=12000,E20,IF(AND(E20&gt;12000,E20&lt;=32000),E20/2+6000,E20/4+14000)))</f>
        <v>28000</v>
      </c>
      <c r="F28" s="39"/>
      <c r="G28" s="39"/>
      <c r="H28" s="39"/>
      <c r="I28" s="39"/>
      <c r="J28" s="278" t="s">
        <v>35</v>
      </c>
      <c r="K28" s="278"/>
      <c r="L28" s="89"/>
      <c r="M28" s="89"/>
      <c r="N28" s="39"/>
      <c r="O28" s="60">
        <v>350000</v>
      </c>
      <c r="P28" s="61" t="s">
        <v>17</v>
      </c>
      <c r="Q28" s="62">
        <f t="shared" si="2"/>
        <v>370000</v>
      </c>
      <c r="R28" s="64">
        <v>360000</v>
      </c>
      <c r="S28" s="64">
        <v>360000</v>
      </c>
      <c r="T28" s="39"/>
      <c r="U28" s="39"/>
      <c r="V28" s="39"/>
      <c r="W28" s="39"/>
      <c r="X28" s="39"/>
      <c r="Y28" s="39"/>
      <c r="Z28" s="39"/>
      <c r="AA28" s="64">
        <v>360000</v>
      </c>
      <c r="AB28" s="64">
        <v>360000</v>
      </c>
      <c r="AC28" s="64">
        <v>350000</v>
      </c>
    </row>
    <row r="29" spans="1:29" x14ac:dyDescent="0.2">
      <c r="A29" s="39"/>
      <c r="B29" s="277" t="s">
        <v>48</v>
      </c>
      <c r="C29" s="277"/>
      <c r="D29" s="92">
        <f>MIN(40000,IF(E21&lt;=20000,E21,IF(AND(E21&gt;20000,E21&lt;=40000),E21/2+10000,E21/4+20000)))</f>
        <v>40000</v>
      </c>
      <c r="E29" s="93">
        <f>MIN(28000,IF(E21&lt;=12000,E21,IF(AND(E21&gt;12000,E21&lt;=32000),E21/2+6000,E21/4+14000)))</f>
        <v>28000</v>
      </c>
      <c r="F29" s="39"/>
      <c r="G29" s="39"/>
      <c r="H29" s="39"/>
      <c r="I29" s="39"/>
      <c r="J29" s="278" t="s">
        <v>37</v>
      </c>
      <c r="K29" s="278"/>
      <c r="L29" s="89"/>
      <c r="M29" s="89"/>
      <c r="N29" s="39"/>
      <c r="O29" s="60">
        <v>370000</v>
      </c>
      <c r="P29" s="61" t="s">
        <v>17</v>
      </c>
      <c r="Q29" s="62">
        <f t="shared" si="2"/>
        <v>395000</v>
      </c>
      <c r="R29" s="64">
        <v>380000</v>
      </c>
      <c r="S29" s="64">
        <v>380000</v>
      </c>
      <c r="T29" s="39"/>
      <c r="U29" s="39"/>
      <c r="V29" s="39"/>
      <c r="W29" s="39"/>
      <c r="X29" s="39"/>
      <c r="Y29" s="39"/>
      <c r="Z29" s="39"/>
      <c r="AA29" s="64">
        <v>380000</v>
      </c>
      <c r="AB29" s="64">
        <v>380000</v>
      </c>
      <c r="AC29" s="64">
        <v>370000</v>
      </c>
    </row>
    <row r="30" spans="1:29" x14ac:dyDescent="0.2">
      <c r="A30" s="39"/>
      <c r="B30" s="277" t="s">
        <v>49</v>
      </c>
      <c r="C30" s="277"/>
      <c r="D30" s="92">
        <f>MIN(50000,IF(E22&lt;=25000,E22,IF(AND(E22&gt;25000,E22&lt;=50000),E22/2+12500,E22/4+25000)))</f>
        <v>50000</v>
      </c>
      <c r="E30" s="93">
        <f>MIN(35000,IF(E22&lt;=15000,E22,IF(AND(E22&gt;15000,E22&lt;=40000),E22/2+7500,E22/4+17500)))</f>
        <v>35000</v>
      </c>
      <c r="F30" s="39"/>
      <c r="G30" s="39"/>
      <c r="H30" s="39"/>
      <c r="I30" s="39"/>
      <c r="J30" s="278" t="s">
        <v>39</v>
      </c>
      <c r="K30" s="278"/>
      <c r="L30" s="89"/>
      <c r="M30" s="89"/>
      <c r="N30" s="39"/>
      <c r="O30" s="60">
        <v>395000</v>
      </c>
      <c r="P30" s="61" t="s">
        <v>17</v>
      </c>
      <c r="Q30" s="62">
        <f t="shared" si="2"/>
        <v>425000</v>
      </c>
      <c r="R30" s="64">
        <v>410000</v>
      </c>
      <c r="S30" s="64">
        <v>410000</v>
      </c>
      <c r="T30" s="39"/>
      <c r="U30" s="39"/>
      <c r="V30" s="39"/>
      <c r="W30" s="39"/>
      <c r="X30" s="39"/>
      <c r="Y30" s="39"/>
      <c r="Z30" s="39"/>
      <c r="AA30" s="64">
        <v>410000</v>
      </c>
      <c r="AB30" s="64">
        <v>410000</v>
      </c>
      <c r="AC30" s="64">
        <v>395000</v>
      </c>
    </row>
    <row r="31" spans="1:29" x14ac:dyDescent="0.2">
      <c r="A31" s="39"/>
      <c r="B31" s="279" t="s">
        <v>50</v>
      </c>
      <c r="C31" s="279"/>
      <c r="D31" s="94">
        <f>MIN(120000,IF(D26=0,MIN(50000,D27),MIN(40000,D26+D27))+D28+IF(D29=0,MIN(50000,D30),MIN(40000,D29+D30)))</f>
        <v>120000</v>
      </c>
      <c r="E31" s="94">
        <f>MIN(70000,IF(E26=0,MIN(35000,E27),MIN(28000,E26+E27))+E28+IF(E29=0,MIN(35000,E30),MIN(28000,E29+E30)))</f>
        <v>70000</v>
      </c>
      <c r="F31" s="39"/>
      <c r="G31" s="39"/>
      <c r="H31" s="39"/>
      <c r="I31" s="39"/>
      <c r="J31" s="278" t="s">
        <v>41</v>
      </c>
      <c r="K31" s="278"/>
      <c r="L31" s="89"/>
      <c r="M31" s="89"/>
      <c r="N31" s="39"/>
      <c r="O31" s="60">
        <v>425000</v>
      </c>
      <c r="P31" s="61" t="s">
        <v>17</v>
      </c>
      <c r="Q31" s="62">
        <f t="shared" si="2"/>
        <v>455000</v>
      </c>
      <c r="R31" s="64">
        <v>440000</v>
      </c>
      <c r="S31" s="64">
        <v>440000</v>
      </c>
      <c r="T31" s="39"/>
      <c r="U31" s="39"/>
      <c r="V31" s="39"/>
      <c r="W31" s="39"/>
      <c r="X31" s="39"/>
      <c r="Y31" s="39"/>
      <c r="Z31" s="39"/>
      <c r="AA31" s="64">
        <v>440000</v>
      </c>
      <c r="AB31" s="64">
        <v>440000</v>
      </c>
      <c r="AC31" s="64">
        <v>425000</v>
      </c>
    </row>
    <row r="32" spans="1:29" x14ac:dyDescent="0.2">
      <c r="A32" s="39"/>
      <c r="B32" s="39"/>
      <c r="C32" s="39"/>
      <c r="D32" s="39"/>
      <c r="E32" s="39"/>
      <c r="F32" s="39"/>
      <c r="G32" s="39"/>
      <c r="H32" s="39"/>
      <c r="I32" s="39"/>
      <c r="J32" s="278" t="s">
        <v>42</v>
      </c>
      <c r="K32" s="278"/>
      <c r="L32" s="89"/>
      <c r="M32" s="89"/>
      <c r="N32" s="39"/>
      <c r="O32" s="60">
        <v>455000</v>
      </c>
      <c r="P32" s="61" t="s">
        <v>17</v>
      </c>
      <c r="Q32" s="62">
        <f t="shared" si="2"/>
        <v>485000</v>
      </c>
      <c r="R32" s="64">
        <v>470000</v>
      </c>
      <c r="S32" s="64">
        <v>470000</v>
      </c>
      <c r="T32" s="39"/>
      <c r="U32" s="39"/>
      <c r="V32" s="39"/>
      <c r="W32" s="39"/>
      <c r="X32" s="39"/>
      <c r="Y32" s="39"/>
      <c r="Z32" s="39"/>
      <c r="AA32" s="64">
        <v>470000</v>
      </c>
      <c r="AB32" s="64">
        <v>470000</v>
      </c>
      <c r="AC32" s="64">
        <v>455000</v>
      </c>
    </row>
    <row r="33" spans="1:29" x14ac:dyDescent="0.2">
      <c r="A33" s="39"/>
      <c r="B33" s="39"/>
      <c r="C33" s="39"/>
      <c r="D33" s="39"/>
      <c r="E33" s="39"/>
      <c r="F33" s="39"/>
      <c r="G33" s="39"/>
      <c r="H33" s="39"/>
      <c r="I33" s="39"/>
      <c r="J33" s="39"/>
      <c r="K33" s="40" t="s">
        <v>51</v>
      </c>
      <c r="L33" s="94">
        <f>SUM(L27:L32)</f>
        <v>480000</v>
      </c>
      <c r="M33" s="94">
        <f>SUM(M27:M32)</f>
        <v>430000</v>
      </c>
      <c r="N33" s="39"/>
      <c r="O33" s="60">
        <v>485000</v>
      </c>
      <c r="P33" s="61" t="s">
        <v>52</v>
      </c>
      <c r="Q33" s="62">
        <f t="shared" si="2"/>
        <v>515000</v>
      </c>
      <c r="R33" s="64">
        <v>500000</v>
      </c>
      <c r="S33" s="64">
        <v>500000</v>
      </c>
      <c r="T33" s="39"/>
      <c r="U33" s="39"/>
      <c r="V33" s="39"/>
      <c r="W33" s="39"/>
      <c r="X33" s="39"/>
      <c r="Y33" s="39"/>
      <c r="Z33" s="39"/>
      <c r="AA33" s="64">
        <v>500000</v>
      </c>
      <c r="AB33" s="64">
        <v>500000</v>
      </c>
      <c r="AC33" s="64">
        <v>485000</v>
      </c>
    </row>
    <row r="34" spans="1:29" x14ac:dyDescent="0.2">
      <c r="A34" s="39"/>
      <c r="B34" s="39"/>
      <c r="C34" s="39"/>
      <c r="D34" s="39"/>
      <c r="E34" s="39"/>
      <c r="F34" s="39"/>
      <c r="G34" s="39"/>
      <c r="H34" s="39"/>
      <c r="I34" s="39"/>
      <c r="J34" s="39"/>
      <c r="K34" s="39"/>
      <c r="L34" s="39"/>
      <c r="M34" s="39"/>
      <c r="N34" s="39"/>
      <c r="O34" s="60">
        <v>515000</v>
      </c>
      <c r="P34" s="61" t="s">
        <v>52</v>
      </c>
      <c r="Q34" s="62">
        <f t="shared" si="2"/>
        <v>545000</v>
      </c>
      <c r="R34" s="64">
        <v>530000</v>
      </c>
      <c r="S34" s="64">
        <v>530000</v>
      </c>
      <c r="T34" s="39"/>
      <c r="U34" s="39"/>
      <c r="V34" s="39"/>
      <c r="W34" s="39"/>
      <c r="X34" s="39"/>
      <c r="Y34" s="39"/>
      <c r="Z34" s="39"/>
      <c r="AA34" s="64">
        <v>530000</v>
      </c>
      <c r="AB34" s="64">
        <v>530000</v>
      </c>
      <c r="AC34" s="64">
        <v>515000</v>
      </c>
    </row>
    <row r="35" spans="1:29" x14ac:dyDescent="0.2">
      <c r="A35" s="39"/>
      <c r="B35" s="39"/>
      <c r="C35" s="39"/>
      <c r="D35" s="39"/>
      <c r="E35" s="39"/>
      <c r="F35" s="39"/>
      <c r="G35" s="39"/>
      <c r="H35" s="39"/>
      <c r="I35" s="39"/>
      <c r="J35" s="39" t="s">
        <v>53</v>
      </c>
      <c r="K35" s="39"/>
      <c r="L35" s="39"/>
      <c r="M35" s="39"/>
      <c r="N35" s="39"/>
      <c r="O35" s="60">
        <v>545000</v>
      </c>
      <c r="P35" s="61" t="s">
        <v>52</v>
      </c>
      <c r="Q35" s="62">
        <f t="shared" si="2"/>
        <v>575000</v>
      </c>
      <c r="R35" s="64">
        <v>560000</v>
      </c>
      <c r="S35" s="64">
        <v>560000</v>
      </c>
      <c r="T35" s="39"/>
      <c r="U35" s="39"/>
      <c r="V35" s="39"/>
      <c r="W35" s="39"/>
      <c r="X35" s="39"/>
      <c r="Y35" s="39"/>
      <c r="Z35" s="39"/>
      <c r="AA35" s="64">
        <v>560000</v>
      </c>
      <c r="AB35" s="64">
        <v>560000</v>
      </c>
      <c r="AC35" s="64">
        <v>545000</v>
      </c>
    </row>
    <row r="36" spans="1:29" x14ac:dyDescent="0.2">
      <c r="A36" s="39"/>
      <c r="B36" s="39"/>
      <c r="C36" s="39"/>
      <c r="D36" s="39"/>
      <c r="E36" s="39"/>
      <c r="F36" s="39"/>
      <c r="G36" s="39"/>
      <c r="H36" s="39"/>
      <c r="I36" s="39"/>
      <c r="J36" s="39"/>
      <c r="K36" s="39"/>
      <c r="L36" s="95">
        <f>L33-M33</f>
        <v>50000</v>
      </c>
      <c r="M36" s="39"/>
      <c r="N36" s="39"/>
      <c r="O36" s="60">
        <v>575000</v>
      </c>
      <c r="P36" s="61" t="s">
        <v>52</v>
      </c>
      <c r="Q36" s="62">
        <f t="shared" si="2"/>
        <v>605000</v>
      </c>
      <c r="R36" s="64">
        <v>590000</v>
      </c>
      <c r="S36" s="64">
        <v>590000</v>
      </c>
      <c r="T36" s="39"/>
      <c r="U36" s="39"/>
      <c r="V36" s="39"/>
      <c r="W36" s="39"/>
      <c r="X36" s="39"/>
      <c r="Y36" s="39"/>
      <c r="Z36" s="39"/>
      <c r="AA36" s="64">
        <v>590000</v>
      </c>
      <c r="AB36" s="64">
        <v>590000</v>
      </c>
      <c r="AC36" s="64">
        <v>575000</v>
      </c>
    </row>
    <row r="37" spans="1:29" x14ac:dyDescent="0.2">
      <c r="A37" s="39"/>
      <c r="B37" s="39"/>
      <c r="C37" s="39"/>
      <c r="D37" s="39"/>
      <c r="E37" s="39"/>
      <c r="F37" s="39"/>
      <c r="G37" s="39"/>
      <c r="H37" s="39"/>
      <c r="I37" s="39"/>
      <c r="J37" s="39"/>
      <c r="K37" s="39"/>
      <c r="L37" s="39"/>
      <c r="M37" s="39"/>
      <c r="N37" s="39"/>
      <c r="O37" s="60">
        <v>605000</v>
      </c>
      <c r="P37" s="61" t="s">
        <v>52</v>
      </c>
      <c r="Q37" s="62">
        <f t="shared" si="2"/>
        <v>635000</v>
      </c>
      <c r="R37" s="64">
        <v>620000</v>
      </c>
      <c r="S37" s="64">
        <v>620000</v>
      </c>
      <c r="T37" s="39"/>
      <c r="U37" s="39"/>
      <c r="V37" s="39"/>
      <c r="W37" s="39"/>
      <c r="X37" s="39"/>
      <c r="Y37" s="39"/>
      <c r="Z37" s="39"/>
      <c r="AA37" s="64">
        <v>620000</v>
      </c>
      <c r="AB37" s="64">
        <v>620000</v>
      </c>
      <c r="AC37" s="64">
        <v>605000</v>
      </c>
    </row>
    <row r="38" spans="1:29" x14ac:dyDescent="0.2">
      <c r="A38" s="39"/>
      <c r="B38" s="39"/>
      <c r="C38" s="39"/>
      <c r="D38" s="39"/>
      <c r="E38" s="39"/>
      <c r="F38" s="39"/>
      <c r="G38" s="39"/>
      <c r="H38" s="39"/>
      <c r="I38" s="39"/>
      <c r="J38" s="39"/>
      <c r="K38" s="39"/>
      <c r="L38" s="39"/>
      <c r="M38" s="39"/>
      <c r="N38" s="39"/>
      <c r="O38" s="60">
        <v>635000</v>
      </c>
      <c r="P38" s="61" t="s">
        <v>52</v>
      </c>
      <c r="Q38" s="62">
        <f t="shared" si="2"/>
        <v>665000</v>
      </c>
      <c r="R38" s="221">
        <v>650000</v>
      </c>
      <c r="S38" s="64">
        <v>650000</v>
      </c>
      <c r="T38" s="39"/>
      <c r="U38" s="39"/>
      <c r="V38" s="39"/>
      <c r="W38" s="39"/>
      <c r="X38" s="39"/>
      <c r="Y38" s="39"/>
      <c r="Z38" s="39"/>
      <c r="AA38" s="221">
        <v>650000</v>
      </c>
      <c r="AB38" s="64">
        <v>650000</v>
      </c>
      <c r="AC38" s="64">
        <v>635000</v>
      </c>
    </row>
    <row r="39" spans="1:29" x14ac:dyDescent="0.2">
      <c r="A39" s="39"/>
      <c r="B39" s="39"/>
      <c r="C39" s="39"/>
      <c r="D39" s="39"/>
      <c r="E39" s="39"/>
      <c r="F39" s="39"/>
      <c r="G39" s="39"/>
      <c r="H39" s="39"/>
      <c r="I39" s="39"/>
      <c r="J39" s="39"/>
      <c r="K39" s="39"/>
      <c r="L39" s="39"/>
      <c r="M39" s="39"/>
      <c r="N39" s="39"/>
      <c r="O39" s="60">
        <v>665000</v>
      </c>
      <c r="P39" s="61" t="s">
        <v>52</v>
      </c>
      <c r="Q39" s="62">
        <f t="shared" si="2"/>
        <v>695000</v>
      </c>
      <c r="R39" s="221">
        <v>650000</v>
      </c>
      <c r="S39" s="64">
        <v>680000</v>
      </c>
      <c r="T39" s="39"/>
      <c r="U39" s="39"/>
      <c r="V39" s="39"/>
      <c r="W39" s="39"/>
      <c r="X39" s="39"/>
      <c r="Y39" s="39"/>
      <c r="Z39" s="39"/>
      <c r="AA39" s="221">
        <v>650000</v>
      </c>
      <c r="AB39" s="64">
        <v>680000</v>
      </c>
      <c r="AC39" s="64">
        <v>665000</v>
      </c>
    </row>
    <row r="40" spans="1:29" x14ac:dyDescent="0.2">
      <c r="A40" s="39"/>
      <c r="B40" s="39"/>
      <c r="C40" s="39"/>
      <c r="D40" s="39"/>
      <c r="E40" s="39"/>
      <c r="F40" s="39"/>
      <c r="G40" s="39"/>
      <c r="H40" s="39"/>
      <c r="I40" s="39"/>
      <c r="J40" s="39"/>
      <c r="K40" s="39"/>
      <c r="L40" s="39"/>
      <c r="M40" s="39"/>
      <c r="N40" s="39"/>
      <c r="O40" s="60">
        <v>695000</v>
      </c>
      <c r="P40" s="61" t="s">
        <v>52</v>
      </c>
      <c r="Q40" s="62">
        <f t="shared" si="2"/>
        <v>730000</v>
      </c>
      <c r="R40" s="221">
        <v>650000</v>
      </c>
      <c r="S40" s="64">
        <v>710000</v>
      </c>
      <c r="T40" s="39"/>
      <c r="U40" s="39"/>
      <c r="V40" s="39"/>
      <c r="W40" s="39"/>
      <c r="X40" s="39"/>
      <c r="Y40" s="39"/>
      <c r="Z40" s="39"/>
      <c r="AA40" s="221">
        <v>650000</v>
      </c>
      <c r="AB40" s="64">
        <v>710000</v>
      </c>
      <c r="AC40" s="64">
        <v>695000</v>
      </c>
    </row>
    <row r="41" spans="1:29" x14ac:dyDescent="0.2">
      <c r="A41" s="39"/>
      <c r="B41" s="39"/>
      <c r="C41" s="39"/>
      <c r="D41" s="39"/>
      <c r="E41" s="39"/>
      <c r="F41" s="39"/>
      <c r="G41" s="39"/>
      <c r="H41" s="39"/>
      <c r="I41" s="39"/>
      <c r="J41" s="39"/>
      <c r="K41" s="39"/>
      <c r="L41" s="39"/>
      <c r="M41" s="39"/>
      <c r="N41" s="39"/>
      <c r="O41" s="60">
        <v>730000</v>
      </c>
      <c r="P41" s="61" t="s">
        <v>52</v>
      </c>
      <c r="Q41" s="62">
        <f t="shared" si="2"/>
        <v>770000</v>
      </c>
      <c r="R41" s="221">
        <v>650000</v>
      </c>
      <c r="S41" s="64">
        <v>750000</v>
      </c>
      <c r="T41" s="39"/>
      <c r="U41" s="39"/>
      <c r="V41" s="39"/>
      <c r="W41" s="39"/>
      <c r="X41" s="39"/>
      <c r="Y41" s="39"/>
      <c r="Z41" s="39"/>
      <c r="AA41" s="221">
        <v>650000</v>
      </c>
      <c r="AB41" s="64">
        <v>750000</v>
      </c>
      <c r="AC41" s="64">
        <v>730000</v>
      </c>
    </row>
    <row r="42" spans="1:29" x14ac:dyDescent="0.2">
      <c r="A42" s="39"/>
      <c r="B42" s="39"/>
      <c r="C42" s="39"/>
      <c r="D42" s="39"/>
      <c r="E42" s="39"/>
      <c r="F42" s="39"/>
      <c r="G42" s="39"/>
      <c r="H42" s="39"/>
      <c r="I42" s="39"/>
      <c r="J42" s="39"/>
      <c r="K42" s="39"/>
      <c r="L42" s="39"/>
      <c r="M42" s="39"/>
      <c r="N42" s="39"/>
      <c r="O42" s="60">
        <v>770000</v>
      </c>
      <c r="P42" s="61" t="s">
        <v>52</v>
      </c>
      <c r="Q42" s="62">
        <f t="shared" si="2"/>
        <v>810000</v>
      </c>
      <c r="R42" s="221">
        <v>650000</v>
      </c>
      <c r="S42" s="64">
        <v>790000</v>
      </c>
      <c r="T42" s="39"/>
      <c r="U42" s="39"/>
      <c r="V42" s="39"/>
      <c r="W42" s="39"/>
      <c r="X42" s="39"/>
      <c r="Y42" s="39"/>
      <c r="Z42" s="39"/>
      <c r="AA42" s="221">
        <v>650000</v>
      </c>
      <c r="AB42" s="64">
        <v>790000</v>
      </c>
      <c r="AC42" s="64">
        <v>770000</v>
      </c>
    </row>
    <row r="43" spans="1:29" x14ac:dyDescent="0.2">
      <c r="A43" s="39"/>
      <c r="B43" s="39"/>
      <c r="C43" s="39"/>
      <c r="D43" s="39"/>
      <c r="E43" s="39"/>
      <c r="F43" s="39"/>
      <c r="G43" s="39"/>
      <c r="H43" s="39"/>
      <c r="I43" s="39"/>
      <c r="J43" s="39"/>
      <c r="K43" s="39"/>
      <c r="L43" s="39"/>
      <c r="M43" s="39"/>
      <c r="N43" s="39"/>
      <c r="O43" s="60">
        <v>810000</v>
      </c>
      <c r="P43" s="61" t="s">
        <v>52</v>
      </c>
      <c r="Q43" s="62">
        <f t="shared" si="2"/>
        <v>855000</v>
      </c>
      <c r="R43" s="221">
        <v>650000</v>
      </c>
      <c r="S43" s="64">
        <v>830000</v>
      </c>
      <c r="T43" s="39"/>
      <c r="U43" s="39"/>
      <c r="V43" s="39"/>
      <c r="W43" s="39"/>
      <c r="X43" s="39"/>
      <c r="Y43" s="39"/>
      <c r="Z43" s="39"/>
      <c r="AA43" s="221">
        <v>650000</v>
      </c>
      <c r="AB43" s="64">
        <v>830000</v>
      </c>
      <c r="AC43" s="64">
        <v>810000</v>
      </c>
    </row>
    <row r="44" spans="1:29" x14ac:dyDescent="0.2">
      <c r="A44" s="39"/>
      <c r="B44" s="39"/>
      <c r="C44" s="39"/>
      <c r="D44" s="39"/>
      <c r="E44" s="39"/>
      <c r="F44" s="39"/>
      <c r="G44" s="39"/>
      <c r="H44" s="39"/>
      <c r="I44" s="39"/>
      <c r="J44" s="39"/>
      <c r="K44" s="39"/>
      <c r="L44" s="39"/>
      <c r="M44" s="39"/>
      <c r="N44" s="39"/>
      <c r="O44" s="60">
        <v>855000</v>
      </c>
      <c r="P44" s="61" t="s">
        <v>52</v>
      </c>
      <c r="Q44" s="62">
        <f t="shared" si="2"/>
        <v>905000</v>
      </c>
      <c r="R44" s="221">
        <v>650000</v>
      </c>
      <c r="S44" s="64">
        <v>880000</v>
      </c>
      <c r="T44" s="39"/>
      <c r="U44" s="39"/>
      <c r="V44" s="39"/>
      <c r="W44" s="39"/>
      <c r="X44" s="39"/>
      <c r="Y44" s="39"/>
      <c r="Z44" s="39"/>
      <c r="AA44" s="221">
        <v>650000</v>
      </c>
      <c r="AB44" s="64">
        <v>880000</v>
      </c>
      <c r="AC44" s="64">
        <v>855000</v>
      </c>
    </row>
    <row r="45" spans="1:29" x14ac:dyDescent="0.2">
      <c r="A45" s="39"/>
      <c r="B45" s="39"/>
      <c r="C45" s="39"/>
      <c r="D45" s="39"/>
      <c r="E45" s="39"/>
      <c r="F45" s="39"/>
      <c r="G45" s="39"/>
      <c r="H45" s="39"/>
      <c r="I45" s="39"/>
      <c r="J45" s="39"/>
      <c r="K45" s="39"/>
      <c r="L45" s="39"/>
      <c r="M45" s="39"/>
      <c r="N45" s="39"/>
      <c r="O45" s="60">
        <v>905000</v>
      </c>
      <c r="P45" s="61" t="s">
        <v>52</v>
      </c>
      <c r="Q45" s="62">
        <f t="shared" si="2"/>
        <v>955000</v>
      </c>
      <c r="R45" s="221">
        <v>650000</v>
      </c>
      <c r="S45" s="64">
        <v>930000</v>
      </c>
      <c r="T45" s="39"/>
      <c r="U45" s="39"/>
      <c r="V45" s="39"/>
      <c r="W45" s="39"/>
      <c r="X45" s="39"/>
      <c r="Y45" s="39"/>
      <c r="Z45" s="39"/>
      <c r="AA45" s="221">
        <v>650000</v>
      </c>
      <c r="AB45" s="64">
        <v>930000</v>
      </c>
      <c r="AC45" s="64">
        <v>905000</v>
      </c>
    </row>
    <row r="46" spans="1:29" x14ac:dyDescent="0.2">
      <c r="A46" s="39"/>
      <c r="B46" s="39"/>
      <c r="C46" s="39"/>
      <c r="D46" s="39"/>
      <c r="E46" s="39"/>
      <c r="F46" s="39"/>
      <c r="G46" s="39"/>
      <c r="H46" s="39"/>
      <c r="I46" s="39"/>
      <c r="J46" s="39"/>
      <c r="K46" s="39"/>
      <c r="L46" s="39"/>
      <c r="M46" s="39"/>
      <c r="N46" s="39"/>
      <c r="O46" s="60">
        <v>955000</v>
      </c>
      <c r="P46" s="61" t="s">
        <v>52</v>
      </c>
      <c r="Q46" s="62">
        <f>O47</f>
        <v>1005000</v>
      </c>
      <c r="R46" s="221">
        <v>650000</v>
      </c>
      <c r="S46" s="64">
        <v>980000</v>
      </c>
      <c r="T46" s="39"/>
      <c r="U46" s="39"/>
      <c r="V46" s="39"/>
      <c r="W46" s="39"/>
      <c r="X46" s="39"/>
      <c r="Y46" s="39"/>
      <c r="Z46" s="39"/>
      <c r="AA46" s="221">
        <v>650000</v>
      </c>
      <c r="AB46" s="64">
        <v>980000</v>
      </c>
      <c r="AC46" s="64">
        <v>955000</v>
      </c>
    </row>
    <row r="47" spans="1:29" x14ac:dyDescent="0.2">
      <c r="A47" s="39"/>
      <c r="B47" s="39"/>
      <c r="C47" s="39"/>
      <c r="D47" s="39"/>
      <c r="E47" s="39"/>
      <c r="F47" s="39"/>
      <c r="G47" s="39"/>
      <c r="H47" s="39"/>
      <c r="I47" s="39"/>
      <c r="J47" s="39"/>
      <c r="K47" s="39"/>
      <c r="L47" s="39"/>
      <c r="M47" s="39"/>
      <c r="N47" s="39"/>
      <c r="O47" s="60">
        <v>1005000</v>
      </c>
      <c r="P47" s="61" t="s">
        <v>17</v>
      </c>
      <c r="Q47" s="62">
        <f t="shared" ref="Q47:Q52" si="3">O48</f>
        <v>1055000</v>
      </c>
      <c r="R47" s="221">
        <v>650000</v>
      </c>
      <c r="S47" s="64">
        <v>1030000</v>
      </c>
      <c r="T47" s="39"/>
      <c r="U47" s="39"/>
      <c r="V47" s="39"/>
      <c r="W47" s="39"/>
      <c r="X47" s="39"/>
      <c r="Y47" s="39"/>
      <c r="Z47" s="39"/>
      <c r="AA47" s="221">
        <v>650000</v>
      </c>
      <c r="AB47" s="64">
        <v>1030000</v>
      </c>
      <c r="AC47" s="64">
        <v>1005000</v>
      </c>
    </row>
    <row r="48" spans="1:29" x14ac:dyDescent="0.2">
      <c r="A48" s="39"/>
      <c r="B48" s="39"/>
      <c r="C48" s="39"/>
      <c r="D48" s="39"/>
      <c r="E48" s="39"/>
      <c r="F48" s="39"/>
      <c r="G48" s="39"/>
      <c r="H48" s="39"/>
      <c r="I48" s="39"/>
      <c r="J48" s="39"/>
      <c r="K48" s="39"/>
      <c r="L48" s="39"/>
      <c r="M48" s="39"/>
      <c r="N48" s="39"/>
      <c r="O48" s="60">
        <v>1055000</v>
      </c>
      <c r="P48" s="61" t="s">
        <v>17</v>
      </c>
      <c r="Q48" s="62">
        <f t="shared" si="3"/>
        <v>1115000</v>
      </c>
      <c r="R48" s="221">
        <v>650000</v>
      </c>
      <c r="S48" s="64">
        <v>1090000</v>
      </c>
      <c r="T48" s="39"/>
      <c r="U48" s="39"/>
      <c r="V48" s="39"/>
      <c r="W48" s="39"/>
      <c r="X48" s="39"/>
      <c r="Y48" s="39"/>
      <c r="Z48" s="39"/>
      <c r="AA48" s="221">
        <v>650000</v>
      </c>
      <c r="AB48" s="64">
        <v>1090000</v>
      </c>
      <c r="AC48" s="64">
        <v>1055000</v>
      </c>
    </row>
    <row r="49" spans="1:29" x14ac:dyDescent="0.2">
      <c r="A49" s="39"/>
      <c r="B49" s="39"/>
      <c r="C49" s="39"/>
      <c r="D49" s="39"/>
      <c r="E49" s="39"/>
      <c r="F49" s="39"/>
      <c r="G49" s="39"/>
      <c r="H49" s="39"/>
      <c r="I49" s="39"/>
      <c r="J49" s="39"/>
      <c r="K49" s="39"/>
      <c r="L49" s="39"/>
      <c r="M49" s="39"/>
      <c r="N49" s="39"/>
      <c r="O49" s="60">
        <v>1115000</v>
      </c>
      <c r="P49" s="61" t="s">
        <v>17</v>
      </c>
      <c r="Q49" s="62">
        <f t="shared" si="3"/>
        <v>1175000</v>
      </c>
      <c r="R49" s="221">
        <v>650000</v>
      </c>
      <c r="S49" s="64">
        <v>1150000</v>
      </c>
      <c r="T49" s="39"/>
      <c r="U49" s="39"/>
      <c r="V49" s="39"/>
      <c r="W49" s="39"/>
      <c r="X49" s="39"/>
      <c r="Y49" s="39"/>
      <c r="Z49" s="39"/>
      <c r="AA49" s="221">
        <v>650000</v>
      </c>
      <c r="AB49" s="64">
        <v>1150000</v>
      </c>
      <c r="AC49" s="64">
        <v>1115000</v>
      </c>
    </row>
    <row r="50" spans="1:29" x14ac:dyDescent="0.2">
      <c r="A50" s="39"/>
      <c r="B50" s="39"/>
      <c r="C50" s="39"/>
      <c r="D50" s="39"/>
      <c r="E50" s="39"/>
      <c r="F50" s="39"/>
      <c r="G50" s="39"/>
      <c r="H50" s="39"/>
      <c r="I50" s="39"/>
      <c r="J50" s="39"/>
      <c r="K50" s="39"/>
      <c r="L50" s="39"/>
      <c r="M50" s="39"/>
      <c r="N50" s="39"/>
      <c r="O50" s="60">
        <v>1175000</v>
      </c>
      <c r="P50" s="61" t="s">
        <v>17</v>
      </c>
      <c r="Q50" s="62">
        <f t="shared" si="3"/>
        <v>1235000</v>
      </c>
      <c r="R50" s="221">
        <v>650000</v>
      </c>
      <c r="S50" s="64">
        <v>1210000</v>
      </c>
      <c r="T50" s="39"/>
      <c r="U50" s="39"/>
      <c r="V50" s="39"/>
      <c r="W50" s="39"/>
      <c r="X50" s="39"/>
      <c r="Y50" s="39"/>
      <c r="Z50" s="39"/>
      <c r="AA50" s="221">
        <v>650000</v>
      </c>
      <c r="AB50" s="64">
        <v>1210000</v>
      </c>
      <c r="AC50" s="64">
        <v>1175000</v>
      </c>
    </row>
    <row r="51" spans="1:29" x14ac:dyDescent="0.2">
      <c r="A51" s="39"/>
      <c r="B51" s="39"/>
      <c r="C51" s="39"/>
      <c r="D51" s="39"/>
      <c r="E51" s="39"/>
      <c r="F51" s="39"/>
      <c r="G51" s="39"/>
      <c r="H51" s="39"/>
      <c r="I51" s="39"/>
      <c r="J51" s="39"/>
      <c r="K51" s="39"/>
      <c r="L51" s="39"/>
      <c r="M51" s="39"/>
      <c r="N51" s="39"/>
      <c r="O51" s="60">
        <v>1235000</v>
      </c>
      <c r="P51" s="61" t="s">
        <v>17</v>
      </c>
      <c r="Q51" s="62">
        <f>O52</f>
        <v>1295000</v>
      </c>
      <c r="R51" s="221">
        <v>650000</v>
      </c>
      <c r="S51" s="64">
        <v>1270000</v>
      </c>
      <c r="T51" s="39"/>
      <c r="U51" s="39"/>
      <c r="V51" s="39"/>
      <c r="W51" s="39"/>
      <c r="X51" s="39"/>
      <c r="Y51" s="39"/>
      <c r="Z51" s="39"/>
      <c r="AA51" s="221">
        <v>650000</v>
      </c>
      <c r="AB51" s="64">
        <v>1270000</v>
      </c>
      <c r="AC51" s="64">
        <v>1235000</v>
      </c>
    </row>
    <row r="52" spans="1:29" x14ac:dyDescent="0.2">
      <c r="A52" s="39"/>
      <c r="B52" s="39"/>
      <c r="C52" s="39"/>
      <c r="D52" s="39"/>
      <c r="E52" s="39"/>
      <c r="F52" s="39"/>
      <c r="G52" s="39"/>
      <c r="H52" s="39"/>
      <c r="I52" s="39"/>
      <c r="J52" s="39"/>
      <c r="K52" s="39"/>
      <c r="L52" s="39"/>
      <c r="M52" s="39"/>
      <c r="N52" s="39"/>
      <c r="O52" s="60">
        <v>1295000</v>
      </c>
      <c r="P52" s="61" t="s">
        <v>19</v>
      </c>
      <c r="Q52" s="62">
        <f t="shared" si="3"/>
        <v>1355000</v>
      </c>
      <c r="R52" s="221">
        <v>650000</v>
      </c>
      <c r="S52" s="64">
        <v>1330000</v>
      </c>
      <c r="T52" s="39"/>
      <c r="U52" s="39"/>
      <c r="V52" s="39"/>
      <c r="W52" s="39"/>
      <c r="X52" s="39"/>
      <c r="Y52" s="39"/>
      <c r="Z52" s="39"/>
      <c r="AA52" s="221">
        <v>650000</v>
      </c>
      <c r="AB52" s="64">
        <v>1330000</v>
      </c>
      <c r="AC52" s="64">
        <v>1295000</v>
      </c>
    </row>
    <row r="53" spans="1:29" x14ac:dyDescent="0.2">
      <c r="A53" s="39"/>
      <c r="B53" s="39"/>
      <c r="C53" s="39"/>
      <c r="D53" s="39"/>
      <c r="E53" s="39"/>
      <c r="F53" s="39"/>
      <c r="G53" s="39"/>
      <c r="H53" s="39"/>
      <c r="I53" s="39"/>
      <c r="J53" s="39"/>
      <c r="K53" s="39"/>
      <c r="L53" s="39"/>
      <c r="M53" s="39"/>
      <c r="N53" s="39"/>
      <c r="O53" s="70">
        <v>1355000</v>
      </c>
      <c r="P53" s="82" t="s">
        <v>19</v>
      </c>
      <c r="Q53" s="83"/>
      <c r="R53" s="222">
        <v>650000</v>
      </c>
      <c r="S53" s="74">
        <v>1390000</v>
      </c>
      <c r="T53" s="39"/>
      <c r="U53" s="39"/>
      <c r="V53" s="39"/>
      <c r="W53" s="39"/>
      <c r="X53" s="39"/>
      <c r="Y53" s="39"/>
      <c r="Z53" s="39"/>
      <c r="AA53" s="222">
        <v>650000</v>
      </c>
      <c r="AB53" s="74">
        <v>1390000</v>
      </c>
      <c r="AC53" s="74">
        <v>1355000</v>
      </c>
    </row>
  </sheetData>
  <mergeCells count="30">
    <mergeCell ref="B18:D18"/>
    <mergeCell ref="J18:K18"/>
    <mergeCell ref="B3:D3"/>
    <mergeCell ref="I3:K3"/>
    <mergeCell ref="O3:Q3"/>
    <mergeCell ref="I10:K10"/>
    <mergeCell ref="J17:K17"/>
    <mergeCell ref="B19:D19"/>
    <mergeCell ref="J19:K19"/>
    <mergeCell ref="B20:D20"/>
    <mergeCell ref="J20:K20"/>
    <mergeCell ref="B21:D21"/>
    <mergeCell ref="J21:K21"/>
    <mergeCell ref="B22:D22"/>
    <mergeCell ref="J22:K22"/>
    <mergeCell ref="J23:K23"/>
    <mergeCell ref="B25:C25"/>
    <mergeCell ref="B26:C26"/>
    <mergeCell ref="J26:K26"/>
    <mergeCell ref="B27:C27"/>
    <mergeCell ref="J27:K27"/>
    <mergeCell ref="B28:C28"/>
    <mergeCell ref="J28:K28"/>
    <mergeCell ref="B29:C29"/>
    <mergeCell ref="J29:K29"/>
    <mergeCell ref="B30:C30"/>
    <mergeCell ref="J30:K30"/>
    <mergeCell ref="B31:C31"/>
    <mergeCell ref="J31:K31"/>
    <mergeCell ref="J32:K32"/>
  </mergeCells>
  <phoneticPr fontId="2"/>
  <pageMargins left="0.7" right="0.7" top="0.75" bottom="0.75" header="0.3" footer="0.3"/>
  <pageSetup paperSize="9" orientation="portrait" verticalDpi="0" r:id="rId1"/>
  <ignoredErrors>
    <ignoredError sqref="D27:E27"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50"/>
  <sheetViews>
    <sheetView workbookViewId="0">
      <selection activeCell="D74" sqref="D74"/>
    </sheetView>
  </sheetViews>
  <sheetFormatPr defaultColWidth="9" defaultRowHeight="11" x14ac:dyDescent="0.2"/>
  <cols>
    <col min="1" max="1" width="6" style="3" customWidth="1"/>
    <col min="2" max="2" width="9" style="3"/>
    <col min="3" max="5" width="9.453125" style="3" customWidth="1"/>
    <col min="6" max="7" width="9" style="3"/>
    <col min="8" max="10" width="10" style="3" customWidth="1"/>
    <col min="11" max="11" width="9" style="3" customWidth="1"/>
    <col min="12" max="18" width="9" style="3"/>
    <col min="19" max="19" width="29.36328125" style="3" customWidth="1"/>
    <col min="20" max="20" width="9" style="3"/>
    <col min="21" max="21" width="9.90625" style="3" bestFit="1" customWidth="1"/>
    <col min="22" max="16384" width="9" style="3"/>
  </cols>
  <sheetData>
    <row r="1" spans="1:21" x14ac:dyDescent="0.2">
      <c r="A1" s="13"/>
      <c r="B1" s="13" t="s">
        <v>54</v>
      </c>
      <c r="C1" s="28"/>
      <c r="D1" s="28"/>
      <c r="E1" s="28"/>
      <c r="F1" s="13"/>
      <c r="G1" s="13" t="s">
        <v>55</v>
      </c>
      <c r="H1" s="13"/>
      <c r="I1" s="13"/>
      <c r="J1" s="13"/>
      <c r="K1" s="13"/>
      <c r="L1" s="13" t="s">
        <v>56</v>
      </c>
      <c r="M1" s="13"/>
      <c r="N1" s="13"/>
      <c r="O1" s="13"/>
      <c r="P1" s="13"/>
      <c r="Q1" s="13"/>
      <c r="R1" s="13"/>
      <c r="S1" s="13"/>
    </row>
    <row r="2" spans="1:21" ht="13" x14ac:dyDescent="0.2">
      <c r="A2" s="13"/>
      <c r="B2" s="29"/>
      <c r="C2" s="208">
        <v>2022</v>
      </c>
      <c r="D2" s="208">
        <f>C2+1</f>
        <v>2023</v>
      </c>
      <c r="E2" s="208">
        <f>D2+1</f>
        <v>2024</v>
      </c>
      <c r="F2" s="13"/>
      <c r="G2" s="13"/>
      <c r="H2" s="209">
        <f>C2</f>
        <v>2022</v>
      </c>
      <c r="I2" s="209">
        <f>D2</f>
        <v>2023</v>
      </c>
      <c r="J2" s="209">
        <f>E2</f>
        <v>2024</v>
      </c>
      <c r="K2" s="13"/>
      <c r="L2" s="283" t="s">
        <v>57</v>
      </c>
      <c r="M2" s="284" t="s">
        <v>58</v>
      </c>
      <c r="N2" s="285"/>
      <c r="O2" s="286"/>
      <c r="P2" s="284" t="s">
        <v>59</v>
      </c>
      <c r="Q2" s="285"/>
      <c r="R2" s="286"/>
      <c r="S2" s="283" t="s">
        <v>60</v>
      </c>
      <c r="U2" s="239" t="s">
        <v>283</v>
      </c>
    </row>
    <row r="3" spans="1:21" x14ac:dyDescent="0.2">
      <c r="A3" s="13"/>
      <c r="B3" s="29" t="s">
        <v>61</v>
      </c>
      <c r="C3" s="31">
        <v>0.10390000000000001</v>
      </c>
      <c r="D3" s="31">
        <v>0.10290000000000001</v>
      </c>
      <c r="E3" s="230">
        <v>0.1021</v>
      </c>
      <c r="F3" s="13"/>
      <c r="G3" s="29" t="s">
        <v>62</v>
      </c>
      <c r="H3" s="32">
        <v>0.183</v>
      </c>
      <c r="I3" s="32">
        <v>0.183</v>
      </c>
      <c r="J3" s="32">
        <v>0.183</v>
      </c>
      <c r="K3" s="13"/>
      <c r="L3" s="283"/>
      <c r="M3" s="30" t="s">
        <v>63</v>
      </c>
      <c r="N3" s="30" t="s">
        <v>64</v>
      </c>
      <c r="O3" s="30" t="s">
        <v>51</v>
      </c>
      <c r="P3" s="30" t="s">
        <v>63</v>
      </c>
      <c r="Q3" s="30" t="s">
        <v>64</v>
      </c>
      <c r="R3" s="30" t="s">
        <v>51</v>
      </c>
      <c r="S3" s="283"/>
    </row>
    <row r="4" spans="1:21" x14ac:dyDescent="0.2">
      <c r="A4" s="13"/>
      <c r="B4" s="29" t="s">
        <v>65</v>
      </c>
      <c r="C4" s="31">
        <v>0.1003</v>
      </c>
      <c r="D4" s="31">
        <v>9.7900000000000001E-2</v>
      </c>
      <c r="E4" s="230">
        <v>9.4899999999999998E-2</v>
      </c>
      <c r="F4" s="13"/>
      <c r="G4" s="29" t="s">
        <v>66</v>
      </c>
      <c r="H4" s="33">
        <f>H3/2</f>
        <v>9.1499999999999998E-2</v>
      </c>
      <c r="I4" s="33">
        <f>I3/2</f>
        <v>9.1499999999999998E-2</v>
      </c>
      <c r="J4" s="33">
        <f>J3/2</f>
        <v>9.1499999999999998E-2</v>
      </c>
      <c r="K4" s="13"/>
      <c r="L4" s="29" t="s">
        <v>61</v>
      </c>
      <c r="M4" s="232" t="s">
        <v>67</v>
      </c>
      <c r="N4" s="232" t="s">
        <v>68</v>
      </c>
      <c r="O4" s="34">
        <f>VALUE(MIDB(M4,1,5))+VALUE(MIDB(N4,1,5))</f>
        <v>5000</v>
      </c>
      <c r="P4" s="233">
        <v>0.02</v>
      </c>
      <c r="Q4" s="234">
        <v>0.08</v>
      </c>
      <c r="R4" s="35">
        <f>P4+Q4</f>
        <v>0.1</v>
      </c>
      <c r="S4" s="235"/>
      <c r="U4" s="240">
        <v>45323</v>
      </c>
    </row>
    <row r="5" spans="1:21" x14ac:dyDescent="0.2">
      <c r="A5" s="13"/>
      <c r="B5" s="29" t="s">
        <v>69</v>
      </c>
      <c r="C5" s="31">
        <v>9.9099999999999994E-2</v>
      </c>
      <c r="D5" s="31">
        <v>9.7699999999999995E-2</v>
      </c>
      <c r="E5" s="230">
        <v>9.6299999999999997E-2</v>
      </c>
      <c r="F5" s="13"/>
      <c r="G5" s="29" t="s">
        <v>14</v>
      </c>
      <c r="H5" s="36">
        <f>H4</f>
        <v>9.1499999999999998E-2</v>
      </c>
      <c r="I5" s="36">
        <f t="shared" ref="I5:J5" si="0">I4</f>
        <v>9.1499999999999998E-2</v>
      </c>
      <c r="J5" s="36">
        <f t="shared" si="0"/>
        <v>9.1499999999999998E-2</v>
      </c>
      <c r="K5" s="13"/>
      <c r="L5" s="29" t="s">
        <v>65</v>
      </c>
      <c r="M5" s="232" t="s">
        <v>67</v>
      </c>
      <c r="N5" s="232" t="s">
        <v>68</v>
      </c>
      <c r="O5" s="34">
        <f t="shared" ref="O5:O50" si="1">VALUE(MIDB(M5,1,5))+VALUE(MIDB(N5,1,5))</f>
        <v>5000</v>
      </c>
      <c r="P5" s="234">
        <v>0.04</v>
      </c>
      <c r="Q5" s="234">
        <v>0.06</v>
      </c>
      <c r="R5" s="35">
        <f t="shared" ref="R5:R50" si="2">P5+Q5</f>
        <v>0.1</v>
      </c>
      <c r="S5" s="235"/>
    </row>
    <row r="6" spans="1:21" x14ac:dyDescent="0.2">
      <c r="A6" s="13"/>
      <c r="B6" s="29" t="s">
        <v>70</v>
      </c>
      <c r="C6" s="31">
        <v>0.1018</v>
      </c>
      <c r="D6" s="31">
        <v>0.10050000000000001</v>
      </c>
      <c r="E6" s="230">
        <v>0.10009999999999999</v>
      </c>
      <c r="F6" s="13"/>
      <c r="G6" s="13"/>
      <c r="H6" s="37"/>
      <c r="I6" s="37"/>
      <c r="J6" s="37"/>
      <c r="K6" s="13"/>
      <c r="L6" s="29" t="s">
        <v>69</v>
      </c>
      <c r="M6" s="232" t="s">
        <v>71</v>
      </c>
      <c r="N6" s="232" t="s">
        <v>68</v>
      </c>
      <c r="O6" s="34">
        <f t="shared" si="1"/>
        <v>6000</v>
      </c>
      <c r="P6" s="234">
        <v>0.04</v>
      </c>
      <c r="Q6" s="234">
        <v>0.06</v>
      </c>
      <c r="R6" s="35">
        <f t="shared" si="2"/>
        <v>0.1</v>
      </c>
      <c r="S6" s="235" t="s">
        <v>72</v>
      </c>
    </row>
    <row r="7" spans="1:21" x14ac:dyDescent="0.2">
      <c r="A7" s="13"/>
      <c r="B7" s="29" t="s">
        <v>73</v>
      </c>
      <c r="C7" s="31">
        <v>0.1027</v>
      </c>
      <c r="D7" s="31">
        <v>9.8599999999999993E-2</v>
      </c>
      <c r="E7" s="230">
        <v>9.8500000000000004E-2</v>
      </c>
      <c r="F7" s="13"/>
      <c r="G7" s="13" t="s">
        <v>74</v>
      </c>
      <c r="H7" s="37"/>
      <c r="I7" s="37"/>
      <c r="J7" s="37"/>
      <c r="K7" s="13"/>
      <c r="L7" s="29" t="s">
        <v>70</v>
      </c>
      <c r="M7" s="232" t="s">
        <v>75</v>
      </c>
      <c r="N7" s="232" t="s">
        <v>68</v>
      </c>
      <c r="O7" s="34">
        <f t="shared" si="1"/>
        <v>6200</v>
      </c>
      <c r="P7" s="234">
        <v>0.04</v>
      </c>
      <c r="Q7" s="234">
        <v>0.06</v>
      </c>
      <c r="R7" s="35">
        <f t="shared" si="2"/>
        <v>0.1</v>
      </c>
      <c r="S7" s="235" t="s">
        <v>277</v>
      </c>
    </row>
    <row r="8" spans="1:21" x14ac:dyDescent="0.2">
      <c r="A8" s="13"/>
      <c r="B8" s="29" t="s">
        <v>76</v>
      </c>
      <c r="C8" s="31">
        <v>9.9900000000000003E-2</v>
      </c>
      <c r="D8" s="31">
        <v>9.98E-2</v>
      </c>
      <c r="E8" s="230">
        <v>9.8400000000000001E-2</v>
      </c>
      <c r="F8" s="13"/>
      <c r="G8" s="13"/>
      <c r="H8" s="210">
        <f>C2</f>
        <v>2022</v>
      </c>
      <c r="I8" s="210">
        <f>D2</f>
        <v>2023</v>
      </c>
      <c r="J8" s="210">
        <f>E2</f>
        <v>2024</v>
      </c>
      <c r="K8" s="13"/>
      <c r="L8" s="29" t="s">
        <v>73</v>
      </c>
      <c r="M8" s="232" t="s">
        <v>77</v>
      </c>
      <c r="N8" s="232" t="s">
        <v>68</v>
      </c>
      <c r="O8" s="34">
        <f t="shared" si="1"/>
        <v>5800</v>
      </c>
      <c r="P8" s="234">
        <v>0.04</v>
      </c>
      <c r="Q8" s="234">
        <v>0.06</v>
      </c>
      <c r="R8" s="35">
        <f t="shared" si="2"/>
        <v>0.1</v>
      </c>
      <c r="S8" s="235" t="s">
        <v>78</v>
      </c>
    </row>
    <row r="9" spans="1:21" x14ac:dyDescent="0.2">
      <c r="A9" s="13"/>
      <c r="B9" s="29" t="s">
        <v>79</v>
      </c>
      <c r="C9" s="31">
        <v>9.6500000000000002E-2</v>
      </c>
      <c r="D9" s="31">
        <v>9.5299999999999996E-2</v>
      </c>
      <c r="E9" s="230">
        <v>9.5899999999999999E-2</v>
      </c>
      <c r="F9" s="13"/>
      <c r="G9" s="29" t="s">
        <v>62</v>
      </c>
      <c r="H9" s="32">
        <v>1.7999999999999999E-2</v>
      </c>
      <c r="I9" s="32">
        <v>1.8200000000000001E-2</v>
      </c>
      <c r="J9" s="231">
        <v>1.6E-2</v>
      </c>
      <c r="K9" s="13"/>
      <c r="L9" s="29" t="s">
        <v>76</v>
      </c>
      <c r="M9" s="232" t="s">
        <v>71</v>
      </c>
      <c r="N9" s="232" t="s">
        <v>68</v>
      </c>
      <c r="O9" s="34">
        <f t="shared" si="1"/>
        <v>6000</v>
      </c>
      <c r="P9" s="234">
        <v>0.04</v>
      </c>
      <c r="Q9" s="234">
        <v>0.06</v>
      </c>
      <c r="R9" s="35">
        <f t="shared" si="2"/>
        <v>0.1</v>
      </c>
      <c r="S9" s="235" t="s">
        <v>80</v>
      </c>
    </row>
    <row r="10" spans="1:21" x14ac:dyDescent="0.2">
      <c r="A10" s="13"/>
      <c r="B10" s="29" t="s">
        <v>81</v>
      </c>
      <c r="C10" s="31">
        <v>9.7699999999999995E-2</v>
      </c>
      <c r="D10" s="31">
        <v>9.7299999999999998E-2</v>
      </c>
      <c r="E10" s="230">
        <v>9.6600000000000005E-2</v>
      </c>
      <c r="F10" s="13"/>
      <c r="G10" s="29" t="s">
        <v>66</v>
      </c>
      <c r="H10" s="33">
        <f t="shared" ref="H10:I10" si="3">H9/2</f>
        <v>8.9999999999999993E-3</v>
      </c>
      <c r="I10" s="33">
        <f t="shared" si="3"/>
        <v>9.1000000000000004E-3</v>
      </c>
      <c r="J10" s="33">
        <f t="shared" ref="J10" si="4">J9/2</f>
        <v>8.0000000000000002E-3</v>
      </c>
      <c r="K10" s="13"/>
      <c r="L10" s="29" t="s">
        <v>79</v>
      </c>
      <c r="M10" s="232" t="s">
        <v>71</v>
      </c>
      <c r="N10" s="232" t="s">
        <v>68</v>
      </c>
      <c r="O10" s="34">
        <f t="shared" si="1"/>
        <v>6000</v>
      </c>
      <c r="P10" s="234">
        <v>0.04</v>
      </c>
      <c r="Q10" s="234">
        <v>0.06</v>
      </c>
      <c r="R10" s="35">
        <f t="shared" si="2"/>
        <v>0.1</v>
      </c>
      <c r="S10" s="235" t="s">
        <v>82</v>
      </c>
    </row>
    <row r="11" spans="1:21" x14ac:dyDescent="0.2">
      <c r="A11" s="13"/>
      <c r="B11" s="29" t="s">
        <v>83</v>
      </c>
      <c r="C11" s="31">
        <v>9.9000000000000005E-2</v>
      </c>
      <c r="D11" s="31">
        <v>9.9599999999999994E-2</v>
      </c>
      <c r="E11" s="230">
        <v>9.7900000000000001E-2</v>
      </c>
      <c r="F11" s="13"/>
      <c r="G11" s="29" t="s">
        <v>14</v>
      </c>
      <c r="H11" s="36">
        <f t="shared" ref="H11:I11" si="5">H10</f>
        <v>8.9999999999999993E-3</v>
      </c>
      <c r="I11" s="36">
        <f t="shared" si="5"/>
        <v>9.1000000000000004E-3</v>
      </c>
      <c r="J11" s="36">
        <f t="shared" ref="J11" si="6">J10</f>
        <v>8.0000000000000002E-3</v>
      </c>
      <c r="K11" s="13"/>
      <c r="L11" s="29" t="s">
        <v>81</v>
      </c>
      <c r="M11" s="232" t="s">
        <v>71</v>
      </c>
      <c r="N11" s="232" t="s">
        <v>68</v>
      </c>
      <c r="O11" s="34">
        <f t="shared" si="1"/>
        <v>6000</v>
      </c>
      <c r="P11" s="234">
        <v>0.04</v>
      </c>
      <c r="Q11" s="234">
        <v>0.06</v>
      </c>
      <c r="R11" s="35">
        <f t="shared" si="2"/>
        <v>0.1</v>
      </c>
      <c r="S11" s="235" t="s">
        <v>84</v>
      </c>
    </row>
    <row r="12" spans="1:21" x14ac:dyDescent="0.2">
      <c r="A12" s="13"/>
      <c r="B12" s="29" t="s">
        <v>85</v>
      </c>
      <c r="C12" s="31">
        <v>9.7299999999999998E-2</v>
      </c>
      <c r="D12" s="31">
        <v>9.7600000000000006E-2</v>
      </c>
      <c r="E12" s="230">
        <v>9.8100000000000007E-2</v>
      </c>
      <c r="F12" s="13"/>
      <c r="G12" s="13"/>
      <c r="H12" s="37"/>
      <c r="I12" s="37"/>
      <c r="J12" s="37"/>
      <c r="K12" s="13"/>
      <c r="L12" s="29" t="s">
        <v>83</v>
      </c>
      <c r="M12" s="232" t="s">
        <v>86</v>
      </c>
      <c r="N12" s="232" t="s">
        <v>68</v>
      </c>
      <c r="O12" s="34">
        <f t="shared" si="1"/>
        <v>5700</v>
      </c>
      <c r="P12" s="234">
        <v>0.04</v>
      </c>
      <c r="Q12" s="234">
        <v>0.06</v>
      </c>
      <c r="R12" s="35">
        <f t="shared" si="2"/>
        <v>0.1</v>
      </c>
      <c r="S12" s="235" t="s">
        <v>87</v>
      </c>
    </row>
    <row r="13" spans="1:21" x14ac:dyDescent="0.2">
      <c r="A13" s="13"/>
      <c r="B13" s="29" t="s">
        <v>88</v>
      </c>
      <c r="C13" s="31">
        <v>9.7100000000000006E-2</v>
      </c>
      <c r="D13" s="31">
        <v>9.8199999999999996E-2</v>
      </c>
      <c r="E13" s="230">
        <v>9.7799999999999998E-2</v>
      </c>
      <c r="F13" s="13"/>
      <c r="G13" s="13" t="s">
        <v>89</v>
      </c>
      <c r="H13" s="37"/>
      <c r="I13" s="37"/>
      <c r="J13" s="37"/>
      <c r="K13" s="13"/>
      <c r="L13" s="29" t="s">
        <v>85</v>
      </c>
      <c r="M13" s="232" t="s">
        <v>86</v>
      </c>
      <c r="N13" s="232" t="s">
        <v>68</v>
      </c>
      <c r="O13" s="34">
        <f t="shared" si="1"/>
        <v>5700</v>
      </c>
      <c r="P13" s="234">
        <v>0.04</v>
      </c>
      <c r="Q13" s="234">
        <v>0.06</v>
      </c>
      <c r="R13" s="35">
        <f t="shared" si="2"/>
        <v>0.1</v>
      </c>
      <c r="S13" s="235" t="s">
        <v>90</v>
      </c>
    </row>
    <row r="14" spans="1:21" x14ac:dyDescent="0.2">
      <c r="A14" s="13"/>
      <c r="B14" s="29" t="s">
        <v>91</v>
      </c>
      <c r="C14" s="31">
        <v>9.7600000000000006E-2</v>
      </c>
      <c r="D14" s="31">
        <v>9.8699999999999996E-2</v>
      </c>
      <c r="E14" s="230">
        <v>9.7699999999999995E-2</v>
      </c>
      <c r="F14" s="13"/>
      <c r="G14" s="13"/>
      <c r="H14" s="210">
        <f>C2</f>
        <v>2022</v>
      </c>
      <c r="I14" s="210">
        <f>D2</f>
        <v>2023</v>
      </c>
      <c r="J14" s="210">
        <f>E2</f>
        <v>2024</v>
      </c>
      <c r="K14" s="13"/>
      <c r="L14" s="29" t="s">
        <v>88</v>
      </c>
      <c r="M14" s="232" t="s">
        <v>67</v>
      </c>
      <c r="N14" s="232" t="s">
        <v>68</v>
      </c>
      <c r="O14" s="34">
        <f t="shared" si="1"/>
        <v>5000</v>
      </c>
      <c r="P14" s="234">
        <v>0.04</v>
      </c>
      <c r="Q14" s="234">
        <v>0.06</v>
      </c>
      <c r="R14" s="35">
        <f t="shared" si="2"/>
        <v>0.1</v>
      </c>
      <c r="S14" s="235"/>
    </row>
    <row r="15" spans="1:21" x14ac:dyDescent="0.2">
      <c r="A15" s="13"/>
      <c r="B15" s="29" t="s">
        <v>92</v>
      </c>
      <c r="C15" s="31">
        <v>9.8100000000000007E-2</v>
      </c>
      <c r="D15" s="31">
        <v>0.1</v>
      </c>
      <c r="E15" s="230">
        <v>9.98E-2</v>
      </c>
      <c r="F15" s="13"/>
      <c r="G15" s="29" t="s">
        <v>66</v>
      </c>
      <c r="H15" s="32">
        <v>5.0000000000000001E-3</v>
      </c>
      <c r="I15" s="32">
        <v>6.0000000000000001E-3</v>
      </c>
      <c r="J15" s="231">
        <v>6.0000000000000001E-3</v>
      </c>
      <c r="K15" s="13"/>
      <c r="L15" s="29" t="s">
        <v>91</v>
      </c>
      <c r="M15" s="232" t="s">
        <v>67</v>
      </c>
      <c r="N15" s="232" t="s">
        <v>68</v>
      </c>
      <c r="O15" s="34">
        <f t="shared" si="1"/>
        <v>5000</v>
      </c>
      <c r="P15" s="234">
        <v>0.04</v>
      </c>
      <c r="Q15" s="234">
        <v>0.06</v>
      </c>
      <c r="R15" s="35">
        <f t="shared" si="2"/>
        <v>0.1</v>
      </c>
      <c r="S15" s="235"/>
    </row>
    <row r="16" spans="1:21" x14ac:dyDescent="0.2">
      <c r="A16" s="13"/>
      <c r="B16" s="29" t="s">
        <v>93</v>
      </c>
      <c r="C16" s="31">
        <v>9.8500000000000004E-2</v>
      </c>
      <c r="D16" s="31">
        <v>0.1002</v>
      </c>
      <c r="E16" s="230">
        <v>0.1002</v>
      </c>
      <c r="F16" s="13"/>
      <c r="G16" s="29" t="s">
        <v>14</v>
      </c>
      <c r="H16" s="32">
        <v>8.5000000000000006E-3</v>
      </c>
      <c r="I16" s="32">
        <v>9.4999999999999998E-3</v>
      </c>
      <c r="J16" s="231">
        <v>9.4999999999999998E-3</v>
      </c>
      <c r="K16" s="13"/>
      <c r="L16" s="29" t="s">
        <v>92</v>
      </c>
      <c r="M16" s="232" t="s">
        <v>67</v>
      </c>
      <c r="N16" s="232" t="s">
        <v>68</v>
      </c>
      <c r="O16" s="34">
        <f t="shared" si="1"/>
        <v>5000</v>
      </c>
      <c r="P16" s="234">
        <v>0.04</v>
      </c>
      <c r="Q16" s="234">
        <v>0.06</v>
      </c>
      <c r="R16" s="35">
        <f t="shared" si="2"/>
        <v>0.1</v>
      </c>
      <c r="S16" s="235"/>
    </row>
    <row r="17" spans="1:19" x14ac:dyDescent="0.2">
      <c r="A17" s="13"/>
      <c r="B17" s="29" t="s">
        <v>94</v>
      </c>
      <c r="C17" s="31">
        <v>9.5100000000000004E-2</v>
      </c>
      <c r="D17" s="31">
        <v>9.3299999999999994E-2</v>
      </c>
      <c r="E17" s="230">
        <v>9.35E-2</v>
      </c>
      <c r="F17" s="13"/>
      <c r="G17" s="13"/>
      <c r="H17" s="13"/>
      <c r="I17" s="13"/>
      <c r="J17" s="13"/>
      <c r="K17" s="13"/>
      <c r="L17" s="29" t="s">
        <v>93</v>
      </c>
      <c r="M17" s="232" t="s">
        <v>95</v>
      </c>
      <c r="N17" s="232" t="s">
        <v>68</v>
      </c>
      <c r="O17" s="34">
        <f t="shared" si="1"/>
        <v>5300</v>
      </c>
      <c r="P17" s="234">
        <v>4.0250000000000001E-2</v>
      </c>
      <c r="Q17" s="234">
        <v>0.06</v>
      </c>
      <c r="R17" s="35">
        <f t="shared" si="2"/>
        <v>0.10025000000000001</v>
      </c>
      <c r="S17" s="235" t="s">
        <v>278</v>
      </c>
    </row>
    <row r="18" spans="1:19" x14ac:dyDescent="0.2">
      <c r="A18" s="13"/>
      <c r="B18" s="29" t="s">
        <v>96</v>
      </c>
      <c r="C18" s="31">
        <v>9.6100000000000005E-2</v>
      </c>
      <c r="D18" s="31">
        <v>9.5699999999999993E-2</v>
      </c>
      <c r="E18" s="230">
        <v>9.6199999999999994E-2</v>
      </c>
      <c r="F18" s="13"/>
      <c r="G18" s="13" t="s">
        <v>97</v>
      </c>
      <c r="H18" s="13"/>
      <c r="I18" s="13"/>
      <c r="J18" s="13"/>
      <c r="K18" s="13"/>
      <c r="L18" s="29" t="s">
        <v>94</v>
      </c>
      <c r="M18" s="232" t="s">
        <v>67</v>
      </c>
      <c r="N18" s="232" t="s">
        <v>68</v>
      </c>
      <c r="O18" s="34">
        <f t="shared" si="1"/>
        <v>5000</v>
      </c>
      <c r="P18" s="234">
        <v>0.04</v>
      </c>
      <c r="Q18" s="234">
        <v>0.06</v>
      </c>
      <c r="R18" s="35">
        <f t="shared" si="2"/>
        <v>0.1</v>
      </c>
      <c r="S18" s="235"/>
    </row>
    <row r="19" spans="1:19" x14ac:dyDescent="0.2">
      <c r="A19" s="13"/>
      <c r="B19" s="29" t="s">
        <v>98</v>
      </c>
      <c r="C19" s="31">
        <v>9.8900000000000002E-2</v>
      </c>
      <c r="D19" s="31">
        <v>9.6600000000000005E-2</v>
      </c>
      <c r="E19" s="230">
        <v>9.9400000000000002E-2</v>
      </c>
      <c r="F19" s="13"/>
      <c r="G19" s="13"/>
      <c r="H19" s="209">
        <f>C2</f>
        <v>2022</v>
      </c>
      <c r="I19" s="209">
        <f>D2</f>
        <v>2023</v>
      </c>
      <c r="J19" s="209">
        <f>E2</f>
        <v>2024</v>
      </c>
      <c r="K19" s="13"/>
      <c r="L19" s="29" t="s">
        <v>96</v>
      </c>
      <c r="M19" s="232" t="s">
        <v>99</v>
      </c>
      <c r="N19" s="232" t="s">
        <v>68</v>
      </c>
      <c r="O19" s="34">
        <f t="shared" si="1"/>
        <v>5500</v>
      </c>
      <c r="P19" s="234">
        <v>0.04</v>
      </c>
      <c r="Q19" s="234">
        <v>0.06</v>
      </c>
      <c r="R19" s="35">
        <f t="shared" si="2"/>
        <v>0.1</v>
      </c>
      <c r="S19" s="235" t="s">
        <v>100</v>
      </c>
    </row>
    <row r="20" spans="1:19" x14ac:dyDescent="0.2">
      <c r="A20" s="13"/>
      <c r="B20" s="29" t="s">
        <v>101</v>
      </c>
      <c r="C20" s="31">
        <v>9.9599999999999994E-2</v>
      </c>
      <c r="D20" s="31">
        <v>9.9099999999999994E-2</v>
      </c>
      <c r="E20" s="230">
        <v>0.1007</v>
      </c>
      <c r="F20" s="13"/>
      <c r="G20" s="29" t="s">
        <v>14</v>
      </c>
      <c r="H20" s="38">
        <v>3.5999999999999999E-3</v>
      </c>
      <c r="I20" s="38">
        <v>3.5999999999999999E-3</v>
      </c>
      <c r="J20" s="38">
        <v>3.5999999999999999E-3</v>
      </c>
      <c r="K20" s="13"/>
      <c r="L20" s="29" t="s">
        <v>98</v>
      </c>
      <c r="M20" s="232" t="s">
        <v>99</v>
      </c>
      <c r="N20" s="232" t="s">
        <v>68</v>
      </c>
      <c r="O20" s="34">
        <f t="shared" si="1"/>
        <v>5500</v>
      </c>
      <c r="P20" s="234">
        <v>0.04</v>
      </c>
      <c r="Q20" s="234">
        <v>0.06</v>
      </c>
      <c r="R20" s="35">
        <f t="shared" si="2"/>
        <v>0.1</v>
      </c>
      <c r="S20" s="235" t="s">
        <v>102</v>
      </c>
    </row>
    <row r="21" spans="1:19" x14ac:dyDescent="0.2">
      <c r="A21" s="13"/>
      <c r="B21" s="29" t="s">
        <v>103</v>
      </c>
      <c r="C21" s="31">
        <v>9.6600000000000005E-2</v>
      </c>
      <c r="D21" s="31">
        <v>9.6699999999999994E-2</v>
      </c>
      <c r="E21" s="230">
        <v>9.9400000000000002E-2</v>
      </c>
      <c r="F21" s="13"/>
      <c r="G21" s="13"/>
      <c r="H21" s="13"/>
      <c r="I21" s="13"/>
      <c r="J21" s="13"/>
      <c r="K21" s="13"/>
      <c r="L21" s="29" t="s">
        <v>101</v>
      </c>
      <c r="M21" s="232" t="s">
        <v>67</v>
      </c>
      <c r="N21" s="232" t="s">
        <v>68</v>
      </c>
      <c r="O21" s="34">
        <f t="shared" si="1"/>
        <v>5000</v>
      </c>
      <c r="P21" s="234">
        <v>0.04</v>
      </c>
      <c r="Q21" s="234">
        <v>0.06</v>
      </c>
      <c r="R21" s="35">
        <f t="shared" si="2"/>
        <v>0.1</v>
      </c>
      <c r="S21" s="235"/>
    </row>
    <row r="22" spans="1:19" x14ac:dyDescent="0.2">
      <c r="A22" s="13"/>
      <c r="B22" s="29" t="s">
        <v>104</v>
      </c>
      <c r="C22" s="31">
        <v>9.6699999999999994E-2</v>
      </c>
      <c r="D22" s="31">
        <v>9.4899999999999998E-2</v>
      </c>
      <c r="E22" s="230">
        <v>9.5500000000000002E-2</v>
      </c>
      <c r="F22" s="13"/>
      <c r="G22" s="13" t="s">
        <v>105</v>
      </c>
      <c r="H22" s="13"/>
      <c r="I22" s="13"/>
      <c r="J22" s="13"/>
      <c r="K22" s="13"/>
      <c r="L22" s="29" t="s">
        <v>103</v>
      </c>
      <c r="M22" s="232" t="s">
        <v>99</v>
      </c>
      <c r="N22" s="232" t="s">
        <v>68</v>
      </c>
      <c r="O22" s="34">
        <f t="shared" si="1"/>
        <v>5500</v>
      </c>
      <c r="P22" s="234">
        <v>0.04</v>
      </c>
      <c r="Q22" s="234">
        <v>0.06</v>
      </c>
      <c r="R22" s="35">
        <f t="shared" si="2"/>
        <v>0.1</v>
      </c>
      <c r="S22" s="235" t="s">
        <v>106</v>
      </c>
    </row>
    <row r="23" spans="1:19" x14ac:dyDescent="0.2">
      <c r="A23" s="13"/>
      <c r="B23" s="29" t="s">
        <v>107</v>
      </c>
      <c r="C23" s="31">
        <v>9.8199999999999996E-2</v>
      </c>
      <c r="D23" s="31">
        <v>9.8000000000000004E-2</v>
      </c>
      <c r="E23" s="230">
        <v>9.9099999999999994E-2</v>
      </c>
      <c r="F23" s="13"/>
      <c r="G23" s="13"/>
      <c r="H23" s="13" t="s">
        <v>108</v>
      </c>
      <c r="I23" s="13"/>
      <c r="J23" s="13"/>
      <c r="K23" s="13"/>
      <c r="L23" s="29" t="s">
        <v>104</v>
      </c>
      <c r="M23" s="232" t="s">
        <v>99</v>
      </c>
      <c r="N23" s="232" t="s">
        <v>68</v>
      </c>
      <c r="O23" s="34">
        <f t="shared" si="1"/>
        <v>5500</v>
      </c>
      <c r="P23" s="234">
        <v>0.04</v>
      </c>
      <c r="Q23" s="234">
        <v>0.06</v>
      </c>
      <c r="R23" s="35">
        <f t="shared" si="2"/>
        <v>0.1</v>
      </c>
      <c r="S23" s="235" t="s">
        <v>109</v>
      </c>
    </row>
    <row r="24" spans="1:19" x14ac:dyDescent="0.2">
      <c r="A24" s="13"/>
      <c r="B24" s="29" t="s">
        <v>110</v>
      </c>
      <c r="C24" s="31">
        <v>9.7500000000000003E-2</v>
      </c>
      <c r="D24" s="31">
        <v>9.7500000000000003E-2</v>
      </c>
      <c r="E24" s="230">
        <v>9.8500000000000004E-2</v>
      </c>
      <c r="F24" s="13"/>
      <c r="G24" s="13"/>
      <c r="H24" s="13" t="s">
        <v>111</v>
      </c>
      <c r="I24" s="13"/>
      <c r="J24" s="13"/>
      <c r="K24" s="13"/>
      <c r="L24" s="29" t="s">
        <v>107</v>
      </c>
      <c r="M24" s="232" t="s">
        <v>71</v>
      </c>
      <c r="N24" s="232" t="s">
        <v>68</v>
      </c>
      <c r="O24" s="34">
        <f t="shared" si="1"/>
        <v>6000</v>
      </c>
      <c r="P24" s="234">
        <v>0.04</v>
      </c>
      <c r="Q24" s="234">
        <v>0.06</v>
      </c>
      <c r="R24" s="35">
        <f t="shared" si="2"/>
        <v>0.1</v>
      </c>
      <c r="S24" s="235" t="s">
        <v>112</v>
      </c>
    </row>
    <row r="25" spans="1:19" x14ac:dyDescent="0.2">
      <c r="A25" s="13"/>
      <c r="B25" s="29" t="s">
        <v>113</v>
      </c>
      <c r="C25" s="31">
        <v>9.9299999999999999E-2</v>
      </c>
      <c r="D25" s="31">
        <v>0.10009999999999999</v>
      </c>
      <c r="E25" s="230">
        <v>0.1002</v>
      </c>
      <c r="F25" s="13"/>
      <c r="G25" s="13"/>
      <c r="H25" s="13"/>
      <c r="I25" s="13"/>
      <c r="J25" s="13"/>
      <c r="K25" s="13"/>
      <c r="L25" s="29" t="s">
        <v>110</v>
      </c>
      <c r="M25" s="232" t="s">
        <v>114</v>
      </c>
      <c r="N25" s="232" t="s">
        <v>68</v>
      </c>
      <c r="O25" s="34">
        <f t="shared" si="1"/>
        <v>5400</v>
      </c>
      <c r="P25" s="234">
        <v>0.04</v>
      </c>
      <c r="Q25" s="234">
        <v>0.06</v>
      </c>
      <c r="R25" s="35">
        <f t="shared" si="2"/>
        <v>0.1</v>
      </c>
      <c r="S25" s="235" t="s">
        <v>115</v>
      </c>
    </row>
    <row r="26" spans="1:19" x14ac:dyDescent="0.2">
      <c r="A26" s="13"/>
      <c r="B26" s="29" t="s">
        <v>116</v>
      </c>
      <c r="C26" s="31">
        <v>9.9099999999999994E-2</v>
      </c>
      <c r="D26" s="31">
        <v>9.8100000000000007E-2</v>
      </c>
      <c r="E26" s="230">
        <v>9.9400000000000002E-2</v>
      </c>
      <c r="F26" s="13"/>
      <c r="G26" s="215" t="s">
        <v>274</v>
      </c>
      <c r="H26" s="241">
        <v>2020</v>
      </c>
      <c r="I26" s="13"/>
      <c r="J26" s="13"/>
      <c r="K26" s="13"/>
      <c r="L26" s="29" t="s">
        <v>113</v>
      </c>
      <c r="M26" s="232" t="s">
        <v>99</v>
      </c>
      <c r="N26" s="232" t="s">
        <v>68</v>
      </c>
      <c r="O26" s="34">
        <f t="shared" si="1"/>
        <v>5500</v>
      </c>
      <c r="P26" s="234">
        <v>0.04</v>
      </c>
      <c r="Q26" s="234">
        <v>0.06</v>
      </c>
      <c r="R26" s="35">
        <f t="shared" si="2"/>
        <v>0.1</v>
      </c>
      <c r="S26" s="235" t="s">
        <v>117</v>
      </c>
    </row>
    <row r="27" spans="1:19" x14ac:dyDescent="0.2">
      <c r="A27" s="13"/>
      <c r="B27" s="29" t="s">
        <v>118</v>
      </c>
      <c r="C27" s="31">
        <v>9.8299999999999998E-2</v>
      </c>
      <c r="D27" s="31">
        <v>9.7299999999999998E-2</v>
      </c>
      <c r="E27" s="230">
        <v>9.8900000000000002E-2</v>
      </c>
      <c r="F27" s="13"/>
      <c r="G27" s="13"/>
      <c r="H27" s="13"/>
      <c r="I27" s="13"/>
      <c r="J27" s="13"/>
      <c r="K27" s="13"/>
      <c r="L27" s="29" t="s">
        <v>116</v>
      </c>
      <c r="M27" s="232" t="s">
        <v>71</v>
      </c>
      <c r="N27" s="232" t="s">
        <v>68</v>
      </c>
      <c r="O27" s="34">
        <f t="shared" si="1"/>
        <v>6000</v>
      </c>
      <c r="P27" s="234">
        <v>0.04</v>
      </c>
      <c r="Q27" s="234">
        <v>0.06</v>
      </c>
      <c r="R27" s="35">
        <f t="shared" si="2"/>
        <v>0.1</v>
      </c>
      <c r="S27" s="235" t="s">
        <v>119</v>
      </c>
    </row>
    <row r="28" spans="1:19" x14ac:dyDescent="0.2">
      <c r="A28" s="13"/>
      <c r="B28" s="29" t="s">
        <v>120</v>
      </c>
      <c r="C28" s="31">
        <v>9.9500000000000005E-2</v>
      </c>
      <c r="D28" s="31">
        <v>0.1009</v>
      </c>
      <c r="E28" s="230">
        <v>0.1013</v>
      </c>
      <c r="F28" s="13"/>
      <c r="G28" s="13"/>
      <c r="H28" s="13"/>
      <c r="I28" s="13"/>
      <c r="J28" s="13"/>
      <c r="K28" s="13"/>
      <c r="L28" s="29" t="s">
        <v>118</v>
      </c>
      <c r="M28" s="232" t="s">
        <v>77</v>
      </c>
      <c r="N28" s="232" t="s">
        <v>68</v>
      </c>
      <c r="O28" s="34">
        <f t="shared" si="1"/>
        <v>5800</v>
      </c>
      <c r="P28" s="234">
        <v>0.04</v>
      </c>
      <c r="Q28" s="234">
        <v>0.06</v>
      </c>
      <c r="R28" s="35">
        <f t="shared" si="2"/>
        <v>0.1</v>
      </c>
      <c r="S28" s="235" t="s">
        <v>121</v>
      </c>
    </row>
    <row r="29" spans="1:19" x14ac:dyDescent="0.2">
      <c r="A29" s="13"/>
      <c r="B29" s="29" t="s">
        <v>122</v>
      </c>
      <c r="C29" s="31">
        <v>0.1022</v>
      </c>
      <c r="D29" s="31">
        <v>0.10290000000000001</v>
      </c>
      <c r="E29" s="230">
        <v>0.10340000000000001</v>
      </c>
      <c r="F29" s="13"/>
      <c r="G29" s="13"/>
      <c r="H29" s="13"/>
      <c r="I29" s="13"/>
      <c r="J29" s="13"/>
      <c r="K29" s="13"/>
      <c r="L29" s="229" t="s">
        <v>120</v>
      </c>
      <c r="M29" s="232" t="s">
        <v>275</v>
      </c>
      <c r="N29" s="232" t="s">
        <v>68</v>
      </c>
      <c r="O29" s="34">
        <f t="shared" si="1"/>
        <v>5600</v>
      </c>
      <c r="P29" s="234">
        <v>0.04</v>
      </c>
      <c r="Q29" s="234">
        <v>0.06</v>
      </c>
      <c r="R29" s="35">
        <f t="shared" si="2"/>
        <v>0.1</v>
      </c>
      <c r="S29" s="235" t="s">
        <v>279</v>
      </c>
    </row>
    <row r="30" spans="1:19" x14ac:dyDescent="0.2">
      <c r="A30" s="13"/>
      <c r="B30" s="29" t="s">
        <v>123</v>
      </c>
      <c r="C30" s="31">
        <v>0.1013</v>
      </c>
      <c r="D30" s="31">
        <v>0.1017</v>
      </c>
      <c r="E30" s="230">
        <v>0.1018</v>
      </c>
      <c r="F30" s="13"/>
      <c r="G30" s="13"/>
      <c r="H30" s="13"/>
      <c r="I30" s="13"/>
      <c r="J30" s="13"/>
      <c r="K30" s="13"/>
      <c r="L30" s="229" t="s">
        <v>122</v>
      </c>
      <c r="M30" s="232" t="s">
        <v>95</v>
      </c>
      <c r="N30" s="232" t="s">
        <v>68</v>
      </c>
      <c r="O30" s="34">
        <f t="shared" si="1"/>
        <v>5300</v>
      </c>
      <c r="P30" s="234">
        <v>0.04</v>
      </c>
      <c r="Q30" s="234">
        <v>0.06</v>
      </c>
      <c r="R30" s="35">
        <f t="shared" si="2"/>
        <v>0.1</v>
      </c>
      <c r="S30" s="235" t="s">
        <v>280</v>
      </c>
    </row>
    <row r="31" spans="1:19" x14ac:dyDescent="0.2">
      <c r="A31" s="13"/>
      <c r="B31" s="29" t="s">
        <v>124</v>
      </c>
      <c r="C31" s="31">
        <v>9.9599999999999994E-2</v>
      </c>
      <c r="D31" s="31">
        <v>0.1014</v>
      </c>
      <c r="E31" s="230">
        <v>0.1022</v>
      </c>
      <c r="F31" s="13"/>
      <c r="G31" s="13"/>
      <c r="H31" s="13"/>
      <c r="I31" s="13"/>
      <c r="J31" s="13"/>
      <c r="K31" s="13"/>
      <c r="L31" s="29" t="s">
        <v>123</v>
      </c>
      <c r="M31" s="232" t="s">
        <v>77</v>
      </c>
      <c r="N31" s="232" t="s">
        <v>68</v>
      </c>
      <c r="O31" s="34">
        <f t="shared" si="1"/>
        <v>5800</v>
      </c>
      <c r="P31" s="234">
        <v>0.04</v>
      </c>
      <c r="Q31" s="234">
        <v>0.06</v>
      </c>
      <c r="R31" s="35">
        <f t="shared" si="2"/>
        <v>0.1</v>
      </c>
      <c r="S31" s="235" t="s">
        <v>125</v>
      </c>
    </row>
    <row r="32" spans="1:19" x14ac:dyDescent="0.2">
      <c r="A32" s="13"/>
      <c r="B32" s="29" t="s">
        <v>126</v>
      </c>
      <c r="C32" s="31">
        <v>0.1018</v>
      </c>
      <c r="D32" s="31">
        <v>9.9400000000000002E-2</v>
      </c>
      <c r="E32" s="230">
        <v>0.1</v>
      </c>
      <c r="F32" s="13"/>
      <c r="G32" s="13"/>
      <c r="H32" s="13"/>
      <c r="I32" s="13"/>
      <c r="J32" s="13"/>
      <c r="K32" s="13"/>
      <c r="L32" s="29" t="s">
        <v>124</v>
      </c>
      <c r="M32" s="232" t="s">
        <v>99</v>
      </c>
      <c r="N32" s="232" t="s">
        <v>68</v>
      </c>
      <c r="O32" s="34">
        <f t="shared" si="1"/>
        <v>5500</v>
      </c>
      <c r="P32" s="234">
        <v>0.04</v>
      </c>
      <c r="Q32" s="234">
        <v>0.06</v>
      </c>
      <c r="R32" s="35">
        <f t="shared" si="2"/>
        <v>0.1</v>
      </c>
      <c r="S32" s="235" t="s">
        <v>106</v>
      </c>
    </row>
    <row r="33" spans="1:19" x14ac:dyDescent="0.2">
      <c r="A33" s="13"/>
      <c r="B33" s="29" t="s">
        <v>127</v>
      </c>
      <c r="C33" s="31">
        <v>9.9400000000000002E-2</v>
      </c>
      <c r="D33" s="31">
        <v>9.8199999999999996E-2</v>
      </c>
      <c r="E33" s="230">
        <v>9.6799999999999997E-2</v>
      </c>
      <c r="F33" s="13"/>
      <c r="G33" s="13"/>
      <c r="H33" s="13"/>
      <c r="I33" s="13"/>
      <c r="J33" s="13"/>
      <c r="K33" s="13"/>
      <c r="L33" s="29" t="s">
        <v>126</v>
      </c>
      <c r="M33" s="232" t="s">
        <v>99</v>
      </c>
      <c r="N33" s="232" t="s">
        <v>68</v>
      </c>
      <c r="O33" s="34">
        <f t="shared" si="1"/>
        <v>5500</v>
      </c>
      <c r="P33" s="234">
        <v>0.04</v>
      </c>
      <c r="Q33" s="234">
        <v>0.06</v>
      </c>
      <c r="R33" s="35">
        <f t="shared" si="2"/>
        <v>0.1</v>
      </c>
      <c r="S33" s="235" t="s">
        <v>128</v>
      </c>
    </row>
    <row r="34" spans="1:19" x14ac:dyDescent="0.2">
      <c r="A34" s="13"/>
      <c r="B34" s="29" t="s">
        <v>129</v>
      </c>
      <c r="C34" s="31">
        <v>0.10349999999999999</v>
      </c>
      <c r="D34" s="31">
        <v>0.1026</v>
      </c>
      <c r="E34" s="230">
        <v>9.9199999999999997E-2</v>
      </c>
      <c r="F34" s="13"/>
      <c r="G34" s="13"/>
      <c r="H34" s="13"/>
      <c r="I34" s="13"/>
      <c r="J34" s="13"/>
      <c r="K34" s="13"/>
      <c r="L34" s="29" t="s">
        <v>127</v>
      </c>
      <c r="M34" s="232" t="s">
        <v>99</v>
      </c>
      <c r="N34" s="232" t="s">
        <v>68</v>
      </c>
      <c r="O34" s="34">
        <f t="shared" si="1"/>
        <v>5500</v>
      </c>
      <c r="P34" s="234">
        <v>0.04</v>
      </c>
      <c r="Q34" s="234">
        <v>0.06</v>
      </c>
      <c r="R34" s="35">
        <f t="shared" si="2"/>
        <v>0.1</v>
      </c>
      <c r="S34" s="235" t="s">
        <v>281</v>
      </c>
    </row>
    <row r="35" spans="1:19" x14ac:dyDescent="0.2">
      <c r="A35" s="13"/>
      <c r="B35" s="29" t="s">
        <v>130</v>
      </c>
      <c r="C35" s="31">
        <v>0.10249999999999999</v>
      </c>
      <c r="D35" s="31">
        <v>0.1007</v>
      </c>
      <c r="E35" s="230">
        <v>0.1002</v>
      </c>
      <c r="F35" s="13"/>
      <c r="G35" s="13"/>
      <c r="H35" s="13"/>
      <c r="I35" s="13"/>
      <c r="J35" s="13"/>
      <c r="K35" s="13"/>
      <c r="L35" s="29" t="s">
        <v>129</v>
      </c>
      <c r="M35" s="232" t="s">
        <v>99</v>
      </c>
      <c r="N35" s="232" t="s">
        <v>68</v>
      </c>
      <c r="O35" s="34">
        <f t="shared" si="1"/>
        <v>5500</v>
      </c>
      <c r="P35" s="234">
        <v>0.04</v>
      </c>
      <c r="Q35" s="234">
        <v>0.06</v>
      </c>
      <c r="R35" s="35">
        <f t="shared" si="2"/>
        <v>0.1</v>
      </c>
      <c r="S35" s="235" t="s">
        <v>100</v>
      </c>
    </row>
    <row r="36" spans="1:19" x14ac:dyDescent="0.2">
      <c r="A36" s="13"/>
      <c r="B36" s="29" t="s">
        <v>131</v>
      </c>
      <c r="C36" s="31">
        <v>0.1009</v>
      </c>
      <c r="D36" s="31">
        <v>9.9199999999999997E-2</v>
      </c>
      <c r="E36" s="230">
        <v>9.9500000000000005E-2</v>
      </c>
      <c r="F36" s="13"/>
      <c r="G36" s="13"/>
      <c r="H36" s="13"/>
      <c r="I36" s="13"/>
      <c r="J36" s="13"/>
      <c r="K36" s="13"/>
      <c r="L36" s="29" t="s">
        <v>130</v>
      </c>
      <c r="M36" s="232" t="s">
        <v>99</v>
      </c>
      <c r="N36" s="232" t="s">
        <v>68</v>
      </c>
      <c r="O36" s="34">
        <f t="shared" si="1"/>
        <v>5500</v>
      </c>
      <c r="P36" s="234">
        <v>0.04</v>
      </c>
      <c r="Q36" s="234">
        <v>0.06</v>
      </c>
      <c r="R36" s="35">
        <f t="shared" si="2"/>
        <v>0.1</v>
      </c>
      <c r="S36" s="235" t="s">
        <v>132</v>
      </c>
    </row>
    <row r="37" spans="1:19" x14ac:dyDescent="0.2">
      <c r="A37" s="13"/>
      <c r="B37" s="29" t="s">
        <v>133</v>
      </c>
      <c r="C37" s="31">
        <v>0.10150000000000001</v>
      </c>
      <c r="D37" s="31">
        <v>9.9599999999999994E-2</v>
      </c>
      <c r="E37" s="230">
        <v>0.10199999999999999</v>
      </c>
      <c r="F37" s="13"/>
      <c r="G37" s="13"/>
      <c r="H37" s="13"/>
      <c r="I37" s="13"/>
      <c r="J37" s="13"/>
      <c r="K37" s="13"/>
      <c r="L37" s="29" t="s">
        <v>131</v>
      </c>
      <c r="M37" s="232" t="s">
        <v>99</v>
      </c>
      <c r="N37" s="232" t="s">
        <v>68</v>
      </c>
      <c r="O37" s="34">
        <f t="shared" si="1"/>
        <v>5500</v>
      </c>
      <c r="P37" s="233">
        <v>0.02</v>
      </c>
      <c r="Q37" s="234">
        <v>0.08</v>
      </c>
      <c r="R37" s="35">
        <f t="shared" si="2"/>
        <v>0.1</v>
      </c>
      <c r="S37" s="235" t="s">
        <v>134</v>
      </c>
    </row>
    <row r="38" spans="1:19" x14ac:dyDescent="0.2">
      <c r="A38" s="13"/>
      <c r="B38" s="29" t="s">
        <v>135</v>
      </c>
      <c r="C38" s="31">
        <v>0.1043</v>
      </c>
      <c r="D38" s="31">
        <v>0.10249999999999999</v>
      </c>
      <c r="E38" s="230">
        <v>0.1019</v>
      </c>
      <c r="F38" s="13"/>
      <c r="G38" s="13"/>
      <c r="H38" s="13"/>
      <c r="I38" s="13"/>
      <c r="J38" s="13"/>
      <c r="K38" s="13"/>
      <c r="L38" s="29" t="s">
        <v>133</v>
      </c>
      <c r="M38" s="232" t="s">
        <v>99</v>
      </c>
      <c r="N38" s="232" t="s">
        <v>68</v>
      </c>
      <c r="O38" s="34">
        <f t="shared" si="1"/>
        <v>5500</v>
      </c>
      <c r="P38" s="234">
        <v>0.04</v>
      </c>
      <c r="Q38" s="234">
        <v>0.06</v>
      </c>
      <c r="R38" s="35">
        <f t="shared" si="2"/>
        <v>0.1</v>
      </c>
      <c r="S38" s="235" t="s">
        <v>136</v>
      </c>
    </row>
    <row r="39" spans="1:19" x14ac:dyDescent="0.2">
      <c r="A39" s="13"/>
      <c r="B39" s="29" t="s">
        <v>137</v>
      </c>
      <c r="C39" s="31">
        <v>0.10340000000000001</v>
      </c>
      <c r="D39" s="31">
        <v>0.1023</v>
      </c>
      <c r="E39" s="230">
        <v>0.1033</v>
      </c>
      <c r="F39" s="13"/>
      <c r="G39" s="13"/>
      <c r="H39" s="13"/>
      <c r="I39" s="13"/>
      <c r="J39" s="13"/>
      <c r="K39" s="13"/>
      <c r="L39" s="29" t="s">
        <v>135</v>
      </c>
      <c r="M39" s="232" t="s">
        <v>67</v>
      </c>
      <c r="N39" s="232" t="s">
        <v>68</v>
      </c>
      <c r="O39" s="34">
        <f t="shared" si="1"/>
        <v>5000</v>
      </c>
      <c r="P39" s="234">
        <v>0.04</v>
      </c>
      <c r="Q39" s="234">
        <v>0.06</v>
      </c>
      <c r="R39" s="35">
        <f t="shared" si="2"/>
        <v>0.1</v>
      </c>
      <c r="S39" s="235"/>
    </row>
    <row r="40" spans="1:19" x14ac:dyDescent="0.2">
      <c r="A40" s="13"/>
      <c r="B40" s="29" t="s">
        <v>138</v>
      </c>
      <c r="C40" s="31">
        <v>0.1026</v>
      </c>
      <c r="D40" s="31">
        <v>0.10009999999999999</v>
      </c>
      <c r="E40" s="230">
        <v>0.1003</v>
      </c>
      <c r="F40" s="13"/>
      <c r="G40" s="13"/>
      <c r="H40" s="13"/>
      <c r="I40" s="13"/>
      <c r="J40" s="13"/>
      <c r="K40" s="13"/>
      <c r="L40" s="29" t="s">
        <v>137</v>
      </c>
      <c r="M40" s="232" t="s">
        <v>67</v>
      </c>
      <c r="N40" s="232" t="s">
        <v>68</v>
      </c>
      <c r="O40" s="34">
        <f t="shared" si="1"/>
        <v>5000</v>
      </c>
      <c r="P40" s="234">
        <v>0.04</v>
      </c>
      <c r="Q40" s="234">
        <v>0.06</v>
      </c>
      <c r="R40" s="35">
        <f t="shared" si="2"/>
        <v>0.1</v>
      </c>
      <c r="S40" s="235"/>
    </row>
    <row r="41" spans="1:19" x14ac:dyDescent="0.2">
      <c r="A41" s="13"/>
      <c r="B41" s="29" t="s">
        <v>139</v>
      </c>
      <c r="C41" s="31">
        <v>0.10299999999999999</v>
      </c>
      <c r="D41" s="31">
        <v>0.10100000000000001</v>
      </c>
      <c r="E41" s="230">
        <v>9.8900000000000002E-2</v>
      </c>
      <c r="F41" s="13"/>
      <c r="G41" s="13"/>
      <c r="H41" s="13"/>
      <c r="I41" s="13"/>
      <c r="J41" s="13"/>
      <c r="K41" s="13"/>
      <c r="L41" s="29" t="s">
        <v>138</v>
      </c>
      <c r="M41" s="232" t="s">
        <v>86</v>
      </c>
      <c r="N41" s="232" t="s">
        <v>68</v>
      </c>
      <c r="O41" s="34">
        <f t="shared" si="1"/>
        <v>5700</v>
      </c>
      <c r="P41" s="234">
        <v>0.04</v>
      </c>
      <c r="Q41" s="234">
        <v>0.06</v>
      </c>
      <c r="R41" s="35">
        <f t="shared" si="2"/>
        <v>0.1</v>
      </c>
      <c r="S41" s="235" t="s">
        <v>140</v>
      </c>
    </row>
    <row r="42" spans="1:19" x14ac:dyDescent="0.2">
      <c r="A42" s="13"/>
      <c r="B42" s="29" t="s">
        <v>141</v>
      </c>
      <c r="C42" s="31">
        <v>0.1021</v>
      </c>
      <c r="D42" s="31">
        <v>0.1036</v>
      </c>
      <c r="E42" s="230">
        <v>0.10349999999999999</v>
      </c>
      <c r="F42" s="13"/>
      <c r="G42" s="13"/>
      <c r="H42" s="13"/>
      <c r="I42" s="13"/>
      <c r="J42" s="13"/>
      <c r="K42" s="13"/>
      <c r="L42" s="29" t="s">
        <v>139</v>
      </c>
      <c r="M42" s="232" t="s">
        <v>99</v>
      </c>
      <c r="N42" s="232" t="s">
        <v>68</v>
      </c>
      <c r="O42" s="34">
        <f t="shared" si="1"/>
        <v>5500</v>
      </c>
      <c r="P42" s="234">
        <v>0.04</v>
      </c>
      <c r="Q42" s="234">
        <v>0.06</v>
      </c>
      <c r="R42" s="35">
        <f t="shared" si="2"/>
        <v>0.1</v>
      </c>
      <c r="S42" s="235" t="s">
        <v>106</v>
      </c>
    </row>
    <row r="43" spans="1:19" x14ac:dyDescent="0.2">
      <c r="A43" s="13"/>
      <c r="B43" s="29" t="s">
        <v>142</v>
      </c>
      <c r="C43" s="31">
        <v>0.11</v>
      </c>
      <c r="D43" s="31">
        <v>0.1051</v>
      </c>
      <c r="E43" s="230">
        <v>0.1042</v>
      </c>
      <c r="F43" s="13"/>
      <c r="G43" s="13"/>
      <c r="H43" s="13"/>
      <c r="I43" s="13"/>
      <c r="J43" s="13"/>
      <c r="K43" s="13"/>
      <c r="L43" s="29" t="s">
        <v>141</v>
      </c>
      <c r="M43" s="232" t="s">
        <v>99</v>
      </c>
      <c r="N43" s="232" t="s">
        <v>68</v>
      </c>
      <c r="O43" s="34">
        <f t="shared" si="1"/>
        <v>5500</v>
      </c>
      <c r="P43" s="234">
        <v>0.04</v>
      </c>
      <c r="Q43" s="234">
        <v>0.06</v>
      </c>
      <c r="R43" s="35">
        <f t="shared" si="2"/>
        <v>0.1</v>
      </c>
      <c r="S43" s="235" t="s">
        <v>106</v>
      </c>
    </row>
    <row r="44" spans="1:19" x14ac:dyDescent="0.2">
      <c r="A44" s="13"/>
      <c r="B44" s="29" t="s">
        <v>143</v>
      </c>
      <c r="C44" s="31">
        <v>0.1047</v>
      </c>
      <c r="D44" s="31">
        <v>0.1021</v>
      </c>
      <c r="E44" s="230">
        <v>0.1017</v>
      </c>
      <c r="F44" s="13"/>
      <c r="G44" s="13"/>
      <c r="H44" s="13"/>
      <c r="I44" s="13"/>
      <c r="J44" s="13"/>
      <c r="K44" s="13"/>
      <c r="L44" s="29" t="s">
        <v>142</v>
      </c>
      <c r="M44" s="232" t="s">
        <v>99</v>
      </c>
      <c r="N44" s="232" t="s">
        <v>68</v>
      </c>
      <c r="O44" s="34">
        <f t="shared" si="1"/>
        <v>5500</v>
      </c>
      <c r="P44" s="234">
        <v>0.04</v>
      </c>
      <c r="Q44" s="234">
        <v>0.06</v>
      </c>
      <c r="R44" s="35">
        <f t="shared" si="2"/>
        <v>0.1</v>
      </c>
      <c r="S44" s="235" t="s">
        <v>106</v>
      </c>
    </row>
    <row r="45" spans="1:19" x14ac:dyDescent="0.2">
      <c r="A45" s="13"/>
      <c r="B45" s="29" t="s">
        <v>144</v>
      </c>
      <c r="C45" s="31">
        <v>0.1045</v>
      </c>
      <c r="D45" s="31">
        <v>0.1032</v>
      </c>
      <c r="E45" s="230">
        <v>0.10299999999999999</v>
      </c>
      <c r="F45" s="13"/>
      <c r="G45" s="13"/>
      <c r="H45" s="13"/>
      <c r="I45" s="13"/>
      <c r="J45" s="13"/>
      <c r="K45" s="13"/>
      <c r="L45" s="29" t="s">
        <v>143</v>
      </c>
      <c r="M45" s="232" t="s">
        <v>99</v>
      </c>
      <c r="N45" s="232" t="s">
        <v>68</v>
      </c>
      <c r="O45" s="34">
        <f t="shared" si="1"/>
        <v>5500</v>
      </c>
      <c r="P45" s="234">
        <v>0.04</v>
      </c>
      <c r="Q45" s="234">
        <v>0.06</v>
      </c>
      <c r="R45" s="35">
        <f t="shared" si="2"/>
        <v>0.1</v>
      </c>
      <c r="S45" s="235" t="s">
        <v>145</v>
      </c>
    </row>
    <row r="46" spans="1:19" x14ac:dyDescent="0.2">
      <c r="A46" s="13"/>
      <c r="B46" s="29" t="s">
        <v>146</v>
      </c>
      <c r="C46" s="31">
        <v>0.1052</v>
      </c>
      <c r="D46" s="31">
        <v>0.10199999999999999</v>
      </c>
      <c r="E46" s="230">
        <v>0.10249999999999999</v>
      </c>
      <c r="F46" s="13"/>
      <c r="G46" s="13"/>
      <c r="H46" s="13"/>
      <c r="I46" s="13"/>
      <c r="J46" s="13"/>
      <c r="K46" s="13"/>
      <c r="L46" s="29" t="s">
        <v>144</v>
      </c>
      <c r="M46" s="232" t="s">
        <v>99</v>
      </c>
      <c r="N46" s="232" t="s">
        <v>68</v>
      </c>
      <c r="O46" s="34">
        <f t="shared" si="1"/>
        <v>5500</v>
      </c>
      <c r="P46" s="233">
        <v>0.02</v>
      </c>
      <c r="Q46" s="234">
        <v>0.08</v>
      </c>
      <c r="R46" s="35">
        <f t="shared" si="2"/>
        <v>0.1</v>
      </c>
      <c r="S46" s="235" t="s">
        <v>147</v>
      </c>
    </row>
    <row r="47" spans="1:19" x14ac:dyDescent="0.2">
      <c r="A47" s="13"/>
      <c r="B47" s="29" t="s">
        <v>148</v>
      </c>
      <c r="C47" s="31">
        <v>0.1014</v>
      </c>
      <c r="D47" s="31">
        <v>9.7600000000000006E-2</v>
      </c>
      <c r="E47" s="230">
        <v>9.8500000000000004E-2</v>
      </c>
      <c r="F47" s="13"/>
      <c r="G47" s="13"/>
      <c r="H47" s="13"/>
      <c r="I47" s="13"/>
      <c r="J47" s="13"/>
      <c r="K47" s="13"/>
      <c r="L47" s="29" t="s">
        <v>146</v>
      </c>
      <c r="M47" s="232" t="s">
        <v>99</v>
      </c>
      <c r="N47" s="232" t="s">
        <v>68</v>
      </c>
      <c r="O47" s="34">
        <f t="shared" si="1"/>
        <v>5500</v>
      </c>
      <c r="P47" s="234">
        <v>0.04</v>
      </c>
      <c r="Q47" s="234">
        <v>0.06</v>
      </c>
      <c r="R47" s="35">
        <f t="shared" si="2"/>
        <v>0.1</v>
      </c>
      <c r="S47" s="235" t="s">
        <v>106</v>
      </c>
    </row>
    <row r="48" spans="1:19" x14ac:dyDescent="0.2">
      <c r="A48" s="13"/>
      <c r="B48" s="29" t="s">
        <v>149</v>
      </c>
      <c r="C48" s="31">
        <v>0.1065</v>
      </c>
      <c r="D48" s="31">
        <v>0.1026</v>
      </c>
      <c r="E48" s="230">
        <v>0.1013</v>
      </c>
      <c r="F48" s="13"/>
      <c r="G48" s="13"/>
      <c r="H48" s="13"/>
      <c r="I48" s="13"/>
      <c r="J48" s="13"/>
      <c r="K48" s="13"/>
      <c r="L48" s="29" t="s">
        <v>148</v>
      </c>
      <c r="M48" s="232" t="s">
        <v>99</v>
      </c>
      <c r="N48" s="232" t="s">
        <v>68</v>
      </c>
      <c r="O48" s="34">
        <f t="shared" si="1"/>
        <v>5500</v>
      </c>
      <c r="P48" s="234">
        <v>0.04</v>
      </c>
      <c r="Q48" s="234">
        <v>0.06</v>
      </c>
      <c r="R48" s="35">
        <f t="shared" si="2"/>
        <v>0.1</v>
      </c>
      <c r="S48" s="235" t="s">
        <v>106</v>
      </c>
    </row>
    <row r="49" spans="1:19" x14ac:dyDescent="0.2">
      <c r="A49" s="13"/>
      <c r="B49" s="29" t="s">
        <v>150</v>
      </c>
      <c r="C49" s="31">
        <v>0.1009</v>
      </c>
      <c r="D49" s="31">
        <v>9.8900000000000002E-2</v>
      </c>
      <c r="E49" s="230">
        <v>9.5200000000000007E-2</v>
      </c>
      <c r="F49" s="13"/>
      <c r="G49" s="13"/>
      <c r="H49" s="13"/>
      <c r="I49" s="13"/>
      <c r="J49" s="13"/>
      <c r="K49" s="13"/>
      <c r="L49" s="29" t="s">
        <v>149</v>
      </c>
      <c r="M49" s="232" t="s">
        <v>99</v>
      </c>
      <c r="N49" s="232" t="s">
        <v>68</v>
      </c>
      <c r="O49" s="34">
        <f t="shared" si="1"/>
        <v>5500</v>
      </c>
      <c r="P49" s="234">
        <v>0.04</v>
      </c>
      <c r="Q49" s="234">
        <v>0.06</v>
      </c>
      <c r="R49" s="35">
        <f t="shared" si="2"/>
        <v>0.1</v>
      </c>
      <c r="S49" s="235" t="s">
        <v>282</v>
      </c>
    </row>
    <row r="50" spans="1:19" x14ac:dyDescent="0.2">
      <c r="A50" s="13"/>
      <c r="B50" s="13"/>
      <c r="C50" s="13"/>
      <c r="D50" s="13"/>
      <c r="E50" s="13"/>
      <c r="F50" s="13"/>
      <c r="G50" s="13"/>
      <c r="H50" s="13"/>
      <c r="I50" s="13"/>
      <c r="J50" s="13"/>
      <c r="K50" s="13"/>
      <c r="L50" s="29" t="s">
        <v>150</v>
      </c>
      <c r="M50" s="236" t="s">
        <v>67</v>
      </c>
      <c r="N50" s="236" t="s">
        <v>68</v>
      </c>
      <c r="O50" s="34">
        <f t="shared" si="1"/>
        <v>5000</v>
      </c>
      <c r="P50" s="237">
        <v>0.04</v>
      </c>
      <c r="Q50" s="237">
        <v>0.06</v>
      </c>
      <c r="R50" s="35">
        <f t="shared" si="2"/>
        <v>0.1</v>
      </c>
      <c r="S50" s="238"/>
    </row>
  </sheetData>
  <mergeCells count="4">
    <mergeCell ref="L2:L3"/>
    <mergeCell ref="M2:O2"/>
    <mergeCell ref="P2:R2"/>
    <mergeCell ref="S2:S3"/>
  </mergeCells>
  <phoneticPr fontId="2"/>
  <hyperlinks>
    <hyperlink ref="U2"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①入力シート</vt:lpstr>
      <vt:lpstr>②詳細シート</vt:lpstr>
      <vt:lpstr>算定基礎</vt:lpstr>
      <vt:lpstr>基礎データ</vt:lpstr>
      <vt:lpstr>社保データ</vt:lpstr>
      <vt:lpstr>HGP創英角ｺﾞｼｯｸUB</vt:lpstr>
      <vt:lpstr>①入力シート!Print_Area</vt:lpstr>
      <vt:lpstr>②詳細シート!Print_Area</vt:lpstr>
      <vt:lpstr>算定基礎!Print_Area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井上 明夫</dc:creator>
  <cp:lastModifiedBy>宮川 道子</cp:lastModifiedBy>
  <cp:lastPrinted>2018-02-07T01:50:00Z</cp:lastPrinted>
  <dcterms:created xsi:type="dcterms:W3CDTF">2017-04-24T22:32:58Z</dcterms:created>
  <dcterms:modified xsi:type="dcterms:W3CDTF">2024-03-01T00:59:05Z</dcterms:modified>
</cp:coreProperties>
</file>